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面积" sheetId="68" r:id="rId41"/>
    <sheet name="售价" sheetId="69" r:id="rId42"/>
    <sheet name="Sheet3" sheetId="70" r:id="rId43"/>
    <sheet name="Sheet4" sheetId="71" r:id="rId44"/>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M10" i="68"/>
  <c r="L15"/>
  <c r="L10"/>
  <c r="K14"/>
  <c r="K13"/>
  <c r="K12"/>
  <c r="K11"/>
  <c r="D21" l="1"/>
  <c r="C17"/>
  <c r="D19"/>
  <c r="E10" i="12"/>
  <c r="AH7" i="1"/>
  <c r="C40" i="39"/>
  <c r="G21" i="6"/>
  <c r="F20"/>
  <c r="F19"/>
  <c r="E19" s="1"/>
  <c r="A3" i="3"/>
  <c r="AD14"/>
  <c r="M13"/>
  <c r="AL13"/>
  <c r="AD13"/>
  <c r="K13"/>
  <c r="I13"/>
  <c r="C16" i="68"/>
  <c r="F8"/>
  <c r="E8"/>
  <c r="P23" i="71"/>
  <c r="P24"/>
  <c r="P25"/>
  <c r="P26"/>
  <c r="P27"/>
  <c r="P16"/>
  <c r="P17"/>
  <c r="P18"/>
  <c r="P19"/>
  <c r="P20"/>
  <c r="P21"/>
  <c r="P13"/>
  <c r="P14"/>
  <c r="P3"/>
  <c r="P4"/>
  <c r="P5"/>
  <c r="P6"/>
  <c r="P7"/>
  <c r="P8"/>
  <c r="P9"/>
  <c r="P10"/>
  <c r="P11"/>
  <c r="P12"/>
  <c r="P2"/>
  <c r="P28"/>
  <c r="I48" i="39"/>
  <c r="P22" i="71"/>
  <c r="G48" i="39"/>
  <c r="P15" i="71"/>
  <c r="E48" i="39"/>
  <c r="I40"/>
  <c r="G40"/>
  <c r="E40"/>
  <c r="BB13" i="3"/>
  <c r="BC13"/>
  <c r="BD13"/>
  <c r="BE13"/>
  <c r="BF13"/>
  <c r="BG13"/>
  <c r="BH13"/>
  <c r="BI13"/>
  <c r="BJ13"/>
  <c r="BK13"/>
  <c r="BM13"/>
  <c r="BN13"/>
  <c r="BO13"/>
  <c r="BP13"/>
  <c r="BQ13"/>
  <c r="BR13"/>
  <c r="BS13"/>
  <c r="BT13"/>
  <c r="BL13"/>
  <c r="H13"/>
  <c r="J4" i="59"/>
  <c r="K4"/>
  <c r="L4"/>
  <c r="I4"/>
  <c r="Q4"/>
  <c r="F4"/>
  <c r="P4"/>
  <c r="E4"/>
  <c r="O4"/>
  <c r="C4"/>
  <c r="D4"/>
  <c r="N4"/>
  <c r="B4"/>
  <c r="I5"/>
  <c r="L5"/>
  <c r="K5"/>
  <c r="J5"/>
  <c r="N5"/>
  <c r="Q5"/>
  <c r="P5"/>
  <c r="O5"/>
  <c r="L4" i="9"/>
  <c r="M4"/>
  <c r="A30" i="64"/>
  <c r="A30" i="51"/>
  <c r="K59" i="15"/>
  <c r="P62" s="1"/>
  <c r="Q74" i="44"/>
  <c r="Q61"/>
  <c r="Q60"/>
  <c r="Q53"/>
  <c r="J51"/>
  <c r="J52"/>
  <c r="M48"/>
  <c r="A16" i="55"/>
  <c r="A15"/>
  <c r="A14"/>
  <c r="L26" i="4"/>
  <c r="A11" i="55"/>
  <c r="A10"/>
  <c r="A9"/>
  <c r="A8"/>
  <c r="A6" i="54"/>
  <c r="A8"/>
  <c r="A7"/>
  <c r="A28" i="51"/>
  <c r="A27"/>
  <c r="D5" i="46"/>
  <c r="Q6" i="59"/>
  <c r="O6"/>
  <c r="N7"/>
  <c r="O7"/>
  <c r="P7"/>
  <c r="Q7"/>
  <c r="N6"/>
  <c r="P6"/>
  <c r="B8"/>
  <c r="C8"/>
  <c r="D8"/>
  <c r="E8"/>
  <c r="F8"/>
  <c r="K75" i="9"/>
  <c r="K6" i="4"/>
  <c r="O76" i="9"/>
  <c r="L76"/>
  <c r="K76"/>
  <c r="K77"/>
  <c r="K79" s="1"/>
  <c r="K81" s="1"/>
  <c r="B22" i="31"/>
  <c r="E15" i="66"/>
  <c r="F15"/>
  <c r="E16"/>
  <c r="F16"/>
  <c r="E17"/>
  <c r="F17"/>
  <c r="E18"/>
  <c r="F18"/>
  <c r="E19"/>
  <c r="F19"/>
  <c r="E20"/>
  <c r="F20"/>
  <c r="E21"/>
  <c r="F21"/>
  <c r="E22"/>
  <c r="F22"/>
  <c r="E23"/>
  <c r="F23"/>
  <c r="B3"/>
  <c r="M19" i="46"/>
  <c r="V8" i="59"/>
  <c r="U8"/>
  <c r="T8"/>
  <c r="S8"/>
  <c r="B7"/>
  <c r="B6"/>
  <c r="B5"/>
  <c r="E7"/>
  <c r="E6"/>
  <c r="E5"/>
  <c r="C7"/>
  <c r="F7"/>
  <c r="F6"/>
  <c r="F5"/>
  <c r="D7"/>
  <c r="C6"/>
  <c r="AD3"/>
  <c r="AE3"/>
  <c r="AF3"/>
  <c r="AG3"/>
  <c r="AH3"/>
  <c r="AD5"/>
  <c r="AE5"/>
  <c r="AF5"/>
  <c r="AG5"/>
  <c r="AH5"/>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H19"/>
  <c r="AG19"/>
  <c r="AE19"/>
  <c r="AF19"/>
  <c r="AD19"/>
  <c r="AD20"/>
  <c r="AE20"/>
  <c r="AF20"/>
  <c r="AG20"/>
  <c r="AH20"/>
  <c r="X9"/>
  <c r="Y9"/>
  <c r="Z9"/>
  <c r="AA9"/>
  <c r="AB9"/>
  <c r="X10"/>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AB18"/>
  <c r="AA18"/>
  <c r="Y18"/>
  <c r="X18"/>
  <c r="D6"/>
  <c r="C5"/>
  <c r="D5"/>
  <c r="S2" i="31"/>
  <c r="M2"/>
  <c r="N2"/>
  <c r="O2"/>
  <c r="P2"/>
  <c r="Q2"/>
  <c r="R2"/>
  <c r="C3" i="65"/>
  <c r="C1"/>
  <c r="N1" s="1"/>
  <c r="B76" i="63"/>
  <c r="M5" i="54"/>
  <c r="A23" i="51"/>
  <c r="Y12" i="46"/>
  <c r="AA9"/>
  <c r="AB9"/>
  <c r="AC9"/>
  <c r="AD9"/>
  <c r="AE9"/>
  <c r="AF9"/>
  <c r="AG9"/>
  <c r="AH9"/>
  <c r="AI9"/>
  <c r="AJ9"/>
  <c r="Z9"/>
  <c r="Z10"/>
  <c r="AJ10"/>
  <c r="AI10"/>
  <c r="AH10"/>
  <c r="AG10"/>
  <c r="AF10"/>
  <c r="AE10"/>
  <c r="AD10"/>
  <c r="AC10"/>
  <c r="AB10"/>
  <c r="AA10"/>
  <c r="Y10"/>
  <c r="AJ12"/>
  <c r="AH12"/>
  <c r="AF12"/>
  <c r="AD12"/>
  <c r="AB12"/>
  <c r="Z12"/>
  <c r="AI12"/>
  <c r="AG12"/>
  <c r="AE12"/>
  <c r="AC12"/>
  <c r="AA12"/>
  <c r="B75" i="63"/>
  <c r="B73"/>
  <c r="A21" i="64"/>
  <c r="A28"/>
  <c r="A27"/>
  <c r="A15"/>
  <c r="A14"/>
  <c r="A11"/>
  <c r="A3"/>
  <c r="A45" i="9"/>
  <c r="A44"/>
  <c r="C57" i="10"/>
  <c r="C56"/>
  <c r="C55"/>
  <c r="C54"/>
  <c r="B49" i="63"/>
  <c r="B44"/>
  <c r="B40"/>
  <c r="B30"/>
  <c r="B27"/>
  <c r="B25"/>
  <c r="A11" i="51"/>
  <c r="B10" i="63" s="1"/>
  <c r="A26" i="64"/>
  <c r="A26" i="51"/>
  <c r="K39" i="9"/>
  <c r="K40"/>
  <c r="B58" i="63"/>
  <c r="B53"/>
  <c r="B51"/>
  <c r="A46" i="9"/>
  <c r="K41" s="1"/>
  <c r="B8" i="63"/>
  <c r="A21" i="55"/>
  <c r="B71" i="63" s="1"/>
  <c r="A20" i="55"/>
  <c r="B69" i="63" s="1"/>
  <c r="B26"/>
  <c r="B28"/>
  <c r="B29"/>
  <c r="B31"/>
  <c r="B33"/>
  <c r="B35"/>
  <c r="B36"/>
  <c r="B37"/>
  <c r="B63"/>
  <c r="B64"/>
  <c r="B68"/>
  <c r="D51" i="10"/>
  <c r="B61" i="63"/>
  <c r="B60"/>
  <c r="B59"/>
  <c r="B51" i="10"/>
  <c r="B20" i="63"/>
  <c r="B17"/>
  <c r="A15" i="51"/>
  <c r="B12" i="63" s="1"/>
  <c r="A14" i="51"/>
  <c r="B11" i="63" s="1"/>
  <c r="B66"/>
  <c r="A4" i="55"/>
  <c r="B57" i="63" s="1"/>
  <c r="B41"/>
  <c r="G5" i="54"/>
  <c r="B34" i="63" s="1"/>
  <c r="E5" i="54"/>
  <c r="B32" i="63" s="1"/>
  <c r="R2" i="54"/>
  <c r="B24" i="63" s="1"/>
  <c r="B19"/>
  <c r="B49" i="50"/>
  <c r="B5" i="63"/>
  <c r="B40" i="50"/>
  <c r="B3" i="63"/>
  <c r="N4"/>
  <c r="B21"/>
  <c r="B67"/>
  <c r="I19" i="46"/>
  <c r="Q8" i="59"/>
  <c r="P8"/>
  <c r="O8"/>
  <c r="N8"/>
  <c r="D69"/>
  <c r="F68"/>
  <c r="E68"/>
  <c r="E67"/>
  <c r="E66"/>
  <c r="C68"/>
  <c r="D68"/>
  <c r="B68"/>
  <c r="F67"/>
  <c r="F66"/>
  <c r="B67"/>
  <c r="B66"/>
  <c r="D65"/>
  <c r="F64"/>
  <c r="E64"/>
  <c r="E63"/>
  <c r="E62"/>
  <c r="C64"/>
  <c r="D64"/>
  <c r="B64"/>
  <c r="F63"/>
  <c r="F62"/>
  <c r="B63"/>
  <c r="B62"/>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Q52"/>
  <c r="P52"/>
  <c r="O52"/>
  <c r="N52"/>
  <c r="F52"/>
  <c r="V52"/>
  <c r="E52"/>
  <c r="U52"/>
  <c r="C52"/>
  <c r="T52"/>
  <c r="B52"/>
  <c r="S52"/>
  <c r="Q51"/>
  <c r="P51"/>
  <c r="O51"/>
  <c r="N51"/>
  <c r="F51"/>
  <c r="F50"/>
  <c r="B51"/>
  <c r="B50"/>
  <c r="Q50"/>
  <c r="P50"/>
  <c r="O50"/>
  <c r="N50"/>
  <c r="Q49"/>
  <c r="P49"/>
  <c r="O49"/>
  <c r="N49"/>
  <c r="D49"/>
  <c r="F48"/>
  <c r="V48"/>
  <c r="E48"/>
  <c r="E47"/>
  <c r="P47"/>
  <c r="C48"/>
  <c r="B48"/>
  <c r="N48"/>
  <c r="F47"/>
  <c r="F46"/>
  <c r="Q46"/>
  <c r="B47"/>
  <c r="Q45"/>
  <c r="D45"/>
  <c r="Q44"/>
  <c r="P44"/>
  <c r="O44"/>
  <c r="N44"/>
  <c r="Q43"/>
  <c r="P43"/>
  <c r="O43"/>
  <c r="N43"/>
  <c r="Q42"/>
  <c r="P42"/>
  <c r="O42"/>
  <c r="N42"/>
  <c r="Q41"/>
  <c r="F42"/>
  <c r="P41"/>
  <c r="E42"/>
  <c r="E43"/>
  <c r="E44"/>
  <c r="U44"/>
  <c r="O41"/>
  <c r="C42"/>
  <c r="N41"/>
  <c r="B42"/>
  <c r="B43"/>
  <c r="B44"/>
  <c r="S44"/>
  <c r="D41"/>
  <c r="Q40"/>
  <c r="P40"/>
  <c r="O40"/>
  <c r="N40"/>
  <c r="Q39"/>
  <c r="P39"/>
  <c r="O39"/>
  <c r="N39"/>
  <c r="Q38"/>
  <c r="P38"/>
  <c r="O38"/>
  <c r="N38"/>
  <c r="Q37"/>
  <c r="F38"/>
  <c r="P37"/>
  <c r="E38"/>
  <c r="E39"/>
  <c r="E40"/>
  <c r="U40"/>
  <c r="O37"/>
  <c r="C38"/>
  <c r="N37"/>
  <c r="B38"/>
  <c r="B39"/>
  <c r="B40"/>
  <c r="S40"/>
  <c r="D37"/>
  <c r="Q36"/>
  <c r="P36"/>
  <c r="O36"/>
  <c r="N36"/>
  <c r="Q35"/>
  <c r="P35"/>
  <c r="O35"/>
  <c r="N35"/>
  <c r="Q34"/>
  <c r="P34"/>
  <c r="O34"/>
  <c r="N34"/>
  <c r="Q33"/>
  <c r="F34"/>
  <c r="P33"/>
  <c r="E34"/>
  <c r="E35"/>
  <c r="E36"/>
  <c r="U36"/>
  <c r="O33"/>
  <c r="C34"/>
  <c r="N33"/>
  <c r="B34"/>
  <c r="B35"/>
  <c r="B36"/>
  <c r="S36"/>
  <c r="D33"/>
  <c r="Q32"/>
  <c r="P32"/>
  <c r="O32"/>
  <c r="N32"/>
  <c r="Q31"/>
  <c r="P31"/>
  <c r="O31"/>
  <c r="N31"/>
  <c r="Q30"/>
  <c r="P30"/>
  <c r="O30"/>
  <c r="N30"/>
  <c r="Q29"/>
  <c r="F30"/>
  <c r="F31"/>
  <c r="F32"/>
  <c r="V32"/>
  <c r="P29"/>
  <c r="E30"/>
  <c r="O29"/>
  <c r="C30"/>
  <c r="N29"/>
  <c r="B30"/>
  <c r="D29"/>
  <c r="T28"/>
  <c r="Q28"/>
  <c r="P28"/>
  <c r="O28"/>
  <c r="N28"/>
  <c r="D28"/>
  <c r="Q27"/>
  <c r="P27"/>
  <c r="O27"/>
  <c r="N27"/>
  <c r="Q26"/>
  <c r="P26"/>
  <c r="O26"/>
  <c r="N26"/>
  <c r="Q25"/>
  <c r="F26"/>
  <c r="P25"/>
  <c r="E26"/>
  <c r="E27"/>
  <c r="E28"/>
  <c r="U28"/>
  <c r="O25"/>
  <c r="C26"/>
  <c r="N25"/>
  <c r="B26"/>
  <c r="B27"/>
  <c r="B28"/>
  <c r="S28"/>
  <c r="D25"/>
  <c r="Q24"/>
  <c r="P24"/>
  <c r="O24"/>
  <c r="N24"/>
  <c r="Q23"/>
  <c r="P23"/>
  <c r="O23"/>
  <c r="N23"/>
  <c r="Q22"/>
  <c r="P22"/>
  <c r="O22"/>
  <c r="N22"/>
  <c r="Q21"/>
  <c r="F22"/>
  <c r="P21"/>
  <c r="E22"/>
  <c r="E23"/>
  <c r="E24"/>
  <c r="U24"/>
  <c r="O21"/>
  <c r="C22"/>
  <c r="N21"/>
  <c r="B22"/>
  <c r="B23"/>
  <c r="B24"/>
  <c r="S24"/>
  <c r="D21"/>
  <c r="Q20"/>
  <c r="P20"/>
  <c r="O20"/>
  <c r="N20"/>
  <c r="Q19"/>
  <c r="AB19"/>
  <c r="P19"/>
  <c r="O19"/>
  <c r="Y19"/>
  <c r="Z19"/>
  <c r="N19"/>
  <c r="X19"/>
  <c r="Q18"/>
  <c r="P18"/>
  <c r="O18"/>
  <c r="N18"/>
  <c r="Q17"/>
  <c r="F18"/>
  <c r="P17"/>
  <c r="E18"/>
  <c r="E19"/>
  <c r="E20"/>
  <c r="U20"/>
  <c r="O17"/>
  <c r="C18"/>
  <c r="N17"/>
  <c r="B18"/>
  <c r="B19"/>
  <c r="B20"/>
  <c r="S20"/>
  <c r="D17"/>
  <c r="Q16"/>
  <c r="P16"/>
  <c r="O16"/>
  <c r="N16"/>
  <c r="Q15"/>
  <c r="P15"/>
  <c r="O15"/>
  <c r="N15"/>
  <c r="Q14"/>
  <c r="P14"/>
  <c r="O14"/>
  <c r="N14"/>
  <c r="Q13"/>
  <c r="F14"/>
  <c r="P13"/>
  <c r="E14"/>
  <c r="E15"/>
  <c r="E16"/>
  <c r="U16"/>
  <c r="O13"/>
  <c r="C14"/>
  <c r="N13"/>
  <c r="B14"/>
  <c r="B15"/>
  <c r="B16"/>
  <c r="S16"/>
  <c r="D13"/>
  <c r="Q12"/>
  <c r="P12"/>
  <c r="O12"/>
  <c r="N12"/>
  <c r="Q11"/>
  <c r="P11"/>
  <c r="O11"/>
  <c r="N11"/>
  <c r="Q10"/>
  <c r="P10"/>
  <c r="O10"/>
  <c r="N10"/>
  <c r="Q9"/>
  <c r="F10"/>
  <c r="P9"/>
  <c r="O9"/>
  <c r="C10"/>
  <c r="N9"/>
  <c r="B10"/>
  <c r="D9"/>
  <c r="X3"/>
  <c r="X5"/>
  <c r="X6"/>
  <c r="X7"/>
  <c r="X8"/>
  <c r="AA3"/>
  <c r="AA5"/>
  <c r="AA6"/>
  <c r="AA7"/>
  <c r="AA8"/>
  <c r="Y5"/>
  <c r="Z5"/>
  <c r="Y6"/>
  <c r="Z6"/>
  <c r="Y7"/>
  <c r="Z7"/>
  <c r="Y8"/>
  <c r="Z8"/>
  <c r="Y3"/>
  <c r="Z3"/>
  <c r="AB8"/>
  <c r="AB3"/>
  <c r="AB5"/>
  <c r="AB6"/>
  <c r="AB7"/>
  <c r="B11"/>
  <c r="B12"/>
  <c r="S12"/>
  <c r="E10"/>
  <c r="E11"/>
  <c r="E12"/>
  <c r="U12"/>
  <c r="B31"/>
  <c r="B32"/>
  <c r="S32"/>
  <c r="E31"/>
  <c r="E32"/>
  <c r="U32"/>
  <c r="S48"/>
  <c r="Z18"/>
  <c r="AA19"/>
  <c r="F11"/>
  <c r="F12"/>
  <c r="V12"/>
  <c r="F15"/>
  <c r="F16"/>
  <c r="V16"/>
  <c r="F19"/>
  <c r="F20"/>
  <c r="V20"/>
  <c r="F23"/>
  <c r="F24"/>
  <c r="V24"/>
  <c r="F27"/>
  <c r="F28"/>
  <c r="V28"/>
  <c r="F35"/>
  <c r="F36"/>
  <c r="V36"/>
  <c r="F39"/>
  <c r="F40"/>
  <c r="V40"/>
  <c r="F43"/>
  <c r="F44"/>
  <c r="V44"/>
  <c r="C11"/>
  <c r="D10"/>
  <c r="C19"/>
  <c r="D18"/>
  <c r="C23"/>
  <c r="D22"/>
  <c r="C27"/>
  <c r="D27"/>
  <c r="D26"/>
  <c r="C31"/>
  <c r="D30"/>
  <c r="C35"/>
  <c r="D34"/>
  <c r="C39"/>
  <c r="D38"/>
  <c r="C43"/>
  <c r="D42"/>
  <c r="C15"/>
  <c r="D14"/>
  <c r="E46"/>
  <c r="N47"/>
  <c r="B46"/>
  <c r="Q47"/>
  <c r="T48"/>
  <c r="O48"/>
  <c r="D48"/>
  <c r="C47"/>
  <c r="P48"/>
  <c r="U48"/>
  <c r="Q48"/>
  <c r="C51"/>
  <c r="E51"/>
  <c r="E50"/>
  <c r="D52"/>
  <c r="C55"/>
  <c r="E55"/>
  <c r="E54"/>
  <c r="D56"/>
  <c r="C59"/>
  <c r="E59"/>
  <c r="E58"/>
  <c r="D60"/>
  <c r="C63"/>
  <c r="C67"/>
  <c r="U16" i="4"/>
  <c r="S16"/>
  <c r="Q16"/>
  <c r="O16"/>
  <c r="M16"/>
  <c r="L16" s="1"/>
  <c r="K16"/>
  <c r="P45" i="59"/>
  <c r="P46"/>
  <c r="D67"/>
  <c r="C66"/>
  <c r="D66"/>
  <c r="D59"/>
  <c r="C58"/>
  <c r="D58"/>
  <c r="D51"/>
  <c r="C50"/>
  <c r="D50"/>
  <c r="C46"/>
  <c r="O47"/>
  <c r="D47"/>
  <c r="D63"/>
  <c r="C62"/>
  <c r="D62"/>
  <c r="D55"/>
  <c r="C54"/>
  <c r="D54"/>
  <c r="N45"/>
  <c r="N46"/>
  <c r="C16"/>
  <c r="D15"/>
  <c r="C44"/>
  <c r="D43"/>
  <c r="D39"/>
  <c r="C40"/>
  <c r="C36"/>
  <c r="D35"/>
  <c r="C32"/>
  <c r="D31"/>
  <c r="C24"/>
  <c r="D23"/>
  <c r="C20"/>
  <c r="D19"/>
  <c r="C12"/>
  <c r="D11"/>
  <c r="N16" i="4"/>
  <c r="T40" i="59"/>
  <c r="D40"/>
  <c r="T12"/>
  <c r="D12"/>
  <c r="T20"/>
  <c r="D20"/>
  <c r="T24"/>
  <c r="D24"/>
  <c r="T32"/>
  <c r="D32"/>
  <c r="T36"/>
  <c r="D36"/>
  <c r="T44"/>
  <c r="D44"/>
  <c r="T16"/>
  <c r="D16"/>
  <c r="O46"/>
  <c r="D46"/>
  <c r="O45"/>
  <c r="O27" i="6"/>
  <c r="N27"/>
  <c r="P26"/>
  <c r="L26"/>
  <c r="P25"/>
  <c r="L25"/>
  <c r="P24"/>
  <c r="L24"/>
  <c r="P23"/>
  <c r="L23"/>
  <c r="P22"/>
  <c r="L22"/>
  <c r="P21"/>
  <c r="L21"/>
  <c r="P20"/>
  <c r="P19"/>
  <c r="P27"/>
  <c r="Z18" i="36"/>
  <c r="Q18"/>
  <c r="C18"/>
  <c r="D66"/>
  <c r="F18"/>
  <c r="AA18"/>
  <c r="Z18" i="35"/>
  <c r="Q18"/>
  <c r="F18"/>
  <c r="AA18"/>
  <c r="C18"/>
  <c r="D68"/>
  <c r="E68"/>
  <c r="F68"/>
  <c r="G68"/>
  <c r="Z21" i="37"/>
  <c r="Q21"/>
  <c r="F21"/>
  <c r="AA21"/>
  <c r="C21"/>
  <c r="E77"/>
  <c r="F77"/>
  <c r="G77"/>
  <c r="D77"/>
  <c r="Z21" i="34"/>
  <c r="Q21"/>
  <c r="C21"/>
  <c r="D84"/>
  <c r="F21"/>
  <c r="AA21"/>
  <c r="Z21" i="33"/>
  <c r="Q21"/>
  <c r="C21"/>
  <c r="D83"/>
  <c r="E83"/>
  <c r="F83"/>
  <c r="G83"/>
  <c r="Z21" i="21"/>
  <c r="Q21"/>
  <c r="D83"/>
  <c r="E83"/>
  <c r="F21"/>
  <c r="AA21"/>
  <c r="C21"/>
  <c r="Z27" i="40"/>
  <c r="Q27"/>
  <c r="D96"/>
  <c r="E96"/>
  <c r="F27"/>
  <c r="AA27"/>
  <c r="Z31" i="39"/>
  <c r="Q31"/>
  <c r="D105"/>
  <c r="E105" s="1"/>
  <c r="F105" s="1"/>
  <c r="G105" s="1"/>
  <c r="F31"/>
  <c r="AA31" s="1"/>
  <c r="G20" i="20"/>
  <c r="B85" i="46"/>
  <c r="C22" i="20"/>
  <c r="B65" i="46"/>
  <c r="S18" i="36"/>
  <c r="S18" i="35"/>
  <c r="S21" i="37"/>
  <c r="S21" i="34"/>
  <c r="S21" i="21"/>
  <c r="S27" i="40"/>
  <c r="C27"/>
  <c r="C31" i="39"/>
  <c r="B54" i="46"/>
  <c r="B74"/>
  <c r="E66" i="36"/>
  <c r="H18" i="35"/>
  <c r="J18"/>
  <c r="H21" i="37"/>
  <c r="J21"/>
  <c r="E84" i="34"/>
  <c r="F84"/>
  <c r="G84"/>
  <c r="J21"/>
  <c r="H21"/>
  <c r="F21" i="33"/>
  <c r="H21"/>
  <c r="J21"/>
  <c r="F83" i="21"/>
  <c r="H21"/>
  <c r="G83"/>
  <c r="J21"/>
  <c r="F96" i="40"/>
  <c r="H27"/>
  <c r="H31" i="39"/>
  <c r="F23" i="15"/>
  <c r="D22" s="1"/>
  <c r="G17" i="11"/>
  <c r="F15" i="15"/>
  <c r="F17"/>
  <c r="F18"/>
  <c r="F20"/>
  <c r="F21"/>
  <c r="F33"/>
  <c r="F60"/>
  <c r="K2" i="4"/>
  <c r="K1"/>
  <c r="B1"/>
  <c r="B37" i="50"/>
  <c r="B2" i="63" s="1"/>
  <c r="C31" i="57"/>
  <c r="C32"/>
  <c r="I23"/>
  <c r="D20"/>
  <c r="I19"/>
  <c r="I18"/>
  <c r="I17"/>
  <c r="I20"/>
  <c r="E15"/>
  <c r="I14"/>
  <c r="I13"/>
  <c r="I12"/>
  <c r="I15"/>
  <c r="I9"/>
  <c r="I8"/>
  <c r="I7"/>
  <c r="I6"/>
  <c r="I5"/>
  <c r="I4"/>
  <c r="I3"/>
  <c r="I10"/>
  <c r="I21"/>
  <c r="D1"/>
  <c r="E10"/>
  <c r="C30"/>
  <c r="E26"/>
  <c r="C112" i="9"/>
  <c r="C7" i="11"/>
  <c r="F80" i="46"/>
  <c r="H81" s="1"/>
  <c r="D1"/>
  <c r="F113"/>
  <c r="D99"/>
  <c r="D108"/>
  <c r="E99"/>
  <c r="E108"/>
  <c r="F99"/>
  <c r="F100"/>
  <c r="G99"/>
  <c r="G108"/>
  <c r="H99"/>
  <c r="H108"/>
  <c r="I99"/>
  <c r="I108"/>
  <c r="J99"/>
  <c r="J108"/>
  <c r="K99"/>
  <c r="K108"/>
  <c r="L99"/>
  <c r="M99"/>
  <c r="M108"/>
  <c r="N99"/>
  <c r="N108"/>
  <c r="C99"/>
  <c r="C108"/>
  <c r="L108"/>
  <c r="K100"/>
  <c r="D100"/>
  <c r="L100"/>
  <c r="K58"/>
  <c r="J58"/>
  <c r="D58"/>
  <c r="K50"/>
  <c r="D83"/>
  <c r="D77"/>
  <c r="B83"/>
  <c r="B82"/>
  <c r="B71"/>
  <c r="B60"/>
  <c r="B49"/>
  <c r="M87"/>
  <c r="N87"/>
  <c r="K87"/>
  <c r="J87"/>
  <c r="D87"/>
  <c r="M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D73"/>
  <c r="K73"/>
  <c r="J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M54"/>
  <c r="N54"/>
  <c r="K54"/>
  <c r="M53"/>
  <c r="N53"/>
  <c r="K53"/>
  <c r="J53"/>
  <c r="D53"/>
  <c r="M52"/>
  <c r="N52"/>
  <c r="K52"/>
  <c r="J52"/>
  <c r="D52"/>
  <c r="M51"/>
  <c r="N51"/>
  <c r="K51"/>
  <c r="M50"/>
  <c r="N50"/>
  <c r="M49"/>
  <c r="N49"/>
  <c r="K49"/>
  <c r="J49"/>
  <c r="D49"/>
  <c r="M48"/>
  <c r="N48"/>
  <c r="K48"/>
  <c r="J48"/>
  <c r="D48"/>
  <c r="M47"/>
  <c r="N47"/>
  <c r="K47"/>
  <c r="J47"/>
  <c r="D47"/>
  <c r="J51"/>
  <c r="D51"/>
  <c r="J55"/>
  <c r="D55"/>
  <c r="N86"/>
  <c r="D80"/>
  <c r="D81"/>
  <c r="N73"/>
  <c r="D75"/>
  <c r="J66"/>
  <c r="D66"/>
  <c r="J50"/>
  <c r="D50"/>
  <c r="J54"/>
  <c r="D54"/>
  <c r="Q73" i="15"/>
  <c r="Q60"/>
  <c r="Q59"/>
  <c r="Q52"/>
  <c r="AE9" i="1"/>
  <c r="AE10"/>
  <c r="AE11"/>
  <c r="AE12"/>
  <c r="AE13"/>
  <c r="M47" i="15"/>
  <c r="J50"/>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s="1"/>
  <c r="F13"/>
  <c r="AP13" s="1"/>
  <c r="D11"/>
  <c r="D12"/>
  <c r="D13"/>
  <c r="D6"/>
  <c r="D7"/>
  <c r="D8"/>
  <c r="D9"/>
  <c r="F10"/>
  <c r="AP10" s="1"/>
  <c r="D10"/>
  <c r="B2"/>
  <c r="C42" s="1"/>
  <c r="A12"/>
  <c r="R12" s="1"/>
  <c r="A13"/>
  <c r="B13" s="1"/>
  <c r="E13" s="1"/>
  <c r="A7"/>
  <c r="A8"/>
  <c r="A9"/>
  <c r="A10"/>
  <c r="R10" s="1"/>
  <c r="A11"/>
  <c r="A6"/>
  <c r="T4"/>
  <c r="K13"/>
  <c r="M13" s="1"/>
  <c r="G79" i="36"/>
  <c r="G85" i="35"/>
  <c r="G97" i="37"/>
  <c r="G110" i="34"/>
  <c r="G109" i="33"/>
  <c r="L2" i="31"/>
  <c r="K2"/>
  <c r="J2"/>
  <c r="I2"/>
  <c r="H2"/>
  <c r="G2"/>
  <c r="F2"/>
  <c r="E2"/>
  <c r="D2"/>
  <c r="C2"/>
  <c r="D60" i="15"/>
  <c r="G19" i="20"/>
  <c r="B84" i="46"/>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Z2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c r="C62" s="1"/>
  <c r="H61"/>
  <c r="I61" s="1"/>
  <c r="C61" s="1"/>
  <c r="H60"/>
  <c r="H59"/>
  <c r="H58"/>
  <c r="I58" s="1"/>
  <c r="C58" s="1"/>
  <c r="H57"/>
  <c r="I57" s="1"/>
  <c r="C57" s="1"/>
  <c r="H56"/>
  <c r="I56"/>
  <c r="C56" s="1"/>
  <c r="H55"/>
  <c r="I55" s="1"/>
  <c r="C55" s="1"/>
  <c r="H54"/>
  <c r="I54" s="1"/>
  <c r="C54" s="1"/>
  <c r="H63" i="39"/>
  <c r="I63" s="1"/>
  <c r="C63" s="1"/>
  <c r="H59"/>
  <c r="I59"/>
  <c r="C59" s="1"/>
  <c r="H67"/>
  <c r="I67" s="1"/>
  <c r="C67" s="1"/>
  <c r="H66"/>
  <c r="I66" s="1"/>
  <c r="C66" s="1"/>
  <c r="H65"/>
  <c r="I65" s="1"/>
  <c r="C65" s="1"/>
  <c r="H64"/>
  <c r="I64"/>
  <c r="C64" s="1"/>
  <c r="H62"/>
  <c r="I62" s="1"/>
  <c r="C62" s="1"/>
  <c r="H61"/>
  <c r="I61" s="1"/>
  <c r="C61" s="1"/>
  <c r="H60"/>
  <c r="I60" s="1"/>
  <c r="C60" s="1"/>
  <c r="L25" i="4"/>
  <c r="C109" i="9"/>
  <c r="C145" i="21"/>
  <c r="J142"/>
  <c r="J140"/>
  <c r="K145"/>
  <c r="K139"/>
  <c r="M87"/>
  <c r="L87"/>
  <c r="K87"/>
  <c r="J87"/>
  <c r="I87"/>
  <c r="H87"/>
  <c r="G87"/>
  <c r="F87"/>
  <c r="E87"/>
  <c r="D87"/>
  <c r="G2" i="46"/>
  <c r="X7" s="1"/>
  <c r="G19"/>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B62" i="63"/>
  <c r="L24" i="4"/>
  <c r="A2" i="55"/>
  <c r="B55" i="63" s="1"/>
  <c r="N3" i="54"/>
  <c r="B42" i="63" s="1"/>
  <c r="A2" i="9"/>
  <c r="T16" i="4"/>
  <c r="D14"/>
  <c r="G36"/>
  <c r="K2" i="54"/>
  <c r="B23" i="63" s="1"/>
  <c r="A3" i="51"/>
  <c r="R41" i="4"/>
  <c r="Q41"/>
  <c r="P41"/>
  <c r="O41"/>
  <c r="N41"/>
  <c r="M41"/>
  <c r="L41"/>
  <c r="K40"/>
  <c r="T40"/>
  <c r="F23"/>
  <c r="D19"/>
  <c r="I19"/>
  <c r="H19"/>
  <c r="G19"/>
  <c r="F9" i="1"/>
  <c r="F19" i="4"/>
  <c r="F8" i="1"/>
  <c r="E19" i="4"/>
  <c r="F7" i="1"/>
  <c r="B2" i="52"/>
  <c r="E22" s="1"/>
  <c r="I2" i="46"/>
  <c r="N12" s="1"/>
  <c r="A7"/>
  <c r="F41" i="4"/>
  <c r="J52" i="40"/>
  <c r="H61" i="49"/>
  <c r="H39" i="46"/>
  <c r="H38"/>
  <c r="H37"/>
  <c r="H36"/>
  <c r="H35"/>
  <c r="H34"/>
  <c r="H33"/>
  <c r="G20"/>
  <c r="J20"/>
  <c r="C18"/>
  <c r="G17"/>
  <c r="F15"/>
  <c r="E15"/>
  <c r="D15"/>
  <c r="C15"/>
  <c r="C10"/>
  <c r="C11" s="1"/>
  <c r="C9"/>
  <c r="E20" i="6"/>
  <c r="D9" i="12" s="1"/>
  <c r="D10" s="1"/>
  <c r="E21" i="6"/>
  <c r="K8" i="1" s="1"/>
  <c r="M8" s="1"/>
  <c r="E22" i="6"/>
  <c r="E23"/>
  <c r="E24"/>
  <c r="E25"/>
  <c r="E26"/>
  <c r="D38" i="4"/>
  <c r="C39" s="1"/>
  <c r="C35"/>
  <c r="E16" i="12"/>
  <c r="F14"/>
  <c r="F15"/>
  <c r="F17"/>
  <c r="E19"/>
  <c r="E21"/>
  <c r="E22"/>
  <c r="F23"/>
  <c r="F24"/>
  <c r="F25"/>
  <c r="C43" i="9"/>
  <c r="K47"/>
  <c r="B65" i="63"/>
  <c r="I73" i="9"/>
  <c r="F73"/>
  <c r="P73" s="1"/>
  <c r="D107"/>
  <c r="C107" s="1"/>
  <c r="C105" s="1"/>
  <c r="C110" s="1"/>
  <c r="C17"/>
  <c r="D17"/>
  <c r="F17" i="44"/>
  <c r="F19"/>
  <c r="F22"/>
  <c r="F25"/>
  <c r="D25" s="1"/>
  <c r="F23"/>
  <c r="E16" i="43"/>
  <c r="F14"/>
  <c r="F15"/>
  <c r="F17"/>
  <c r="F19"/>
  <c r="F20"/>
  <c r="F10" i="40"/>
  <c r="AA10"/>
  <c r="F11"/>
  <c r="AA11"/>
  <c r="C21"/>
  <c r="C32"/>
  <c r="F32" s="1"/>
  <c r="AA32" s="1"/>
  <c r="F36"/>
  <c r="AA36"/>
  <c r="H10"/>
  <c r="AB10"/>
  <c r="H11"/>
  <c r="AB11"/>
  <c r="H36"/>
  <c r="AB36"/>
  <c r="J10"/>
  <c r="AC10"/>
  <c r="J11"/>
  <c r="AC11"/>
  <c r="J36"/>
  <c r="AC36"/>
  <c r="F10" i="39"/>
  <c r="AA10"/>
  <c r="F11"/>
  <c r="AA11"/>
  <c r="C25"/>
  <c r="F36"/>
  <c r="AA36"/>
  <c r="F40"/>
  <c r="AA40" s="1"/>
  <c r="F42"/>
  <c r="AA42"/>
  <c r="H10"/>
  <c r="AB10"/>
  <c r="H11"/>
  <c r="AB11"/>
  <c r="H36"/>
  <c r="AB36"/>
  <c r="H40"/>
  <c r="AB40" s="1"/>
  <c r="H42"/>
  <c r="AB42"/>
  <c r="J10"/>
  <c r="AC10"/>
  <c r="J11"/>
  <c r="AC11"/>
  <c r="J36"/>
  <c r="AC36"/>
  <c r="J40"/>
  <c r="AC40" s="1"/>
  <c r="J42"/>
  <c r="AC42"/>
  <c r="F35" i="44"/>
  <c r="M21"/>
  <c r="F20"/>
  <c r="C6" i="43"/>
  <c r="K9"/>
  <c r="J9"/>
  <c r="I9"/>
  <c r="H9"/>
  <c r="G9"/>
  <c r="F9"/>
  <c r="E9"/>
  <c r="D9"/>
  <c r="C9"/>
  <c r="B24" i="1"/>
  <c r="E77" i="9"/>
  <c r="O75"/>
  <c r="L75"/>
  <c r="F77"/>
  <c r="P75"/>
  <c r="O74"/>
  <c r="O73"/>
  <c r="E66"/>
  <c r="O72"/>
  <c r="F74"/>
  <c r="P74"/>
  <c r="N67"/>
  <c r="K44"/>
  <c r="K43"/>
  <c r="B31" i="1"/>
  <c r="E10" i="11"/>
  <c r="B22" i="1"/>
  <c r="C2" i="65"/>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AZ14" s="1"/>
  <c r="BB14"/>
  <c r="BC14"/>
  <c r="BD14"/>
  <c r="BE14"/>
  <c r="BF14"/>
  <c r="BG14"/>
  <c r="BH14"/>
  <c r="BI14"/>
  <c r="BJ14"/>
  <c r="BK14"/>
  <c r="BB15"/>
  <c r="BC15"/>
  <c r="BD15"/>
  <c r="BE15"/>
  <c r="BF15"/>
  <c r="BG15"/>
  <c r="BH15"/>
  <c r="BI15"/>
  <c r="BJ15"/>
  <c r="BK15"/>
  <c r="BB16"/>
  <c r="BC16"/>
  <c r="BD16"/>
  <c r="BE16"/>
  <c r="BF16"/>
  <c r="BG16"/>
  <c r="BH16"/>
  <c r="BI16"/>
  <c r="BJ16"/>
  <c r="BK16"/>
  <c r="BC11"/>
  <c r="BD11"/>
  <c r="C11" i="11"/>
  <c r="C10"/>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c r="F6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14" i="3"/>
  <c r="AC14"/>
  <c r="G14" s="1"/>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F37"/>
  <c r="AA37"/>
  <c r="D111"/>
  <c r="E111"/>
  <c r="F111"/>
  <c r="G111"/>
  <c r="H111"/>
  <c r="I111"/>
  <c r="J111"/>
  <c r="K111"/>
  <c r="L111"/>
  <c r="M111"/>
  <c r="S515" i="31"/>
  <c r="S517"/>
  <c r="S519"/>
  <c r="S521"/>
  <c r="S523"/>
  <c r="F41" i="21"/>
  <c r="J41"/>
  <c r="AC41"/>
  <c r="H41"/>
  <c r="U41"/>
  <c r="D83" i="39"/>
  <c r="E83"/>
  <c r="F83"/>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s="1"/>
  <c r="D126" i="39"/>
  <c r="E126" s="1"/>
  <c r="F126" s="1"/>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D103"/>
  <c r="D101"/>
  <c r="E101" s="1"/>
  <c r="Q41"/>
  <c r="Z41"/>
  <c r="Q42"/>
  <c r="Z42"/>
  <c r="Q43"/>
  <c r="Q44"/>
  <c r="Z44"/>
  <c r="Q45"/>
  <c r="Z45"/>
  <c r="Q46"/>
  <c r="Z46"/>
  <c r="Q47"/>
  <c r="Z47"/>
  <c r="Q40"/>
  <c r="Z40"/>
  <c r="Q38"/>
  <c r="Z38"/>
  <c r="Q39"/>
  <c r="Z39"/>
  <c r="Z43"/>
  <c r="M118"/>
  <c r="L118"/>
  <c r="K118"/>
  <c r="J118"/>
  <c r="I118"/>
  <c r="H118"/>
  <c r="G118"/>
  <c r="F118"/>
  <c r="E118"/>
  <c r="D118"/>
  <c r="C118"/>
  <c r="B133"/>
  <c r="B131"/>
  <c r="B129"/>
  <c r="D128"/>
  <c r="D124"/>
  <c r="E124"/>
  <c r="F124"/>
  <c r="G124"/>
  <c r="H124"/>
  <c r="I124"/>
  <c r="J124"/>
  <c r="K124"/>
  <c r="L124"/>
  <c r="M124"/>
  <c r="B106"/>
  <c r="D99"/>
  <c r="E99" s="1"/>
  <c r="F99" s="1"/>
  <c r="G99" s="1"/>
  <c r="D97"/>
  <c r="D95"/>
  <c r="E95"/>
  <c r="F95"/>
  <c r="G95"/>
  <c r="D93"/>
  <c r="E93" s="1"/>
  <c r="D91"/>
  <c r="E91" s="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s="1"/>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c r="H9"/>
  <c r="AB9"/>
  <c r="F9"/>
  <c r="AA9"/>
  <c r="J8"/>
  <c r="W8"/>
  <c r="H8"/>
  <c r="F8"/>
  <c r="C7"/>
  <c r="C58" s="1"/>
  <c r="D58" s="1"/>
  <c r="E58" s="1"/>
  <c r="M102" i="21"/>
  <c r="D102"/>
  <c r="E102"/>
  <c r="F102"/>
  <c r="G102"/>
  <c r="H102"/>
  <c r="I102"/>
  <c r="J102"/>
  <c r="K102"/>
  <c r="L102"/>
  <c r="C102"/>
  <c r="C63"/>
  <c r="F9"/>
  <c r="S9"/>
  <c r="G18" i="20"/>
  <c r="B87" i="46"/>
  <c r="C25" i="40"/>
  <c r="G16" i="20"/>
  <c r="B81" i="46"/>
  <c r="G15" i="20"/>
  <c r="B80" i="46"/>
  <c r="C24" i="20"/>
  <c r="B72" i="46"/>
  <c r="C21" i="20"/>
  <c r="B73" i="46"/>
  <c r="C20" i="20"/>
  <c r="B76" i="46"/>
  <c r="C18" i="20"/>
  <c r="B70" i="46"/>
  <c r="C17" i="20"/>
  <c r="B58" i="46"/>
  <c r="C16" i="20"/>
  <c r="B47" i="46"/>
  <c r="C15" i="20"/>
  <c r="B69" i="46"/>
  <c r="E54" i="21"/>
  <c r="F54"/>
  <c r="I54"/>
  <c r="J54"/>
  <c r="G54"/>
  <c r="H54"/>
  <c r="D125"/>
  <c r="E125"/>
  <c r="D123"/>
  <c r="E123"/>
  <c r="F123"/>
  <c r="G123"/>
  <c r="H123"/>
  <c r="I123"/>
  <c r="J123"/>
  <c r="K123"/>
  <c r="L123"/>
  <c r="M123"/>
  <c r="H42"/>
  <c r="AB42"/>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D81"/>
  <c r="E81"/>
  <c r="F81"/>
  <c r="G81"/>
  <c r="D77"/>
  <c r="E77"/>
  <c r="B130"/>
  <c r="B128"/>
  <c r="B126"/>
  <c r="B98"/>
  <c r="B96"/>
  <c r="B94"/>
  <c r="B92"/>
  <c r="B90"/>
  <c r="B74"/>
  <c r="B72"/>
  <c r="B70"/>
  <c r="F12"/>
  <c r="F10"/>
  <c r="AA10"/>
  <c r="C7"/>
  <c r="C58" s="1"/>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3" i="11"/>
  <c r="E12"/>
  <c r="BB12" i="3"/>
  <c r="F9" i="12"/>
  <c r="G9"/>
  <c r="K5" i="3"/>
  <c r="J5"/>
  <c r="BE10"/>
  <c r="BF5"/>
  <c r="BG5"/>
  <c r="BI5"/>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5"/>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c r="H34"/>
  <c r="U34"/>
  <c r="F43"/>
  <c r="S43"/>
  <c r="H38"/>
  <c r="AB38"/>
  <c r="H43"/>
  <c r="AB43"/>
  <c r="F32"/>
  <c r="F38"/>
  <c r="S38"/>
  <c r="F36"/>
  <c r="S36"/>
  <c r="F39"/>
  <c r="AA39"/>
  <c r="J40"/>
  <c r="W40"/>
  <c r="H35"/>
  <c r="AB35"/>
  <c r="J8"/>
  <c r="AC8"/>
  <c r="J9"/>
  <c r="AC9"/>
  <c r="H8"/>
  <c r="H9"/>
  <c r="AB9"/>
  <c r="H10"/>
  <c r="U10"/>
  <c r="H39"/>
  <c r="AB39"/>
  <c r="J34"/>
  <c r="W34"/>
  <c r="H36"/>
  <c r="U36"/>
  <c r="F35"/>
  <c r="AA35"/>
  <c r="J33"/>
  <c r="W33"/>
  <c r="H33"/>
  <c r="U33"/>
  <c r="F33"/>
  <c r="J10"/>
  <c r="AC10"/>
  <c r="H26"/>
  <c r="F19"/>
  <c r="AA19"/>
  <c r="H19"/>
  <c r="AB19"/>
  <c r="J19"/>
  <c r="W19"/>
  <c r="J12"/>
  <c r="H12"/>
  <c r="U12"/>
  <c r="J26"/>
  <c r="W26"/>
  <c r="F26"/>
  <c r="AA26"/>
  <c r="AB41"/>
  <c r="S41"/>
  <c r="AA41"/>
  <c r="W41"/>
  <c r="S10" i="39"/>
  <c r="U30" i="37"/>
  <c r="E103"/>
  <c r="F103"/>
  <c r="F39"/>
  <c r="S39"/>
  <c r="W39"/>
  <c r="F29" i="36"/>
  <c r="AA29"/>
  <c r="F16"/>
  <c r="AA16"/>
  <c r="U22"/>
  <c r="W23"/>
  <c r="W22"/>
  <c r="U26"/>
  <c r="AC31"/>
  <c r="J33"/>
  <c r="W33"/>
  <c r="AC27" i="35"/>
  <c r="U31"/>
  <c r="S34"/>
  <c r="W36"/>
  <c r="W24"/>
  <c r="S31"/>
  <c r="W31"/>
  <c r="U34"/>
  <c r="F36" i="34"/>
  <c r="S36"/>
  <c r="W9"/>
  <c r="S34"/>
  <c r="W39"/>
  <c r="H39" i="33"/>
  <c r="AB39"/>
  <c r="F26"/>
  <c r="AA26"/>
  <c r="U9"/>
  <c r="U33"/>
  <c r="W38"/>
  <c r="S40"/>
  <c r="S33"/>
  <c r="W33"/>
  <c r="U38"/>
  <c r="S8" i="21"/>
  <c r="W8"/>
  <c r="H39" i="37"/>
  <c r="AB39"/>
  <c r="AB27" i="35"/>
  <c r="S10" i="40"/>
  <c r="W10"/>
  <c r="S11"/>
  <c r="U11"/>
  <c r="S36"/>
  <c r="U36"/>
  <c r="S36" i="39"/>
  <c r="F11" i="21"/>
  <c r="S11"/>
  <c r="AC40"/>
  <c r="AA38"/>
  <c r="AB36"/>
  <c r="AC35"/>
  <c r="C29" i="39"/>
  <c r="C23"/>
  <c r="U36"/>
  <c r="S42"/>
  <c r="H32" i="33"/>
  <c r="AB32"/>
  <c r="H11" i="21"/>
  <c r="U11"/>
  <c r="J11"/>
  <c r="W1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F36"/>
  <c r="S36"/>
  <c r="F19"/>
  <c r="S19"/>
  <c r="J19"/>
  <c r="S10" i="21"/>
  <c r="W40" i="33"/>
  <c r="F125" i="21"/>
  <c r="G125"/>
  <c r="G86" i="40"/>
  <c r="AB30" i="36"/>
  <c r="AC34"/>
  <c r="S22" i="35"/>
  <c r="H29"/>
  <c r="U34" i="37"/>
  <c r="S34"/>
  <c r="AA34"/>
  <c r="AC43" i="34"/>
  <c r="AB42"/>
  <c r="AB40"/>
  <c r="W36"/>
  <c r="J19"/>
  <c r="AC19"/>
  <c r="F113" i="33"/>
  <c r="G113"/>
  <c r="H113"/>
  <c r="I113"/>
  <c r="J113"/>
  <c r="K113"/>
  <c r="L113"/>
  <c r="M113"/>
  <c r="H37"/>
  <c r="AB37"/>
  <c r="S37"/>
  <c r="W43" i="34"/>
  <c r="AC42"/>
  <c r="W42"/>
  <c r="AA42"/>
  <c r="S42"/>
  <c r="AC38"/>
  <c r="W38"/>
  <c r="AA38"/>
  <c r="S38"/>
  <c r="J37" i="33"/>
  <c r="W37"/>
  <c r="J42" i="21"/>
  <c r="AC42"/>
  <c r="J44" i="34"/>
  <c r="AC44"/>
  <c r="F44"/>
  <c r="S44"/>
  <c r="J10" i="35"/>
  <c r="W10"/>
  <c r="AL5" i="3"/>
  <c r="BL572"/>
  <c r="AZ572"/>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S28"/>
  <c r="AA28"/>
  <c r="AB14"/>
  <c r="W14"/>
  <c r="AC14"/>
  <c r="W42"/>
  <c r="W31" i="34"/>
  <c r="S46" i="33"/>
  <c r="U36" i="37"/>
  <c r="AC13" i="36"/>
  <c r="AB45" i="33"/>
  <c r="AB31"/>
  <c r="AA27"/>
  <c r="AB27"/>
  <c r="S45" i="21"/>
  <c r="AC28" i="33"/>
  <c r="U28" i="21"/>
  <c r="AB44"/>
  <c r="S19"/>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c r="AZ20"/>
  <c r="BQ18"/>
  <c r="AZ501"/>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AC41" i="34"/>
  <c r="F123" i="33"/>
  <c r="G123"/>
  <c r="H123"/>
  <c r="I123"/>
  <c r="J123"/>
  <c r="K123"/>
  <c r="L123"/>
  <c r="M123"/>
  <c r="H42"/>
  <c r="U42"/>
  <c r="J43"/>
  <c r="AC43"/>
  <c r="G79" i="37"/>
  <c r="J23"/>
  <c r="W23"/>
  <c r="F17"/>
  <c r="AA17"/>
  <c r="AB43" i="33"/>
  <c r="D3" i="21"/>
  <c r="AC33" i="36"/>
  <c r="AC12" i="35"/>
  <c r="W23"/>
  <c r="AC23" i="37"/>
  <c r="S27"/>
  <c r="U39"/>
  <c r="AC8"/>
  <c r="S25"/>
  <c r="AC36" i="34"/>
  <c r="AB8"/>
  <c r="AC37" i="33"/>
  <c r="AA13"/>
  <c r="AC45"/>
  <c r="U19" i="21"/>
  <c r="AC33"/>
  <c r="AA36"/>
  <c r="S39" i="33"/>
  <c r="F43"/>
  <c r="AA43"/>
  <c r="AA23" i="37"/>
  <c r="S10" i="35"/>
  <c r="AB44" i="33"/>
  <c r="G107" i="37"/>
  <c r="H107"/>
  <c r="I107"/>
  <c r="J107"/>
  <c r="K107"/>
  <c r="L107"/>
  <c r="M107"/>
  <c r="AA9" i="21"/>
  <c r="F37"/>
  <c r="S37"/>
  <c r="J37"/>
  <c r="W37"/>
  <c r="H19" i="34"/>
  <c r="AB19"/>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U40" i="39"/>
  <c r="F90" i="40"/>
  <c r="J21"/>
  <c r="AC21"/>
  <c r="G90"/>
  <c r="S27" i="31"/>
  <c r="AZ558" i="3"/>
  <c r="AZ540"/>
  <c r="AZ560"/>
  <c r="G483"/>
  <c r="G515"/>
  <c r="G507"/>
  <c r="G501"/>
  <c r="BA15"/>
  <c r="BL17"/>
  <c r="BL15"/>
  <c r="BA14"/>
  <c r="BT5"/>
  <c r="J57" i="39"/>
  <c r="H13" i="40"/>
  <c r="U13"/>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U43"/>
  <c r="AA13" i="40"/>
  <c r="E78"/>
  <c r="F78"/>
  <c r="G78"/>
  <c r="H78"/>
  <c r="I78"/>
  <c r="J78"/>
  <c r="K78"/>
  <c r="L78"/>
  <c r="M78"/>
  <c r="BH5" i="3"/>
  <c r="R16" i="4"/>
  <c r="P16"/>
  <c r="D3" i="35"/>
  <c r="G4" i="4"/>
  <c r="S37" i="34"/>
  <c r="J16" i="35"/>
  <c r="W16"/>
  <c r="U42" i="21"/>
  <c r="AC26" i="36"/>
  <c r="W25" i="35"/>
  <c r="AZ300" i="3"/>
  <c r="AZ354"/>
  <c r="AZ322"/>
  <c r="H13" i="39"/>
  <c r="AB13" s="1"/>
  <c r="F13"/>
  <c r="J13"/>
  <c r="AC13"/>
  <c r="AA36" i="35"/>
  <c r="H11" i="37"/>
  <c r="AB1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c r="AB36"/>
  <c r="J40"/>
  <c r="W40"/>
  <c r="F16" i="35"/>
  <c r="AA16"/>
  <c r="S24" i="36"/>
  <c r="W42" i="33"/>
  <c r="J35" i="34"/>
  <c r="W35"/>
  <c r="F107"/>
  <c r="G107"/>
  <c r="H107"/>
  <c r="I107"/>
  <c r="J107"/>
  <c r="K107"/>
  <c r="L107"/>
  <c r="M107"/>
  <c r="S30" i="36"/>
  <c r="H16"/>
  <c r="AB16"/>
  <c r="G103" i="37"/>
  <c r="H103"/>
  <c r="I103"/>
  <c r="J103"/>
  <c r="K103"/>
  <c r="L103"/>
  <c r="M103"/>
  <c r="H35"/>
  <c r="AB35"/>
  <c r="S26" i="21"/>
  <c r="AB12"/>
  <c r="H32"/>
  <c r="U32"/>
  <c r="AB26"/>
  <c r="U26"/>
  <c r="AA33"/>
  <c r="S33"/>
  <c r="U39"/>
  <c r="W9"/>
  <c r="J32"/>
  <c r="AC32"/>
  <c r="AC5" i="3"/>
  <c r="F17" i="21"/>
  <c r="S17"/>
  <c r="H17"/>
  <c r="AB17"/>
  <c r="J17"/>
  <c r="AC17"/>
  <c r="H37"/>
  <c r="U37"/>
  <c r="F40"/>
  <c r="S40"/>
  <c r="H40"/>
  <c r="AB40"/>
  <c r="E119"/>
  <c r="F119"/>
  <c r="G119"/>
  <c r="H119"/>
  <c r="I119"/>
  <c r="J119"/>
  <c r="K119"/>
  <c r="L119"/>
  <c r="M119"/>
  <c r="AA8" i="33"/>
  <c r="S8"/>
  <c r="AC8"/>
  <c r="H66"/>
  <c r="F10"/>
  <c r="AA10"/>
  <c r="F11"/>
  <c r="S11"/>
  <c r="J15"/>
  <c r="W15"/>
  <c r="H19"/>
  <c r="AB19"/>
  <c r="F32"/>
  <c r="AA32"/>
  <c r="J32"/>
  <c r="AC32"/>
  <c r="F35"/>
  <c r="AA35"/>
  <c r="AB39" i="34"/>
  <c r="F11"/>
  <c r="S11"/>
  <c r="E80"/>
  <c r="F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99"/>
  <c r="AC27"/>
  <c r="U25" i="35"/>
  <c r="S45" i="34"/>
  <c r="U31"/>
  <c r="AC40" i="37"/>
  <c r="W40"/>
  <c r="W27" i="33"/>
  <c r="AC45" i="21"/>
  <c r="S28" i="33"/>
  <c r="S14" i="21"/>
  <c r="AA44" i="34"/>
  <c r="AB29" i="35"/>
  <c r="U29"/>
  <c r="AC19" i="33"/>
  <c r="W19"/>
  <c r="U43" i="34"/>
  <c r="AB43"/>
  <c r="AC34" i="37"/>
  <c r="S35"/>
  <c r="AA35"/>
  <c r="AB10" i="35"/>
  <c r="AA32" i="21"/>
  <c r="S32"/>
  <c r="U38"/>
  <c r="AB34"/>
  <c r="BL571" i="3"/>
  <c r="BA571"/>
  <c r="AZ571"/>
  <c r="BL570"/>
  <c r="AZ570"/>
  <c r="BE5"/>
  <c r="F42" i="21"/>
  <c r="AA42"/>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21" i="39"/>
  <c r="S21"/>
  <c r="H21"/>
  <c r="J21"/>
  <c r="W21"/>
  <c r="F33"/>
  <c r="H33"/>
  <c r="U33"/>
  <c r="J33"/>
  <c r="F44"/>
  <c r="S44"/>
  <c r="H44"/>
  <c r="U44"/>
  <c r="J44"/>
  <c r="W44"/>
  <c r="E128"/>
  <c r="F128"/>
  <c r="G128"/>
  <c r="H128"/>
  <c r="I128"/>
  <c r="J128"/>
  <c r="K128"/>
  <c r="L128"/>
  <c r="M128"/>
  <c r="F46"/>
  <c r="S46"/>
  <c r="H46"/>
  <c r="U46"/>
  <c r="J46"/>
  <c r="W46"/>
  <c r="F29"/>
  <c r="AA29" s="1"/>
  <c r="E103"/>
  <c r="F103"/>
  <c r="G103" s="1"/>
  <c r="H29"/>
  <c r="U29" s="1"/>
  <c r="F34"/>
  <c r="AA34"/>
  <c r="H34"/>
  <c r="AB34"/>
  <c r="J34"/>
  <c r="AC34"/>
  <c r="F39"/>
  <c r="H39"/>
  <c r="AB39"/>
  <c r="J39"/>
  <c r="J29" i="35"/>
  <c r="AC29"/>
  <c r="F29"/>
  <c r="S29"/>
  <c r="W30" i="36"/>
  <c r="AC30"/>
  <c r="F37" i="39"/>
  <c r="S37"/>
  <c r="H37"/>
  <c r="U37"/>
  <c r="J37"/>
  <c r="W37"/>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c r="BA18"/>
  <c r="F36" i="44"/>
  <c r="F114" i="34"/>
  <c r="G114"/>
  <c r="H114"/>
  <c r="I114"/>
  <c r="J114"/>
  <c r="K114"/>
  <c r="L114"/>
  <c r="M114"/>
  <c r="H38"/>
  <c r="U38"/>
  <c r="H30" i="40"/>
  <c r="AB30"/>
  <c r="G100"/>
  <c r="J30"/>
  <c r="AC30"/>
  <c r="F38"/>
  <c r="AA38"/>
  <c r="AA36" i="34"/>
  <c r="AC12" i="21"/>
  <c r="W12"/>
  <c r="AB33"/>
  <c r="S35"/>
  <c r="AB10"/>
  <c r="U8"/>
  <c r="AB8"/>
  <c r="S34"/>
  <c r="AC36"/>
  <c r="AB8" i="33"/>
  <c r="U8"/>
  <c r="E106"/>
  <c r="H34"/>
  <c r="U34"/>
  <c r="F34"/>
  <c r="S34"/>
  <c r="E121"/>
  <c r="F41"/>
  <c r="S41"/>
  <c r="AC34" i="34"/>
  <c r="W34"/>
  <c r="AA39"/>
  <c r="S39"/>
  <c r="S43"/>
  <c r="E78"/>
  <c r="F15"/>
  <c r="AC28" i="35"/>
  <c r="W28"/>
  <c r="J20"/>
  <c r="AC20"/>
  <c r="E72"/>
  <c r="F72"/>
  <c r="G72"/>
  <c r="H22"/>
  <c r="AB22"/>
  <c r="H23"/>
  <c r="F23"/>
  <c r="AA23"/>
  <c r="AB36"/>
  <c r="U36"/>
  <c r="W12" i="36"/>
  <c r="AC12"/>
  <c r="U31"/>
  <c r="S8" i="37"/>
  <c r="AA8"/>
  <c r="F14" i="39"/>
  <c r="AA14"/>
  <c r="H14"/>
  <c r="AB14"/>
  <c r="J14"/>
  <c r="AC14"/>
  <c r="F16"/>
  <c r="AA16"/>
  <c r="H16"/>
  <c r="U16"/>
  <c r="J16"/>
  <c r="AC16"/>
  <c r="E97"/>
  <c r="F97"/>
  <c r="F23"/>
  <c r="AA23"/>
  <c r="F15" i="40"/>
  <c r="AA15"/>
  <c r="J15"/>
  <c r="H15"/>
  <c r="AB15"/>
  <c r="E92"/>
  <c r="F92"/>
  <c r="H23"/>
  <c r="U23"/>
  <c r="H41"/>
  <c r="AB41"/>
  <c r="F41"/>
  <c r="AA41"/>
  <c r="J41"/>
  <c r="H36" i="33"/>
  <c r="AB36"/>
  <c r="H37" i="34"/>
  <c r="F15" i="39"/>
  <c r="AA15"/>
  <c r="H15"/>
  <c r="U15"/>
  <c r="J15"/>
  <c r="AC15"/>
  <c r="H25"/>
  <c r="U25" s="1"/>
  <c r="J25"/>
  <c r="AC25" s="1"/>
  <c r="F25"/>
  <c r="AA25" s="1"/>
  <c r="F45"/>
  <c r="AA45"/>
  <c r="H45"/>
  <c r="U45"/>
  <c r="J45"/>
  <c r="AC45"/>
  <c r="F47"/>
  <c r="AA47"/>
  <c r="H47"/>
  <c r="AB47"/>
  <c r="J47"/>
  <c r="W47"/>
  <c r="F41"/>
  <c r="AA41"/>
  <c r="H41"/>
  <c r="AB41"/>
  <c r="J41"/>
  <c r="AC41"/>
  <c r="E94" i="40"/>
  <c r="J25"/>
  <c r="AC25"/>
  <c r="J32"/>
  <c r="AC32" s="1"/>
  <c r="H32"/>
  <c r="U32" s="1"/>
  <c r="H33"/>
  <c r="AB33"/>
  <c r="F33"/>
  <c r="AA33"/>
  <c r="J33"/>
  <c r="AC33"/>
  <c r="H35"/>
  <c r="AB35"/>
  <c r="F35"/>
  <c r="AA35"/>
  <c r="J35"/>
  <c r="AC35"/>
  <c r="J38" i="39"/>
  <c r="W38"/>
  <c r="H38"/>
  <c r="U38"/>
  <c r="J16" i="40"/>
  <c r="W16"/>
  <c r="J14"/>
  <c r="W14"/>
  <c r="H42"/>
  <c r="H40"/>
  <c r="U40"/>
  <c r="H34"/>
  <c r="U34"/>
  <c r="AZ391" i="3"/>
  <c r="AZ399"/>
  <c r="AZ403"/>
  <c r="AZ407"/>
  <c r="AZ415"/>
  <c r="AZ423"/>
  <c r="AZ431"/>
  <c r="AZ439"/>
  <c r="AZ454"/>
  <c r="B41" i="1"/>
  <c r="J42" i="40"/>
  <c r="AC42"/>
  <c r="J40"/>
  <c r="AC40"/>
  <c r="J34"/>
  <c r="AC34"/>
  <c r="H16"/>
  <c r="AB16"/>
  <c r="H14"/>
  <c r="U14"/>
  <c r="AZ401" i="3"/>
  <c r="AZ428"/>
  <c r="AZ433"/>
  <c r="AZ436"/>
  <c r="AZ441"/>
  <c r="AZ444"/>
  <c r="AZ449"/>
  <c r="AZ452"/>
  <c r="M1" i="46"/>
  <c r="M6"/>
  <c r="M10"/>
  <c r="N2"/>
  <c r="N5"/>
  <c r="F58"/>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J13" i="40"/>
  <c r="W13"/>
  <c r="AB14"/>
  <c r="W40"/>
  <c r="F34" i="44"/>
  <c r="F27" i="43"/>
  <c r="F66" i="9"/>
  <c r="P72" s="1"/>
  <c r="F71"/>
  <c r="F72"/>
  <c r="AC14" i="40"/>
  <c r="W35"/>
  <c r="S33"/>
  <c r="AB32"/>
  <c r="AC47" i="39"/>
  <c r="S47"/>
  <c r="U37" i="34"/>
  <c r="AB37"/>
  <c r="AC41" i="40"/>
  <c r="W41"/>
  <c r="U41"/>
  <c r="J23"/>
  <c r="AC23"/>
  <c r="G92"/>
  <c r="F23"/>
  <c r="S23"/>
  <c r="AC15"/>
  <c r="W15"/>
  <c r="S23" i="39"/>
  <c r="AB16"/>
  <c r="W14"/>
  <c r="U23" i="35"/>
  <c r="AB23"/>
  <c r="H20"/>
  <c r="F20"/>
  <c r="S20"/>
  <c r="H15" i="34"/>
  <c r="AB15"/>
  <c r="F78"/>
  <c r="G78"/>
  <c r="J15"/>
  <c r="H41" i="33"/>
  <c r="U41"/>
  <c r="F121"/>
  <c r="G121"/>
  <c r="H121"/>
  <c r="I121"/>
  <c r="J121"/>
  <c r="K121"/>
  <c r="L121"/>
  <c r="M121"/>
  <c r="F30" i="40"/>
  <c r="AA30"/>
  <c r="H100"/>
  <c r="I100"/>
  <c r="J100"/>
  <c r="K100"/>
  <c r="L100"/>
  <c r="M100"/>
  <c r="AB38" i="34"/>
  <c r="AZ486" i="3"/>
  <c r="AZ497"/>
  <c r="AZ504"/>
  <c r="AZ515"/>
  <c r="AZ529"/>
  <c r="AZ530"/>
  <c r="AZ537"/>
  <c r="AZ547"/>
  <c r="AZ548"/>
  <c r="AZ549"/>
  <c r="AB37" i="39"/>
  <c r="AA29" i="35"/>
  <c r="U39" i="39"/>
  <c r="J29"/>
  <c r="AC29" s="1"/>
  <c r="AB21"/>
  <c r="U21"/>
  <c r="AB33" i="36"/>
  <c r="AA11"/>
  <c r="AA14" i="35"/>
  <c r="S14"/>
  <c r="G99" i="37"/>
  <c r="F33"/>
  <c r="U46" i="34"/>
  <c r="AC30"/>
  <c r="AA14"/>
  <c r="W12"/>
  <c r="U29" i="33"/>
  <c r="AC13"/>
  <c r="U17" i="34"/>
  <c r="AA11"/>
  <c r="W32" i="33"/>
  <c r="H15"/>
  <c r="U15"/>
  <c r="AA11"/>
  <c r="AA40" i="21"/>
  <c r="U17"/>
  <c r="S13" i="39"/>
  <c r="AA13"/>
  <c r="U16" i="40"/>
  <c r="W34"/>
  <c r="AB34"/>
  <c r="AB42"/>
  <c r="U42"/>
  <c r="AC16"/>
  <c r="W32"/>
  <c r="H25"/>
  <c r="AB25"/>
  <c r="F94"/>
  <c r="G94"/>
  <c r="U47" i="39"/>
  <c r="W15"/>
  <c r="J37" i="34"/>
  <c r="AC37"/>
  <c r="J36" i="33"/>
  <c r="W36"/>
  <c r="S41" i="40"/>
  <c r="AB23"/>
  <c r="H23" i="39"/>
  <c r="AB23"/>
  <c r="J23"/>
  <c r="AC23"/>
  <c r="G97"/>
  <c r="S16"/>
  <c r="S15" i="34"/>
  <c r="AA15"/>
  <c r="AA41" i="33"/>
  <c r="AA34"/>
  <c r="F106"/>
  <c r="G106"/>
  <c r="H106"/>
  <c r="I106"/>
  <c r="J106"/>
  <c r="K106"/>
  <c r="L106"/>
  <c r="M106"/>
  <c r="J34"/>
  <c r="AC34"/>
  <c r="U30" i="40"/>
  <c r="AA37" i="39"/>
  <c r="W29" i="35"/>
  <c r="AC39" i="39"/>
  <c r="W39"/>
  <c r="AA39"/>
  <c r="S39"/>
  <c r="U34"/>
  <c r="AB46"/>
  <c r="AB44"/>
  <c r="AC33"/>
  <c r="W33"/>
  <c r="AA33"/>
  <c r="S33"/>
  <c r="U11" i="36"/>
  <c r="F80" i="35"/>
  <c r="G80"/>
  <c r="H80"/>
  <c r="I80"/>
  <c r="J80"/>
  <c r="K80"/>
  <c r="L80"/>
  <c r="M80"/>
  <c r="W14"/>
  <c r="F90" i="34"/>
  <c r="G90"/>
  <c r="H90"/>
  <c r="I90"/>
  <c r="J90"/>
  <c r="K90"/>
  <c r="L90"/>
  <c r="M90"/>
  <c r="F27"/>
  <c r="S27"/>
  <c r="G96" i="37"/>
  <c r="H96"/>
  <c r="I96"/>
  <c r="J96"/>
  <c r="K96"/>
  <c r="L96"/>
  <c r="M96"/>
  <c r="F32"/>
  <c r="S32"/>
  <c r="U11" i="35"/>
  <c r="AB11"/>
  <c r="S46" i="34"/>
  <c r="U32"/>
  <c r="U14"/>
  <c r="AC14"/>
  <c r="U12"/>
  <c r="AB13" i="33"/>
  <c r="G80" i="34"/>
  <c r="F17"/>
  <c r="AA17"/>
  <c r="J17"/>
  <c r="AC17"/>
  <c r="H11"/>
  <c r="AB11"/>
  <c r="J35" i="33"/>
  <c r="W35"/>
  <c r="S32"/>
  <c r="AC15"/>
  <c r="H11"/>
  <c r="U11"/>
  <c r="H10"/>
  <c r="U10"/>
  <c r="I66"/>
  <c r="J10"/>
  <c r="AC10"/>
  <c r="U40" i="21"/>
  <c r="U11" i="37"/>
  <c r="U13" i="39"/>
  <c r="AC16" i="35"/>
  <c r="AC13" i="40"/>
  <c r="J11" i="34"/>
  <c r="W11"/>
  <c r="S17"/>
  <c r="AC36" i="33"/>
  <c r="F25" i="40"/>
  <c r="AA25"/>
  <c r="J11" i="33"/>
  <c r="W11"/>
  <c r="H33" i="37"/>
  <c r="AB33"/>
  <c r="W15" i="34"/>
  <c r="AC15"/>
  <c r="U20" i="35"/>
  <c r="AB20"/>
  <c r="W23" i="40"/>
  <c r="D73" i="9"/>
  <c r="N73"/>
  <c r="AP11" i="1"/>
  <c r="J51" i="15"/>
  <c r="B11" i="1"/>
  <c r="E11"/>
  <c r="K11"/>
  <c r="M11" s="1"/>
  <c r="B9"/>
  <c r="E9" s="1"/>
  <c r="K9"/>
  <c r="M9" s="1"/>
  <c r="O9" s="1"/>
  <c r="B7"/>
  <c r="E7" s="1"/>
  <c r="K7"/>
  <c r="M7" s="1"/>
  <c r="C20" i="43"/>
  <c r="F6" i="1"/>
  <c r="AP6" s="1"/>
  <c r="G11"/>
  <c r="M22" i="44"/>
  <c r="F32" i="15"/>
  <c r="F59" s="1"/>
  <c r="F29" i="12"/>
  <c r="F70" i="9"/>
  <c r="D86"/>
  <c r="M20" i="44"/>
  <c r="F31" i="43"/>
  <c r="F30" i="44"/>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F17"/>
  <c r="H17"/>
  <c r="J17"/>
  <c r="AB15"/>
  <c r="AC11"/>
  <c r="S10"/>
  <c r="S14"/>
  <c r="W10"/>
  <c r="AC21"/>
  <c r="W21"/>
  <c r="W14"/>
  <c r="AB10"/>
  <c r="U25"/>
  <c r="AB21"/>
  <c r="U21"/>
  <c r="AA21"/>
  <c r="S21"/>
  <c r="AA44"/>
  <c r="AA36"/>
  <c r="S44" i="21"/>
  <c r="W39"/>
  <c r="AC34"/>
  <c r="W32"/>
  <c r="U35"/>
  <c r="W43"/>
  <c r="AA37"/>
  <c r="S42"/>
  <c r="AB37"/>
  <c r="AB32"/>
  <c r="W28"/>
  <c r="AC46"/>
  <c r="AC26"/>
  <c r="F85"/>
  <c r="G85"/>
  <c r="J23"/>
  <c r="W23"/>
  <c r="F23"/>
  <c r="H23"/>
  <c r="AA17"/>
  <c r="W17"/>
  <c r="F15"/>
  <c r="S15"/>
  <c r="F77"/>
  <c r="G77"/>
  <c r="J15"/>
  <c r="H15"/>
  <c r="AC11"/>
  <c r="AB11"/>
  <c r="W13"/>
  <c r="AA11"/>
  <c r="AC23"/>
  <c r="AC21"/>
  <c r="W21"/>
  <c r="W44"/>
  <c r="AC19"/>
  <c r="W10"/>
  <c r="AC38"/>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W13"/>
  <c r="S11"/>
  <c r="AB45"/>
  <c r="AA21"/>
  <c r="AC38"/>
  <c r="AC21"/>
  <c r="S14"/>
  <c r="AB15"/>
  <c r="U11"/>
  <c r="U41"/>
  <c r="U23"/>
  <c r="AB38"/>
  <c r="U31"/>
  <c r="AB31"/>
  <c r="S38"/>
  <c r="S22" i="31"/>
  <c r="B22" i="63"/>
  <c r="M20" i="15"/>
  <c r="D96" i="9"/>
  <c r="F28" i="15"/>
  <c r="M18"/>
  <c r="A18" i="64"/>
  <c r="B74" i="63" s="1"/>
  <c r="C53" i="10"/>
  <c r="A25" i="64" s="1"/>
  <c r="A18" i="51"/>
  <c r="B14" i="63" s="1"/>
  <c r="M20" i="46"/>
  <c r="C19" s="1"/>
  <c r="BA16" i="3"/>
  <c r="BA17"/>
  <c r="AZ17"/>
  <c r="F3" i="35"/>
  <c r="K1" i="43"/>
  <c r="K1" i="12"/>
  <c r="G1" i="44"/>
  <c r="AZ15" i="3"/>
  <c r="BK5"/>
  <c r="BO5"/>
  <c r="BP5"/>
  <c r="BN5"/>
  <c r="BL18"/>
  <c r="AZ18"/>
  <c r="BC5"/>
  <c r="E8" i="6" s="1"/>
  <c r="BD5" i="3"/>
  <c r="BR5"/>
  <c r="G28" i="6" s="1"/>
  <c r="BS5" i="3"/>
  <c r="BQ5"/>
  <c r="BL16"/>
  <c r="BL5"/>
  <c r="BM5"/>
  <c r="F29" i="6" s="1"/>
  <c r="G28" i="12"/>
  <c r="G22" i="43"/>
  <c r="G26" i="12"/>
  <c r="D24" i="44"/>
  <c r="D26"/>
  <c r="G27" i="12"/>
  <c r="G23" i="43"/>
  <c r="G21"/>
  <c r="H54" i="46"/>
  <c r="N8"/>
  <c r="N4"/>
  <c r="N1"/>
  <c r="M9"/>
  <c r="M2"/>
  <c r="N11"/>
  <c r="N9"/>
  <c r="F69"/>
  <c r="M4"/>
  <c r="M12"/>
  <c r="M8"/>
  <c r="M3"/>
  <c r="M5"/>
  <c r="C6"/>
  <c r="H6" i="48"/>
  <c r="H15"/>
  <c r="H5"/>
  <c r="H14"/>
  <c r="F38" i="46"/>
  <c r="F36"/>
  <c r="F34"/>
  <c r="J17"/>
  <c r="C17"/>
  <c r="F39"/>
  <c r="H13" i="48"/>
  <c r="H11"/>
  <c r="I17" i="46"/>
  <c r="C16"/>
  <c r="C5" s="1"/>
  <c r="E17"/>
  <c r="D71"/>
  <c r="D84"/>
  <c r="E80"/>
  <c r="B78"/>
  <c r="D69"/>
  <c r="E69"/>
  <c r="B67"/>
  <c r="E47"/>
  <c r="E58"/>
  <c r="A4" i="64"/>
  <c r="A4" i="51"/>
  <c r="B6" i="63" s="1"/>
  <c r="C51" i="10"/>
  <c r="A9" i="64" s="1"/>
  <c r="H58" i="46"/>
  <c r="H61"/>
  <c r="H62"/>
  <c r="H71"/>
  <c r="H75"/>
  <c r="H76"/>
  <c r="I100"/>
  <c r="B56"/>
  <c r="C24"/>
  <c r="N100"/>
  <c r="H100"/>
  <c r="F108"/>
  <c r="H80"/>
  <c r="B45"/>
  <c r="E100"/>
  <c r="G100"/>
  <c r="H84"/>
  <c r="H65"/>
  <c r="H66"/>
  <c r="C100"/>
  <c r="J100"/>
  <c r="M100"/>
  <c r="AA12" i="36"/>
  <c r="U12" i="35"/>
  <c r="AB12"/>
  <c r="W11"/>
  <c r="AA11"/>
  <c r="S14" i="37"/>
  <c r="U13"/>
  <c r="S13" i="21"/>
  <c r="C24" i="9"/>
  <c r="C25"/>
  <c r="AP7" i="1"/>
  <c r="G7"/>
  <c r="AP9"/>
  <c r="G9"/>
  <c r="AP8"/>
  <c r="G8"/>
  <c r="I20" i="46"/>
  <c r="C20" s="1"/>
  <c r="L5" i="54"/>
  <c r="B39" i="63" s="1"/>
  <c r="K5" i="54"/>
  <c r="B38" i="63" s="1"/>
  <c r="T41" i="4"/>
  <c r="A17" i="64"/>
  <c r="B46" i="50"/>
  <c r="B4" i="63" s="1"/>
  <c r="C46" i="36"/>
  <c r="D46" s="1"/>
  <c r="C59" i="34"/>
  <c r="D59" s="1"/>
  <c r="C48" i="35"/>
  <c r="D48" s="1"/>
  <c r="E48" s="1"/>
  <c r="F48" s="1"/>
  <c r="G48" s="1"/>
  <c r="C52" i="37"/>
  <c r="D52" s="1"/>
  <c r="E52" s="1"/>
  <c r="F52" s="1"/>
  <c r="P24" i="46"/>
  <c r="B68" i="40" s="1"/>
  <c r="P25" i="46"/>
  <c r="B73" i="39" s="1"/>
  <c r="P23" i="46"/>
  <c r="P21"/>
  <c r="P22"/>
  <c r="O19"/>
  <c r="H77"/>
  <c r="H73"/>
  <c r="H69"/>
  <c r="H74"/>
  <c r="H86"/>
  <c r="H82"/>
  <c r="H63"/>
  <c r="H59"/>
  <c r="H64"/>
  <c r="H60"/>
  <c r="H10" i="48"/>
  <c r="H87" i="46"/>
  <c r="H85"/>
  <c r="H83"/>
  <c r="K10" i="1"/>
  <c r="M10" s="1"/>
  <c r="S11"/>
  <c r="R11"/>
  <c r="S13"/>
  <c r="R13"/>
  <c r="B6"/>
  <c r="E6" s="1"/>
  <c r="B10"/>
  <c r="E10" s="1"/>
  <c r="S10"/>
  <c r="B8"/>
  <c r="E8" s="1"/>
  <c r="B12"/>
  <c r="E12" s="1"/>
  <c r="S12"/>
  <c r="O1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J31" i="39"/>
  <c r="AC31" s="1"/>
  <c r="S45"/>
  <c r="W41"/>
  <c r="AB33"/>
  <c r="AC46"/>
  <c r="S34"/>
  <c r="W42"/>
  <c r="W36"/>
  <c r="W23"/>
  <c r="AC37"/>
  <c r="U14"/>
  <c r="W16"/>
  <c r="S15"/>
  <c r="W45"/>
  <c r="S41"/>
  <c r="AA44"/>
  <c r="AA46"/>
  <c r="W34"/>
  <c r="W10"/>
  <c r="W11"/>
  <c r="U42"/>
  <c r="W40"/>
  <c r="C27"/>
  <c r="C17" i="40"/>
  <c r="C19"/>
  <c r="C17" i="39"/>
  <c r="C19"/>
  <c r="C21"/>
  <c r="C23" i="40"/>
  <c r="B48" i="46"/>
  <c r="B51"/>
  <c r="B55"/>
  <c r="B59"/>
  <c r="B62"/>
  <c r="B66"/>
  <c r="B53"/>
  <c r="B64"/>
  <c r="D24" i="15"/>
  <c r="G6" i="1"/>
  <c r="F28" i="6"/>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AB39" i="40"/>
  <c r="U39"/>
  <c r="AC39"/>
  <c r="W39"/>
  <c r="AA39"/>
  <c r="S39"/>
  <c r="U37"/>
  <c r="AB37"/>
  <c r="AA37"/>
  <c r="S37"/>
  <c r="U29"/>
  <c r="AB29"/>
  <c r="AC29"/>
  <c r="W29"/>
  <c r="AA29"/>
  <c r="S29"/>
  <c r="W19"/>
  <c r="AC19"/>
  <c r="AA19"/>
  <c r="S19"/>
  <c r="AB19"/>
  <c r="U19"/>
  <c r="AC27"/>
  <c r="W27"/>
  <c r="B20" i="31"/>
  <c r="R22"/>
  <c r="B21"/>
  <c r="A17" i="51"/>
  <c r="B13" i="63" s="1"/>
  <c r="E5" i="6"/>
  <c r="D12" i="11" s="1"/>
  <c r="C12" s="1"/>
  <c r="G29" i="6"/>
  <c r="AZ16" i="3"/>
  <c r="E15" i="6"/>
  <c r="E67" i="39" s="1"/>
  <c r="H70" i="46"/>
  <c r="H72"/>
  <c r="A9" i="51"/>
  <c r="B9" i="63" s="1"/>
  <c r="A3" i="55"/>
  <c r="B56" i="63" s="1"/>
  <c r="E4" i="4"/>
  <c r="B21" i="55" s="1"/>
  <c r="B72" i="63" s="1"/>
  <c r="C4" i="4"/>
  <c r="B20" i="55" s="1"/>
  <c r="B70" i="63" s="1"/>
  <c r="G66" i="36"/>
  <c r="J18"/>
  <c r="AE8" i="1"/>
  <c r="AE6"/>
  <c r="F33" i="44"/>
  <c r="F58" i="15"/>
  <c r="F31"/>
  <c r="M19" i="44"/>
  <c r="M17" i="15"/>
  <c r="W18" i="36"/>
  <c r="AC18"/>
  <c r="AG6" i="1"/>
  <c r="L20" i="6"/>
  <c r="S9" i="1"/>
  <c r="R9"/>
  <c r="C45" i="9"/>
  <c r="H14" i="66"/>
  <c r="B7" s="1"/>
  <c r="C44" i="9"/>
  <c r="G14" i="66" s="1"/>
  <c r="B6" s="1"/>
  <c r="O40" i="9"/>
  <c r="K31" s="1"/>
  <c r="K32" s="1"/>
  <c r="R7" i="54"/>
  <c r="B52" i="63" s="1"/>
  <c r="N69" i="9"/>
  <c r="M86" s="1"/>
  <c r="N86" s="1"/>
  <c r="K29"/>
  <c r="K30" s="1"/>
  <c r="N76"/>
  <c r="C46"/>
  <c r="K33" s="1"/>
  <c r="K34" s="1"/>
  <c r="O41"/>
  <c r="R8" i="54" s="1"/>
  <c r="B54" i="63" s="1"/>
  <c r="E11" i="67"/>
  <c r="L47" i="15"/>
  <c r="M29"/>
  <c r="F16"/>
  <c r="L48" i="44"/>
  <c r="F11" i="67"/>
  <c r="F9" i="44"/>
  <c r="F38" i="15"/>
  <c r="M26" i="44"/>
  <c r="F38"/>
  <c r="N4" i="65"/>
  <c r="F26" i="15"/>
  <c r="F8" i="67"/>
  <c r="F11" i="44"/>
  <c r="M26" i="15"/>
  <c r="E8" i="67"/>
  <c r="M9" i="15"/>
  <c r="F15" i="44"/>
  <c r="B12" i="67"/>
  <c r="B8"/>
  <c r="F10" i="44"/>
  <c r="M29"/>
  <c r="M10"/>
  <c r="N7" i="65"/>
  <c r="F43" i="44"/>
  <c r="C19"/>
  <c r="N5" i="65"/>
  <c r="B11" i="67"/>
  <c r="M23" i="44"/>
  <c r="B9" i="67"/>
  <c r="E14"/>
  <c r="M24" i="15"/>
  <c r="F43"/>
  <c r="M11" i="44"/>
  <c r="F8"/>
  <c r="B13" i="67"/>
  <c r="F40" i="44"/>
  <c r="F10" i="67"/>
  <c r="M23" i="15"/>
  <c r="F9"/>
  <c r="F37"/>
  <c r="E9" i="67"/>
  <c r="F45" i="44"/>
  <c r="F12" i="67"/>
  <c r="M8" i="15"/>
  <c r="F42"/>
  <c r="E13" i="67"/>
  <c r="F7" i="15"/>
  <c r="J17" i="44"/>
  <c r="F18"/>
  <c r="F40" i="15"/>
  <c r="M30" i="44"/>
  <c r="M25"/>
  <c r="F9" i="67"/>
  <c r="M8" i="44"/>
  <c r="F37"/>
  <c r="F39"/>
  <c r="B14" i="67"/>
  <c r="F36" i="15"/>
  <c r="F6"/>
  <c r="F8"/>
  <c r="F13" i="67"/>
  <c r="M28" i="15"/>
  <c r="E10" i="67"/>
  <c r="L49" i="44"/>
  <c r="F28"/>
  <c r="F14" i="67"/>
  <c r="M31" i="44"/>
  <c r="M22" i="15"/>
  <c r="M24" i="44"/>
  <c r="L48" i="15"/>
  <c r="M28" i="44"/>
  <c r="J36" i="15"/>
  <c r="B10" i="67"/>
  <c r="J15" i="15"/>
  <c r="F46" i="44"/>
  <c r="N3" i="65"/>
  <c r="M27" i="15"/>
  <c r="M6"/>
  <c r="F13"/>
  <c r="N6" i="65"/>
  <c r="E12" i="67"/>
  <c r="A25" i="51" l="1"/>
  <c r="B18" i="63" s="1"/>
  <c r="E12" i="6"/>
  <c r="E64" i="39" s="1"/>
  <c r="E5" i="52"/>
  <c r="E10"/>
  <c r="B9"/>
  <c r="B16"/>
  <c r="B8"/>
  <c r="B7"/>
  <c r="B6"/>
  <c r="B23"/>
  <c r="E9"/>
  <c r="B4"/>
  <c r="B10"/>
  <c r="E11"/>
  <c r="F91" i="39"/>
  <c r="F17"/>
  <c r="J17"/>
  <c r="E11" i="46"/>
  <c r="E10"/>
  <c r="E9"/>
  <c r="E8"/>
  <c r="I14" i="66"/>
  <c r="B8" s="1"/>
  <c r="E11" i="6"/>
  <c r="E63" i="39" s="1"/>
  <c r="E14" i="6"/>
  <c r="E61" i="40" s="1"/>
  <c r="H55" i="46"/>
  <c r="H52"/>
  <c r="S40" i="39"/>
  <c r="I4" i="6"/>
  <c r="G3" i="46" s="1"/>
  <c r="E9" i="12"/>
  <c r="C92" i="9"/>
  <c r="AB29" i="39"/>
  <c r="G126"/>
  <c r="H126" s="1"/>
  <c r="I126" s="1"/>
  <c r="J126" s="1"/>
  <c r="K126" s="1"/>
  <c r="L126" s="1"/>
  <c r="M126" s="1"/>
  <c r="F43"/>
  <c r="J43"/>
  <c r="AC43" s="1"/>
  <c r="H43"/>
  <c r="S31"/>
  <c r="W31"/>
  <c r="S29"/>
  <c r="W29"/>
  <c r="AB25"/>
  <c r="W25"/>
  <c r="S25"/>
  <c r="F101"/>
  <c r="G101" s="1"/>
  <c r="F27"/>
  <c r="H27"/>
  <c r="J27"/>
  <c r="F93"/>
  <c r="F19"/>
  <c r="S19" s="1"/>
  <c r="J19"/>
  <c r="W19" s="1"/>
  <c r="C67" i="40"/>
  <c r="D65"/>
  <c r="C72" i="39"/>
  <c r="D70"/>
  <c r="M83" i="9"/>
  <c r="N83" s="1"/>
  <c r="N89" s="1"/>
  <c r="O89" s="1"/>
  <c r="M85"/>
  <c r="N85" s="1"/>
  <c r="M87"/>
  <c r="N87" s="1"/>
  <c r="M88"/>
  <c r="N88" s="1"/>
  <c r="M84"/>
  <c r="N84" s="1"/>
  <c r="O39"/>
  <c r="R6" i="54" s="1"/>
  <c r="B50" i="63" s="1"/>
  <c r="E13" i="6"/>
  <c r="E10"/>
  <c r="S32" i="40"/>
  <c r="H51" i="46"/>
  <c r="H50"/>
  <c r="H53"/>
  <c r="H48"/>
  <c r="H47"/>
  <c r="K12" i="1"/>
  <c r="M12" s="1"/>
  <c r="O12" s="1"/>
  <c r="H1" i="65"/>
  <c r="D23" i="15"/>
  <c r="E4" i="52"/>
  <c r="E16"/>
  <c r="B11"/>
  <c r="E8"/>
  <c r="B5"/>
  <c r="B13"/>
  <c r="B22"/>
  <c r="E21"/>
  <c r="B14"/>
  <c r="E6"/>
  <c r="E7"/>
  <c r="C18" i="9"/>
  <c r="M43" s="1"/>
  <c r="P75" i="15"/>
  <c r="J53"/>
  <c r="Q53" s="1"/>
  <c r="H22" i="46"/>
  <c r="Z11"/>
  <c r="Z13" s="1"/>
  <c r="Z7"/>
  <c r="N104" i="45"/>
  <c r="S5" i="46"/>
  <c r="S4"/>
  <c r="S3"/>
  <c r="E22"/>
  <c r="F22"/>
  <c r="G101"/>
  <c r="G104" s="1"/>
  <c r="J22"/>
  <c r="S6"/>
  <c r="S7"/>
  <c r="S2"/>
  <c r="B113"/>
  <c r="D118" s="1"/>
  <c r="E118" s="1"/>
  <c r="F118" s="1"/>
  <c r="L101"/>
  <c r="L103" s="1"/>
  <c r="E101"/>
  <c r="N101"/>
  <c r="N102" s="1"/>
  <c r="AG11"/>
  <c r="AG13" s="1"/>
  <c r="AH11"/>
  <c r="AH13" s="1"/>
  <c r="G30" i="6"/>
  <c r="G31" s="1"/>
  <c r="E28"/>
  <c r="K14" i="1" s="1"/>
  <c r="M14" s="1"/>
  <c r="O14" s="1"/>
  <c r="BA13" i="3"/>
  <c r="E58" i="40"/>
  <c r="F30" i="6"/>
  <c r="E29"/>
  <c r="E102" i="46"/>
  <c r="E107"/>
  <c r="C101"/>
  <c r="J101"/>
  <c r="J103" s="1"/>
  <c r="G22"/>
  <c r="I101"/>
  <c r="D101"/>
  <c r="M101"/>
  <c r="H101"/>
  <c r="K101"/>
  <c r="K104" s="1"/>
  <c r="F101"/>
  <c r="F107" s="1"/>
  <c r="AC11"/>
  <c r="AC13" s="1"/>
  <c r="Y11"/>
  <c r="Y13" s="1"/>
  <c r="AD11"/>
  <c r="AD13" s="1"/>
  <c r="C23"/>
  <c r="C21" s="1"/>
  <c r="AB11"/>
  <c r="AB13" s="1"/>
  <c r="G13" i="3"/>
  <c r="AZ13"/>
  <c r="AZ5" s="1"/>
  <c r="BA5"/>
  <c r="E27" i="6" s="1"/>
  <c r="E58" i="39"/>
  <c r="F27" i="6"/>
  <c r="F31" s="1"/>
  <c r="E53" i="40"/>
  <c r="E66" i="39"/>
  <c r="E62" i="40"/>
  <c r="B116" i="46"/>
  <c r="C116" s="1"/>
  <c r="G107"/>
  <c r="E59" i="40"/>
  <c r="D117" i="46"/>
  <c r="E117" s="1"/>
  <c r="F117" s="1"/>
  <c r="G117" s="1"/>
  <c r="H117" s="1"/>
  <c r="I117"/>
  <c r="J117" s="1"/>
  <c r="K117" s="1"/>
  <c r="L117" s="1"/>
  <c r="M117" s="1"/>
  <c r="E16" i="6"/>
  <c r="T3" i="46"/>
  <c r="V3" s="1"/>
  <c r="T4"/>
  <c r="V4" s="1"/>
  <c r="T5"/>
  <c r="V5" s="1"/>
  <c r="K17" i="4"/>
  <c r="A22" i="51" s="1"/>
  <c r="B16" i="63" s="1"/>
  <c r="E32" i="6"/>
  <c r="K6" i="1"/>
  <c r="AP16" s="1"/>
  <c r="F22" i="11" s="1"/>
  <c r="C9" i="12"/>
  <c r="C10" s="1"/>
  <c r="C6" s="1"/>
  <c r="C24" s="1"/>
  <c r="G118" i="46"/>
  <c r="H118" s="1"/>
  <c r="G109"/>
  <c r="B115"/>
  <c r="G103"/>
  <c r="I116"/>
  <c r="J116" s="1"/>
  <c r="K116" s="1"/>
  <c r="L116" s="1"/>
  <c r="M116" s="1"/>
  <c r="K109"/>
  <c r="F109"/>
  <c r="O10" i="1"/>
  <c r="P10" s="1"/>
  <c r="O8"/>
  <c r="P8" s="1"/>
  <c r="B118" i="46"/>
  <c r="C118" s="1"/>
  <c r="D116"/>
  <c r="E116" s="1"/>
  <c r="F116" s="1"/>
  <c r="G116" s="1"/>
  <c r="H116" s="1"/>
  <c r="I118"/>
  <c r="J118" s="1"/>
  <c r="K118" s="1"/>
  <c r="L118" s="1"/>
  <c r="M118" s="1"/>
  <c r="D115"/>
  <c r="E115" s="1"/>
  <c r="F115" s="1"/>
  <c r="G115" s="1"/>
  <c r="H115" s="1"/>
  <c r="B117"/>
  <c r="C117" s="1"/>
  <c r="I115"/>
  <c r="J115" s="1"/>
  <c r="K115" s="1"/>
  <c r="L115" s="1"/>
  <c r="M115" s="1"/>
  <c r="C103"/>
  <c r="C109"/>
  <c r="P9" i="1"/>
  <c r="P12"/>
  <c r="C106" i="46"/>
  <c r="C105"/>
  <c r="J105"/>
  <c r="O7" i="1"/>
  <c r="P7" s="1"/>
  <c r="O13"/>
  <c r="P13" s="1"/>
  <c r="E3" i="6"/>
  <c r="P11" i="1"/>
  <c r="AA11" i="46"/>
  <c r="AA13" s="1"/>
  <c r="AI11"/>
  <c r="AI13" s="1"/>
  <c r="AF11"/>
  <c r="AF13" s="1"/>
  <c r="AJ11"/>
  <c r="AJ13" s="1"/>
  <c r="AE11"/>
  <c r="AE13" s="1"/>
  <c r="E46" i="36"/>
  <c r="F46" s="1"/>
  <c r="G46" s="1"/>
  <c r="H46" s="1"/>
  <c r="I46" s="1"/>
  <c r="J46" s="1"/>
  <c r="K46" s="1"/>
  <c r="L46" s="1"/>
  <c r="M46" s="1"/>
  <c r="N46" s="1"/>
  <c r="O46" s="1"/>
  <c r="D58" i="21"/>
  <c r="E58" s="1"/>
  <c r="F58" s="1"/>
  <c r="G58" s="1"/>
  <c r="H58" s="1"/>
  <c r="I58" s="1"/>
  <c r="J58" s="1"/>
  <c r="K58" s="1"/>
  <c r="L58" s="1"/>
  <c r="M58" s="1"/>
  <c r="N58" s="1"/>
  <c r="O58" s="1"/>
  <c r="C27" i="43"/>
  <c r="C31"/>
  <c r="C28" i="15"/>
  <c r="C30" i="44"/>
  <c r="C25" i="12"/>
  <c r="H48" i="35"/>
  <c r="I48" s="1"/>
  <c r="J48" s="1"/>
  <c r="K48" s="1"/>
  <c r="L48" s="1"/>
  <c r="M48" s="1"/>
  <c r="N48" s="1"/>
  <c r="O48" s="1"/>
  <c r="G52" i="37"/>
  <c r="H52" s="1"/>
  <c r="I52" s="1"/>
  <c r="J52" s="1"/>
  <c r="K52" s="1"/>
  <c r="L52" s="1"/>
  <c r="M52" s="1"/>
  <c r="N52" s="1"/>
  <c r="O52" s="1"/>
  <c r="J7"/>
  <c r="E59" i="34"/>
  <c r="F59" s="1"/>
  <c r="G59" s="1"/>
  <c r="H59" s="1"/>
  <c r="I59" s="1"/>
  <c r="J59" s="1"/>
  <c r="K59" s="1"/>
  <c r="L59" s="1"/>
  <c r="M59" s="1"/>
  <c r="N59" s="1"/>
  <c r="O59" s="1"/>
  <c r="J7"/>
  <c r="H7"/>
  <c r="F7"/>
  <c r="C36" i="46"/>
  <c r="C35"/>
  <c r="T8"/>
  <c r="V8" s="1"/>
  <c r="T10"/>
  <c r="V10" s="1"/>
  <c r="T12"/>
  <c r="V12" s="1"/>
  <c r="T14"/>
  <c r="V14" s="1"/>
  <c r="T16"/>
  <c r="V16" s="1"/>
  <c r="T9"/>
  <c r="V9" s="1"/>
  <c r="T11"/>
  <c r="V11" s="1"/>
  <c r="T13"/>
  <c r="V13" s="1"/>
  <c r="T15"/>
  <c r="V15" s="1"/>
  <c r="C38"/>
  <c r="C39"/>
  <c r="E39" s="1"/>
  <c r="C37"/>
  <c r="T6"/>
  <c r="V6" s="1"/>
  <c r="T7"/>
  <c r="V7" s="1"/>
  <c r="T2"/>
  <c r="V2" s="1"/>
  <c r="C29"/>
  <c r="C34"/>
  <c r="C33"/>
  <c r="F58" i="33"/>
  <c r="G58" s="1"/>
  <c r="H58" s="1"/>
  <c r="I58" s="1"/>
  <c r="J58" s="1"/>
  <c r="K58" s="1"/>
  <c r="L58" s="1"/>
  <c r="M58" s="1"/>
  <c r="N58" s="1"/>
  <c r="O58" s="1"/>
  <c r="J7"/>
  <c r="H7"/>
  <c r="F7"/>
  <c r="J7" i="35"/>
  <c r="C36" i="44"/>
  <c r="J22"/>
  <c r="C29"/>
  <c r="F67" i="15"/>
  <c r="C8" i="44"/>
  <c r="F63" i="15"/>
  <c r="L60" i="44"/>
  <c r="L59"/>
  <c r="F64" i="15"/>
  <c r="Q73" i="44"/>
  <c r="J57" i="15"/>
  <c r="J55" s="1"/>
  <c r="J58" s="1"/>
  <c r="Q51" s="1"/>
  <c r="J60"/>
  <c r="Q49" s="1"/>
  <c r="I54"/>
  <c r="L56"/>
  <c r="J59"/>
  <c r="F50"/>
  <c r="F65"/>
  <c r="I55" i="44"/>
  <c r="J60"/>
  <c r="J61"/>
  <c r="Q50" s="1"/>
  <c r="J54"/>
  <c r="J58"/>
  <c r="J56" s="1"/>
  <c r="J59" s="1"/>
  <c r="Q52" s="1"/>
  <c r="L57"/>
  <c r="F70" i="15"/>
  <c r="F49"/>
  <c r="M7"/>
  <c r="J6" s="1"/>
  <c r="Q72"/>
  <c r="C27"/>
  <c r="C6"/>
  <c r="L58"/>
  <c r="L59"/>
  <c r="M9" i="44"/>
  <c r="J8" s="1"/>
  <c r="C4" i="65"/>
  <c r="B39" i="1" s="1"/>
  <c r="D21" i="12"/>
  <c r="J5" i="65"/>
  <c r="C16" i="15"/>
  <c r="J6" i="65"/>
  <c r="I4"/>
  <c r="C18" i="44"/>
  <c r="I6" i="65"/>
  <c r="I5"/>
  <c r="J4"/>
  <c r="J3"/>
  <c r="I7"/>
  <c r="I3"/>
  <c r="J7"/>
  <c r="F7" i="37" l="1"/>
  <c r="J109" i="46"/>
  <c r="J104"/>
  <c r="K105"/>
  <c r="G105"/>
  <c r="G102"/>
  <c r="G106"/>
  <c r="L19" i="6"/>
  <c r="L27" s="1"/>
  <c r="D22" i="46"/>
  <c r="W17" i="39"/>
  <c r="AC17"/>
  <c r="G91"/>
  <c r="H17"/>
  <c r="AA17"/>
  <c r="S17"/>
  <c r="C7" i="46"/>
  <c r="G39"/>
  <c r="I39" s="1"/>
  <c r="F7" i="21"/>
  <c r="J7" i="36"/>
  <c r="N107" i="46"/>
  <c r="U43" i="39"/>
  <c r="AB43"/>
  <c r="S43"/>
  <c r="AA43"/>
  <c r="W43"/>
  <c r="AC19"/>
  <c r="AA19"/>
  <c r="AB27"/>
  <c r="U27"/>
  <c r="AC27"/>
  <c r="W27"/>
  <c r="AA27"/>
  <c r="S27"/>
  <c r="G93"/>
  <c r="H19"/>
  <c r="E20" i="46"/>
  <c r="O17" s="1"/>
  <c r="J1" i="65"/>
  <c r="I1"/>
  <c r="E65" i="39"/>
  <c r="E60" i="40"/>
  <c r="E70" i="39"/>
  <c r="D72"/>
  <c r="D67" i="40"/>
  <c r="E65"/>
  <c r="F7" i="35"/>
  <c r="H7"/>
  <c r="H7" i="21"/>
  <c r="J7"/>
  <c r="F7" i="36"/>
  <c r="H7"/>
  <c r="N105" i="46"/>
  <c r="L109"/>
  <c r="D18" i="9"/>
  <c r="M44" s="1"/>
  <c r="P14" i="1"/>
  <c r="C29" i="12"/>
  <c r="F1" i="15"/>
  <c r="K19" i="6"/>
  <c r="K21"/>
  <c r="M21" s="1"/>
  <c r="I21" s="1"/>
  <c r="S21" s="1"/>
  <c r="K24"/>
  <c r="M24" s="1"/>
  <c r="I24" s="1"/>
  <c r="S24" s="1"/>
  <c r="K23"/>
  <c r="M23" s="1"/>
  <c r="I23" s="1"/>
  <c r="S23" s="1"/>
  <c r="K22"/>
  <c r="M22" s="1"/>
  <c r="I22" s="1"/>
  <c r="S22" s="1"/>
  <c r="K25"/>
  <c r="M25" s="1"/>
  <c r="I25" s="1"/>
  <c r="S25" s="1"/>
  <c r="L107" i="46"/>
  <c r="E103"/>
  <c r="E104"/>
  <c r="E105"/>
  <c r="E106"/>
  <c r="E109"/>
  <c r="N109"/>
  <c r="N103"/>
  <c r="N106"/>
  <c r="N104"/>
  <c r="L106"/>
  <c r="L105"/>
  <c r="L102"/>
  <c r="L104"/>
  <c r="K107"/>
  <c r="K102"/>
  <c r="K106"/>
  <c r="K103"/>
  <c r="M104"/>
  <c r="M103"/>
  <c r="M105"/>
  <c r="M102"/>
  <c r="M106"/>
  <c r="M107"/>
  <c r="M109"/>
  <c r="I102"/>
  <c r="I109"/>
  <c r="I107"/>
  <c r="I105"/>
  <c r="I103"/>
  <c r="I104"/>
  <c r="I106"/>
  <c r="J106"/>
  <c r="J107"/>
  <c r="J102"/>
  <c r="G5" i="3"/>
  <c r="B3" s="1"/>
  <c r="F106" i="46"/>
  <c r="F104"/>
  <c r="F103"/>
  <c r="F102"/>
  <c r="F105"/>
  <c r="H104"/>
  <c r="H105"/>
  <c r="H106"/>
  <c r="H109"/>
  <c r="H107"/>
  <c r="H102"/>
  <c r="H103"/>
  <c r="D102"/>
  <c r="D104"/>
  <c r="D109"/>
  <c r="D103"/>
  <c r="D106"/>
  <c r="D107"/>
  <c r="D105"/>
  <c r="C104"/>
  <c r="C102"/>
  <c r="C107"/>
  <c r="K15" i="1"/>
  <c r="K16" s="1"/>
  <c r="E30" i="6"/>
  <c r="E31" s="1"/>
  <c r="C21" i="12"/>
  <c r="S6" i="1"/>
  <c r="C115" i="46"/>
  <c r="D113" s="1"/>
  <c r="K26" i="6"/>
  <c r="M26" s="1"/>
  <c r="I26" s="1"/>
  <c r="S26" s="1"/>
  <c r="K20"/>
  <c r="K27" s="1"/>
  <c r="M6" i="1"/>
  <c r="G16"/>
  <c r="Q16"/>
  <c r="H16"/>
  <c r="L38" i="9"/>
  <c r="B14" i="66" s="1"/>
  <c r="B1" s="1"/>
  <c r="C21" i="4"/>
  <c r="O5" i="54" s="1"/>
  <c r="B45" i="63" s="1"/>
  <c r="D10" i="11"/>
  <c r="D45" i="9"/>
  <c r="D16" i="43"/>
  <c r="C16" s="1"/>
  <c r="E6" i="6"/>
  <c r="D13" i="11" s="1"/>
  <c r="C13" s="1"/>
  <c r="D46" i="9"/>
  <c r="D44"/>
  <c r="W7" i="35"/>
  <c r="AC7"/>
  <c r="V38" s="1"/>
  <c r="I38" s="1"/>
  <c r="W7" i="33"/>
  <c r="AC7"/>
  <c r="V48" s="1"/>
  <c r="I48" s="1"/>
  <c r="G33" i="46"/>
  <c r="I33" s="1"/>
  <c r="E33"/>
  <c r="E29"/>
  <c r="C30"/>
  <c r="E30" s="1"/>
  <c r="E37"/>
  <c r="G37"/>
  <c r="I37" s="1"/>
  <c r="G38"/>
  <c r="I38" s="1"/>
  <c r="E38"/>
  <c r="E35"/>
  <c r="G35"/>
  <c r="I35" s="1"/>
  <c r="S7" i="34"/>
  <c r="AA7"/>
  <c r="R49" s="1"/>
  <c r="W7"/>
  <c r="AC7"/>
  <c r="V49" s="1"/>
  <c r="I49" s="1"/>
  <c r="W7" i="37"/>
  <c r="AC7"/>
  <c r="V42" s="1"/>
  <c r="I42" s="1"/>
  <c r="AA7"/>
  <c r="R42" s="1"/>
  <c r="S7"/>
  <c r="AA7" i="35"/>
  <c r="R38" s="1"/>
  <c r="S7"/>
  <c r="AB7"/>
  <c r="T38" s="1"/>
  <c r="G38" s="1"/>
  <c r="U7"/>
  <c r="AB7" i="21"/>
  <c r="T48" s="1"/>
  <c r="G48" s="1"/>
  <c r="U7"/>
  <c r="W7"/>
  <c r="AC7"/>
  <c r="V48" s="1"/>
  <c r="I48" s="1"/>
  <c r="AA7" i="36"/>
  <c r="R36" s="1"/>
  <c r="S7"/>
  <c r="AB7"/>
  <c r="T36" s="1"/>
  <c r="G36" s="1"/>
  <c r="U7"/>
  <c r="S7" i="33"/>
  <c r="AA7"/>
  <c r="R48" s="1"/>
  <c r="U7"/>
  <c r="AB7"/>
  <c r="T48" s="1"/>
  <c r="G48" s="1"/>
  <c r="E34" i="46"/>
  <c r="G34"/>
  <c r="I34" s="1"/>
  <c r="G36"/>
  <c r="I36" s="1"/>
  <c r="E36"/>
  <c r="U7" i="34"/>
  <c r="AB7"/>
  <c r="T49" s="1"/>
  <c r="G49" s="1"/>
  <c r="AA7" i="21"/>
  <c r="R48" s="1"/>
  <c r="S7"/>
  <c r="AC7" i="36"/>
  <c r="V36" s="1"/>
  <c r="I36" s="1"/>
  <c r="W7"/>
  <c r="H7" i="37"/>
  <c r="L47" i="44"/>
  <c r="M11" i="15"/>
  <c r="J10" s="1"/>
  <c r="J5" s="1"/>
  <c r="F11"/>
  <c r="F13" i="44"/>
  <c r="C12" s="1"/>
  <c r="C7" s="1"/>
  <c r="M13"/>
  <c r="J12" s="1"/>
  <c r="J7" s="1"/>
  <c r="Q74" i="15"/>
  <c r="Q61"/>
  <c r="Q63" i="44"/>
  <c r="Q76"/>
  <c r="Q75" i="15"/>
  <c r="Q62"/>
  <c r="Q54" i="44"/>
  <c r="F1"/>
  <c r="Q62"/>
  <c r="Q75"/>
  <c r="C48" i="15"/>
  <c r="F33" i="12"/>
  <c r="D16"/>
  <c r="D22"/>
  <c r="F7" i="67"/>
  <c r="AE7" i="1"/>
  <c r="E2" i="65"/>
  <c r="E3"/>
  <c r="M19" i="6" l="1"/>
  <c r="S8" i="1"/>
  <c r="N17" i="46"/>
  <c r="M17"/>
  <c r="P17"/>
  <c r="U17" i="39"/>
  <c r="AB17"/>
  <c r="U19"/>
  <c r="AB19"/>
  <c r="B40" i="1"/>
  <c r="F17" i="11"/>
  <c r="C17" s="1"/>
  <c r="E67" i="40"/>
  <c r="F65"/>
  <c r="E72" i="39"/>
  <c r="F70"/>
  <c r="C27" i="46"/>
  <c r="C34" i="12"/>
  <c r="D33" s="1"/>
  <c r="M20" i="6"/>
  <c r="I20" s="1"/>
  <c r="S20" s="1"/>
  <c r="S7" i="1"/>
  <c r="AO6" i="3"/>
  <c r="M6"/>
  <c r="E475"/>
  <c r="E241"/>
  <c r="E421"/>
  <c r="E69"/>
  <c r="E206"/>
  <c r="E446"/>
  <c r="E132"/>
  <c r="E152"/>
  <c r="E333"/>
  <c r="E437"/>
  <c r="E91"/>
  <c r="E46"/>
  <c r="E115"/>
  <c r="E221"/>
  <c r="E359"/>
  <c r="E457"/>
  <c r="E195"/>
  <c r="E31"/>
  <c r="E391"/>
  <c r="E349"/>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E159"/>
  <c r="E351"/>
  <c r="E514"/>
  <c r="E342"/>
  <c r="E501"/>
  <c r="AL6"/>
  <c r="E512"/>
  <c r="E522"/>
  <c r="E384"/>
  <c r="E368"/>
  <c r="E371"/>
  <c r="E572"/>
  <c r="E310"/>
  <c r="E510"/>
  <c r="E567"/>
  <c r="E516"/>
  <c r="E487"/>
  <c r="E504"/>
  <c r="E329"/>
  <c r="E227"/>
  <c r="AB6"/>
  <c r="E406"/>
  <c r="E26"/>
  <c r="E488"/>
  <c r="S6"/>
  <c r="E244"/>
  <c r="E322"/>
  <c r="E71"/>
  <c r="E511"/>
  <c r="E137"/>
  <c r="E17"/>
  <c r="E240"/>
  <c r="E377"/>
  <c r="E301"/>
  <c r="E18"/>
  <c r="E382"/>
  <c r="E358"/>
  <c r="E484"/>
  <c r="E509"/>
  <c r="E326"/>
  <c r="E20"/>
  <c r="E356"/>
  <c r="E564"/>
  <c r="E481"/>
  <c r="E68"/>
  <c r="E192"/>
  <c r="E135"/>
  <c r="E114"/>
  <c r="E147"/>
  <c r="E348"/>
  <c r="E22"/>
  <c r="E93"/>
  <c r="E439"/>
  <c r="E394"/>
  <c r="E459"/>
  <c r="E55"/>
  <c r="E86"/>
  <c r="E476"/>
  <c r="E282"/>
  <c r="E570"/>
  <c r="E375"/>
  <c r="E409"/>
  <c r="X6"/>
  <c r="AA6"/>
  <c r="AD6"/>
  <c r="E299"/>
  <c r="E327"/>
  <c r="E103"/>
  <c r="E200"/>
  <c r="E62"/>
  <c r="E389"/>
  <c r="E230"/>
  <c r="E143"/>
  <c r="E441"/>
  <c r="E367"/>
  <c r="E415"/>
  <c r="E80"/>
  <c r="E28"/>
  <c r="E141"/>
  <c r="E168"/>
  <c r="E34"/>
  <c r="E407"/>
  <c r="E550"/>
  <c r="E136"/>
  <c r="E85"/>
  <c r="E332"/>
  <c r="E139"/>
  <c r="E445"/>
  <c r="E556"/>
  <c r="E291"/>
  <c r="E527"/>
  <c r="E365"/>
  <c r="E248"/>
  <c r="E336"/>
  <c r="AR6"/>
  <c r="E65"/>
  <c r="E513"/>
  <c r="E345"/>
  <c r="E72"/>
  <c r="E440"/>
  <c r="E331"/>
  <c r="E362"/>
  <c r="E150"/>
  <c r="E314"/>
  <c r="E502"/>
  <c r="K6"/>
  <c r="E456"/>
  <c r="E353"/>
  <c r="E569"/>
  <c r="E50"/>
  <c r="AJ6"/>
  <c r="E236"/>
  <c r="E546"/>
  <c r="E474"/>
  <c r="E15"/>
  <c r="E171"/>
  <c r="E251"/>
  <c r="E354"/>
  <c r="E56"/>
  <c r="E531"/>
  <c r="E122"/>
  <c r="E495"/>
  <c r="E208"/>
  <c r="E344"/>
  <c r="E485"/>
  <c r="E335"/>
  <c r="E483"/>
  <c r="E366"/>
  <c r="E532"/>
  <c r="E330"/>
  <c r="E340"/>
  <c r="E350"/>
  <c r="E521"/>
  <c r="E496"/>
  <c r="E130"/>
  <c r="E352"/>
  <c r="E461"/>
  <c r="E138"/>
  <c r="E328"/>
  <c r="E519"/>
  <c r="E155"/>
  <c r="E252"/>
  <c r="E346"/>
  <c r="E544"/>
  <c r="E541"/>
  <c r="E523"/>
  <c r="E557"/>
  <c r="E117"/>
  <c r="E231"/>
  <c r="E528"/>
  <c r="E470"/>
  <c r="E321"/>
  <c r="E127"/>
  <c r="E266"/>
  <c r="E215"/>
  <c r="I6"/>
  <c r="E548"/>
  <c r="Z6"/>
  <c r="E454"/>
  <c r="E520"/>
  <c r="AK6"/>
  <c r="E223"/>
  <c r="E205"/>
  <c r="E399"/>
  <c r="E478"/>
  <c r="E317"/>
  <c r="E357"/>
  <c r="E179"/>
  <c r="AS6"/>
  <c r="E444"/>
  <c r="E383"/>
  <c r="E247"/>
  <c r="E568"/>
  <c r="E539"/>
  <c r="E245"/>
  <c r="E52"/>
  <c r="E451"/>
  <c r="U6"/>
  <c r="E305"/>
  <c r="E73"/>
  <c r="E126"/>
  <c r="E211"/>
  <c r="Y6"/>
  <c r="E466"/>
  <c r="E51"/>
  <c r="E198"/>
  <c r="E281"/>
  <c r="E290"/>
  <c r="AF6"/>
  <c r="E40"/>
  <c r="E559"/>
  <c r="E228"/>
  <c r="E324"/>
  <c r="E334"/>
  <c r="E489"/>
  <c r="E325"/>
  <c r="E286"/>
  <c r="E396"/>
  <c r="E183"/>
  <c r="E216"/>
  <c r="E320"/>
  <c r="E392"/>
  <c r="E45"/>
  <c r="E373"/>
  <c r="E284"/>
  <c r="E360"/>
  <c r="E42"/>
  <c r="T6"/>
  <c r="E181"/>
  <c r="E144"/>
  <c r="E269"/>
  <c r="E219"/>
  <c r="E338"/>
  <c r="E506"/>
  <c r="E562"/>
  <c r="E571"/>
  <c r="E518"/>
  <c r="E497"/>
  <c r="E167"/>
  <c r="E566"/>
  <c r="E515"/>
  <c r="E553"/>
  <c r="E494"/>
  <c r="E273"/>
  <c r="E542"/>
  <c r="E563"/>
  <c r="E254"/>
  <c r="E112"/>
  <c r="E341"/>
  <c r="E268"/>
  <c r="E316"/>
  <c r="E175"/>
  <c r="E318"/>
  <c r="E565"/>
  <c r="E380"/>
  <c r="E503"/>
  <c r="E297"/>
  <c r="E411"/>
  <c r="E395"/>
  <c r="E250"/>
  <c r="AN6"/>
  <c r="E41"/>
  <c r="E280"/>
  <c r="E471"/>
  <c r="E59"/>
  <c r="E418"/>
  <c r="E270"/>
  <c r="E408"/>
  <c r="E464"/>
  <c r="E92"/>
  <c r="E157"/>
  <c r="E238"/>
  <c r="E209"/>
  <c r="E414"/>
  <c r="E161"/>
  <c r="E44"/>
  <c r="E450"/>
  <c r="E202"/>
  <c r="E492"/>
  <c r="E36"/>
  <c r="E149"/>
  <c r="E131"/>
  <c r="E295"/>
  <c r="E237"/>
  <c r="E249"/>
  <c r="E304"/>
  <c r="E89"/>
  <c r="E428"/>
  <c r="E549"/>
  <c r="E165"/>
  <c r="E201"/>
  <c r="E100"/>
  <c r="E460"/>
  <c r="E404"/>
  <c r="E170"/>
  <c r="E374"/>
  <c r="I3" i="6"/>
  <c r="E30" i="3"/>
  <c r="E213"/>
  <c r="E490"/>
  <c r="E536"/>
  <c r="E218"/>
  <c r="E397"/>
  <c r="E442"/>
  <c r="E462"/>
  <c r="E110"/>
  <c r="E47"/>
  <c r="E63"/>
  <c r="E545"/>
  <c r="E174"/>
  <c r="E184"/>
  <c r="E129"/>
  <c r="E482"/>
  <c r="E98"/>
  <c r="E473"/>
  <c r="E422"/>
  <c r="N6"/>
  <c r="E398"/>
  <c r="E232"/>
  <c r="E533"/>
  <c r="E189"/>
  <c r="E37"/>
  <c r="E507"/>
  <c r="E303"/>
  <c r="E275"/>
  <c r="AT6"/>
  <c r="L6"/>
  <c r="E467"/>
  <c r="E429"/>
  <c r="E67"/>
  <c r="E116"/>
  <c r="E214"/>
  <c r="E372"/>
  <c r="E486"/>
  <c r="E465"/>
  <c r="E543"/>
  <c r="E154"/>
  <c r="E264"/>
  <c r="E243"/>
  <c r="E369"/>
  <c r="E309"/>
  <c r="V6"/>
  <c r="E448"/>
  <c r="E105"/>
  <c r="E74"/>
  <c r="AG6"/>
  <c r="E121"/>
  <c r="E505"/>
  <c r="E224"/>
  <c r="E419"/>
  <c r="E123"/>
  <c r="E302"/>
  <c r="E66"/>
  <c r="E386"/>
  <c r="E76"/>
  <c r="E287"/>
  <c r="E24"/>
  <c r="E188"/>
  <c r="E271"/>
  <c r="E306"/>
  <c r="E508"/>
  <c r="E180"/>
  <c r="E493"/>
  <c r="E413"/>
  <c r="E561"/>
  <c r="E283"/>
  <c r="E23"/>
  <c r="E535"/>
  <c r="E443"/>
  <c r="E156"/>
  <c r="E265"/>
  <c r="E381"/>
  <c r="E194"/>
  <c r="E49"/>
  <c r="AM6"/>
  <c r="E427"/>
  <c r="E78"/>
  <c r="E193"/>
  <c r="E337"/>
  <c r="E278"/>
  <c r="E390"/>
  <c r="E104"/>
  <c r="E158"/>
  <c r="E94"/>
  <c r="E296"/>
  <c r="E534"/>
  <c r="E472"/>
  <c r="E376"/>
  <c r="E187"/>
  <c r="E387"/>
  <c r="E253"/>
  <c r="E294"/>
  <c r="E225"/>
  <c r="R6"/>
  <c r="E537"/>
  <c r="E21"/>
  <c r="E199"/>
  <c r="E125"/>
  <c r="E54"/>
  <c r="E64"/>
  <c r="E423"/>
  <c r="AH6"/>
  <c r="E452"/>
  <c r="E140"/>
  <c r="E435"/>
  <c r="P6"/>
  <c r="E343"/>
  <c r="E84"/>
  <c r="E142"/>
  <c r="AP6"/>
  <c r="E410"/>
  <c r="E431"/>
  <c r="E468"/>
  <c r="E70"/>
  <c r="E109"/>
  <c r="E38"/>
  <c r="E185"/>
  <c r="E151"/>
  <c r="E148"/>
  <c r="E313"/>
  <c r="E27"/>
  <c r="E53"/>
  <c r="E412"/>
  <c r="E405"/>
  <c r="E469"/>
  <c r="W6"/>
  <c r="E293"/>
  <c r="E190"/>
  <c r="E560"/>
  <c r="E420"/>
  <c r="E111"/>
  <c r="E233"/>
  <c r="E261"/>
  <c r="E203"/>
  <c r="E39"/>
  <c r="E402"/>
  <c r="E107"/>
  <c r="E172"/>
  <c r="E288"/>
  <c r="E255"/>
  <c r="E393"/>
  <c r="E417"/>
  <c r="E88"/>
  <c r="E145"/>
  <c r="E480"/>
  <c r="E279"/>
  <c r="E220"/>
  <c r="E347"/>
  <c r="E517"/>
  <c r="E400"/>
  <c r="E453"/>
  <c r="E58"/>
  <c r="AQ6"/>
  <c r="E197"/>
  <c r="E162"/>
  <c r="E285"/>
  <c r="E235"/>
  <c r="E61"/>
  <c r="E229"/>
  <c r="E433"/>
  <c r="E120"/>
  <c r="E529"/>
  <c r="E191"/>
  <c r="E300"/>
  <c r="E555"/>
  <c r="E379"/>
  <c r="E355"/>
  <c r="E530"/>
  <c r="E499"/>
  <c r="E538"/>
  <c r="AY6"/>
  <c r="E13"/>
  <c r="C22" i="12"/>
  <c r="C20" s="1"/>
  <c r="C16"/>
  <c r="D19"/>
  <c r="C19" s="1"/>
  <c r="J12" i="40"/>
  <c r="H12"/>
  <c r="H12" i="39"/>
  <c r="J12"/>
  <c r="F12"/>
  <c r="F12" i="40"/>
  <c r="F24" i="43"/>
  <c r="C26" s="1"/>
  <c r="D24" s="1"/>
  <c r="F18" i="11"/>
  <c r="C18" s="1"/>
  <c r="C19" s="1"/>
  <c r="C20" s="1"/>
  <c r="C21" s="1"/>
  <c r="C22" s="1"/>
  <c r="C23" s="1"/>
  <c r="B2" s="1"/>
  <c r="O6" i="1"/>
  <c r="O16" s="1"/>
  <c r="C15" i="43"/>
  <c r="M16" i="1"/>
  <c r="P6"/>
  <c r="C15" i="12" s="1"/>
  <c r="I19" i="6"/>
  <c r="M27"/>
  <c r="C7" i="66"/>
  <c r="C8"/>
  <c r="C6"/>
  <c r="E4" i="67"/>
  <c r="G40" i="36"/>
  <c r="H40" s="1"/>
  <c r="G41"/>
  <c r="H41" s="1"/>
  <c r="E36"/>
  <c r="R37"/>
  <c r="G52" i="21"/>
  <c r="H52" s="1"/>
  <c r="G53"/>
  <c r="H53" s="1"/>
  <c r="G42" i="35"/>
  <c r="H42" s="1"/>
  <c r="G43"/>
  <c r="H43" s="1"/>
  <c r="R39"/>
  <c r="E38"/>
  <c r="E42" i="37"/>
  <c r="R43"/>
  <c r="C26" i="46"/>
  <c r="G53" i="34"/>
  <c r="H53" s="1"/>
  <c r="G54"/>
  <c r="H54" s="1"/>
  <c r="G52" i="33"/>
  <c r="H52" s="1"/>
  <c r="G53"/>
  <c r="H53" s="1"/>
  <c r="AB7" i="37"/>
  <c r="T42" s="1"/>
  <c r="G42" s="1"/>
  <c r="U7"/>
  <c r="I41" i="36"/>
  <c r="J41" s="1"/>
  <c r="I40"/>
  <c r="J40" s="1"/>
  <c r="R49" i="21"/>
  <c r="E48"/>
  <c r="R49" i="33"/>
  <c r="E48"/>
  <c r="I52" i="21"/>
  <c r="J52" s="1"/>
  <c r="I53"/>
  <c r="J53" s="1"/>
  <c r="I46" i="37"/>
  <c r="J46" s="1"/>
  <c r="I47"/>
  <c r="J47" s="1"/>
  <c r="I53" i="34"/>
  <c r="J53" s="1"/>
  <c r="R50"/>
  <c r="E49"/>
  <c r="I52" i="33"/>
  <c r="J52" s="1"/>
  <c r="I53"/>
  <c r="J53" s="1"/>
  <c r="I42" i="35"/>
  <c r="J42" s="1"/>
  <c r="I43"/>
  <c r="J43" s="1"/>
  <c r="J20" i="44"/>
  <c r="J26"/>
  <c r="J28"/>
  <c r="J31" s="1"/>
  <c r="J18" i="15"/>
  <c r="J24"/>
  <c r="J26"/>
  <c r="F24"/>
  <c r="C24" s="1"/>
  <c r="F26" i="44"/>
  <c r="C26" s="1"/>
  <c r="F26" i="12"/>
  <c r="F21" i="43"/>
  <c r="C23" s="1"/>
  <c r="D21" s="1"/>
  <c r="C40" i="44"/>
  <c r="C34"/>
  <c r="C10" i="15"/>
  <c r="C5" s="1"/>
  <c r="C52"/>
  <c r="C47" s="1"/>
  <c r="E7" i="67"/>
  <c r="F41" i="15"/>
  <c r="C17"/>
  <c r="L52" i="44"/>
  <c r="H6" i="3" l="1"/>
  <c r="S16" i="1"/>
  <c r="T6" s="1"/>
  <c r="G70" i="39"/>
  <c r="F72"/>
  <c r="G65" i="40"/>
  <c r="F67"/>
  <c r="F68" i="15"/>
  <c r="J29"/>
  <c r="AY118" i="3"/>
  <c r="AY467"/>
  <c r="AY425"/>
  <c r="AY49"/>
  <c r="AY149"/>
  <c r="AY381"/>
  <c r="AY343"/>
  <c r="AY560"/>
  <c r="AY65"/>
  <c r="AY178"/>
  <c r="AY135"/>
  <c r="AY294"/>
  <c r="AY372"/>
  <c r="AY459"/>
  <c r="AY168"/>
  <c r="AY256"/>
  <c r="AY346"/>
  <c r="AY389"/>
  <c r="AY161"/>
  <c r="AY342"/>
  <c r="AY194"/>
  <c r="AY279"/>
  <c r="AY16"/>
  <c r="AY438"/>
  <c r="AY278"/>
  <c r="AY442"/>
  <c r="AY253"/>
  <c r="AY352"/>
  <c r="AY35"/>
  <c r="AY236"/>
  <c r="AY516"/>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AY388"/>
  <c r="AY498"/>
  <c r="AY137"/>
  <c r="AY456"/>
  <c r="AY485"/>
  <c r="AY518"/>
  <c r="AY565"/>
  <c r="AY112"/>
  <c r="AY244"/>
  <c r="AY415"/>
  <c r="BP6"/>
  <c r="AY247"/>
  <c r="AY399"/>
  <c r="AY503"/>
  <c r="AY553"/>
  <c r="AY20"/>
  <c r="AY199"/>
  <c r="AY208"/>
  <c r="AY480"/>
  <c r="AY78"/>
  <c r="AY174"/>
  <c r="AY299"/>
  <c r="AY90"/>
  <c r="AY153"/>
  <c r="AY351"/>
  <c r="AY447"/>
  <c r="AY358"/>
  <c r="AY375"/>
  <c r="AY328"/>
  <c r="AY185"/>
  <c r="AY344"/>
  <c r="AY559"/>
  <c r="AY63"/>
  <c r="AY483"/>
  <c r="AY223"/>
  <c r="AY506"/>
  <c r="AY71"/>
  <c r="AY108"/>
  <c r="AY190"/>
  <c r="AY240"/>
  <c r="AY440"/>
  <c r="AY60"/>
  <c r="AY235"/>
  <c r="AY475"/>
  <c r="AY195"/>
  <c r="AY334"/>
  <c r="AY421"/>
  <c r="AY331"/>
  <c r="AY362"/>
  <c r="AY270"/>
  <c r="AY205"/>
  <c r="AY487"/>
  <c r="AY252"/>
  <c r="AY571"/>
  <c r="BM6"/>
  <c r="AY509"/>
  <c r="AY260"/>
  <c r="AY554"/>
  <c r="AY423"/>
  <c r="AY539"/>
  <c r="AY228"/>
  <c r="AY532"/>
  <c r="AY18"/>
  <c r="AY564"/>
  <c r="AY13"/>
  <c r="BL6"/>
  <c r="AY103"/>
  <c r="AY64"/>
  <c r="AY21"/>
  <c r="AY154"/>
  <c r="AY52"/>
  <c r="AY42"/>
  <c r="AY191"/>
  <c r="AY160"/>
  <c r="AY204"/>
  <c r="AY515"/>
  <c r="AY92"/>
  <c r="AY75"/>
  <c r="AY31"/>
  <c r="AY175"/>
  <c r="AY217"/>
  <c r="AY262"/>
  <c r="AY291"/>
  <c r="AY232"/>
  <c r="AY383"/>
  <c r="AY317"/>
  <c r="AY448"/>
  <c r="AY397"/>
  <c r="AY479"/>
  <c r="AY202"/>
  <c r="AY139"/>
  <c r="AY214"/>
  <c r="AY324"/>
  <c r="AY476"/>
  <c r="AY39"/>
  <c r="AY169"/>
  <c r="AY238"/>
  <c r="AY348"/>
  <c r="AY315"/>
  <c r="AY548"/>
  <c r="AY50"/>
  <c r="AY226"/>
  <c r="AY464"/>
  <c r="AY30"/>
  <c r="AY295"/>
  <c r="AY340"/>
  <c r="AY101"/>
  <c r="AY272"/>
  <c r="AY305"/>
  <c r="AY405"/>
  <c r="AY429"/>
  <c r="AY336"/>
  <c r="AY43"/>
  <c r="AY572"/>
  <c r="AY501"/>
  <c r="AY91"/>
  <c r="AY449"/>
  <c r="AY273"/>
  <c r="AY494"/>
  <c r="AY566"/>
  <c r="AY212"/>
  <c r="AY488"/>
  <c r="BB6"/>
  <c r="AY568"/>
  <c r="AY251"/>
  <c r="AY451"/>
  <c r="AY296"/>
  <c r="AY54"/>
  <c r="AY353"/>
  <c r="AY460"/>
  <c r="AY338"/>
  <c r="AY312"/>
  <c r="AY284"/>
  <c r="AY444"/>
  <c r="AY79"/>
  <c r="AY134"/>
  <c r="AY419"/>
  <c r="AY261"/>
  <c r="AY243"/>
  <c r="AY426"/>
  <c r="AY373"/>
  <c r="AY301"/>
  <c r="AY466"/>
  <c r="AY496"/>
  <c r="AY474"/>
  <c r="AY482"/>
  <c r="AY441"/>
  <c r="AY491"/>
  <c r="BD6"/>
  <c r="AY567"/>
  <c r="AY276"/>
  <c r="AY538"/>
  <c r="AY436"/>
  <c r="AY534"/>
  <c r="AY113"/>
  <c r="AY557"/>
  <c r="AY192"/>
  <c r="AY478"/>
  <c r="AY387"/>
  <c r="AY418"/>
  <c r="AY410"/>
  <c r="AY434"/>
  <c r="AY56"/>
  <c r="AY289"/>
  <c r="AY512"/>
  <c r="AY93"/>
  <c r="AY313"/>
  <c r="AY130"/>
  <c r="AY125"/>
  <c r="AY473"/>
  <c r="AY551"/>
  <c r="AY541"/>
  <c r="AY167"/>
  <c r="AY439"/>
  <c r="AY180"/>
  <c r="AY477"/>
  <c r="AY292"/>
  <c r="AY452"/>
  <c r="BH6"/>
  <c r="AY242"/>
  <c r="AY186"/>
  <c r="BF6"/>
  <c r="AY222"/>
  <c r="AY390"/>
  <c r="AY540"/>
  <c r="AY15"/>
  <c r="AY355"/>
  <c r="AY220"/>
  <c r="BR6"/>
  <c r="AY497"/>
  <c r="AY285"/>
  <c r="AY404"/>
  <c r="AY327"/>
  <c r="AY213"/>
  <c r="AY502"/>
  <c r="AY110"/>
  <c r="AY298"/>
  <c r="AY403"/>
  <c r="AY514"/>
  <c r="AY177"/>
  <c r="AY263"/>
  <c r="AY524"/>
  <c r="AY231"/>
  <c r="AY300"/>
  <c r="AY537"/>
  <c r="AY53"/>
  <c r="AY83"/>
  <c r="AY74"/>
  <c r="AY144"/>
  <c r="AY98"/>
  <c r="AY57"/>
  <c r="AY136"/>
  <c r="AY277"/>
  <c r="AY264"/>
  <c r="AY349"/>
  <c r="AY427"/>
  <c r="AY402"/>
  <c r="AY181"/>
  <c r="AY379"/>
  <c r="AY463"/>
  <c r="AY265"/>
  <c r="AY350"/>
  <c r="AY62"/>
  <c r="AY241"/>
  <c r="AY155"/>
  <c r="AY542"/>
  <c r="AY382"/>
  <c r="AY555"/>
  <c r="AY201"/>
  <c r="AY308"/>
  <c r="AY124"/>
  <c r="AY525"/>
  <c r="AY526"/>
  <c r="AY48"/>
  <c r="AY215"/>
  <c r="AY61"/>
  <c r="AY23"/>
  <c r="AY237"/>
  <c r="AY173"/>
  <c r="AY59"/>
  <c r="AY522"/>
  <c r="AY306"/>
  <c r="AY33"/>
  <c r="AY196"/>
  <c r="AY570"/>
  <c r="AY521"/>
  <c r="BE6"/>
  <c r="AY508"/>
  <c r="AY40"/>
  <c r="AY401"/>
  <c r="AY495"/>
  <c r="AY267"/>
  <c r="AY363"/>
  <c r="AY545"/>
  <c r="AY339"/>
  <c r="AY490"/>
  <c r="AY210"/>
  <c r="AY297"/>
  <c r="AY462"/>
  <c r="AY94"/>
  <c r="AY536"/>
  <c r="AY517"/>
  <c r="AY523"/>
  <c r="D3" i="6"/>
  <c r="AY384" i="3"/>
  <c r="AY416"/>
  <c r="AY422"/>
  <c r="AY170"/>
  <c r="AY146"/>
  <c r="AY286"/>
  <c r="AY364"/>
  <c r="AY398"/>
  <c r="AY70"/>
  <c r="AY141"/>
  <c r="AY258"/>
  <c r="AY366"/>
  <c r="BK6"/>
  <c r="AY72"/>
  <c r="AY269"/>
  <c r="AY376"/>
  <c r="AY435"/>
  <c r="AY81"/>
  <c r="AY230"/>
  <c r="AY450"/>
  <c r="AY122"/>
  <c r="AY307"/>
  <c r="AY457"/>
  <c r="AY412"/>
  <c r="AY188"/>
  <c r="AY143"/>
  <c r="AY543"/>
  <c r="AY330"/>
  <c r="AY99"/>
  <c r="AY481"/>
  <c r="AY428"/>
  <c r="AY486"/>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AY193"/>
  <c r="AY493"/>
  <c r="AY320"/>
  <c r="AY86"/>
  <c r="AY27"/>
  <c r="AY24"/>
  <c r="AY268"/>
  <c r="AY431"/>
  <c r="BN6"/>
  <c r="AY239"/>
  <c r="AY407"/>
  <c r="AY500"/>
  <c r="AY552"/>
  <c r="AY107"/>
  <c r="AY140"/>
  <c r="AY458"/>
  <c r="AY527"/>
  <c r="AY152"/>
  <c r="AY461"/>
  <c r="AY489"/>
  <c r="AY519"/>
  <c r="AY546"/>
  <c r="AY66"/>
  <c r="AY325"/>
  <c r="AY417"/>
  <c r="AY287"/>
  <c r="AY163"/>
  <c r="AY385"/>
  <c r="AY492"/>
  <c r="AY484"/>
  <c r="AY505"/>
  <c r="AY17"/>
  <c r="AY563"/>
  <c r="AY68"/>
  <c r="AY357"/>
  <c r="AY133"/>
  <c r="AY84"/>
  <c r="AY468"/>
  <c r="AY377"/>
  <c r="BI6"/>
  <c r="AY164"/>
  <c r="AY469"/>
  <c r="AY454"/>
  <c r="AY499"/>
  <c r="AY391"/>
  <c r="AY507"/>
  <c r="AY504"/>
  <c r="AY100"/>
  <c r="AY73"/>
  <c r="AY47"/>
  <c r="AY182"/>
  <c r="AY126"/>
  <c r="AY45"/>
  <c r="AY106"/>
  <c r="AY234"/>
  <c r="AY209"/>
  <c r="AY361"/>
  <c r="AY55"/>
  <c r="AY250"/>
  <c r="AY326"/>
  <c r="AY116"/>
  <c r="AY310"/>
  <c r="AY550"/>
  <c r="AY115"/>
  <c r="AY400"/>
  <c r="AY302"/>
  <c r="AY132"/>
  <c r="AY420"/>
  <c r="BC6"/>
  <c r="AY157"/>
  <c r="AY528"/>
  <c r="AY207"/>
  <c r="AY19"/>
  <c r="AY513"/>
  <c r="AY347"/>
  <c r="AY345"/>
  <c r="AY470"/>
  <c r="AY119"/>
  <c r="AY533"/>
  <c r="AY89"/>
  <c r="AY102"/>
  <c r="BG6"/>
  <c r="AY165"/>
  <c r="AY255"/>
  <c r="AY354"/>
  <c r="AY121"/>
  <c r="AY510"/>
  <c r="AY281"/>
  <c r="AY322"/>
  <c r="AY395"/>
  <c r="AY189"/>
  <c r="AY393"/>
  <c r="BO6"/>
  <c r="AY433"/>
  <c r="AY547"/>
  <c r="AY455"/>
  <c r="AY332"/>
  <c r="AY51"/>
  <c r="AY511"/>
  <c r="BJ6"/>
  <c r="AY535"/>
  <c r="AC6"/>
  <c r="E6" s="1"/>
  <c r="P16" i="1"/>
  <c r="AA12" i="40"/>
  <c r="S12"/>
  <c r="AC12" i="39"/>
  <c r="W12"/>
  <c r="AB12" i="40"/>
  <c r="U12"/>
  <c r="I27" i="6"/>
  <c r="S19"/>
  <c r="S27" s="1"/>
  <c r="T7" i="1"/>
  <c r="T13"/>
  <c r="T10"/>
  <c r="T12"/>
  <c r="T9"/>
  <c r="T8"/>
  <c r="T11"/>
  <c r="N16"/>
  <c r="C29" i="43" s="1"/>
  <c r="C13"/>
  <c r="L16" i="1"/>
  <c r="AA12" i="39"/>
  <c r="S12"/>
  <c r="U12"/>
  <c r="AB12"/>
  <c r="W12" i="40"/>
  <c r="AC12"/>
  <c r="E3" i="67"/>
  <c r="C50" i="34"/>
  <c r="B3" s="1"/>
  <c r="B2" s="1"/>
  <c r="C49"/>
  <c r="C49" i="33"/>
  <c r="B3" s="1"/>
  <c r="B2" s="1"/>
  <c r="C48"/>
  <c r="C49" i="21"/>
  <c r="B3" s="1"/>
  <c r="B2" s="1"/>
  <c r="C48"/>
  <c r="G47" i="37"/>
  <c r="H47" s="1"/>
  <c r="G46"/>
  <c r="H46" s="1"/>
  <c r="C43"/>
  <c r="B3" s="1"/>
  <c r="B2" s="1"/>
  <c r="C42"/>
  <c r="E43" i="35"/>
  <c r="F43" s="1"/>
  <c r="E42"/>
  <c r="F42" s="1"/>
  <c r="C37" i="36"/>
  <c r="B3" s="1"/>
  <c r="B2" s="1"/>
  <c r="C36"/>
  <c r="E54" i="34"/>
  <c r="F54" s="1"/>
  <c r="E53"/>
  <c r="F53" s="1"/>
  <c r="E52" i="33"/>
  <c r="F52" s="1"/>
  <c r="E53"/>
  <c r="F53" s="1"/>
  <c r="E53" i="21"/>
  <c r="F53" s="1"/>
  <c r="E52"/>
  <c r="F52" s="1"/>
  <c r="B2" i="46"/>
  <c r="E47" i="37"/>
  <c r="F47" s="1"/>
  <c r="E46"/>
  <c r="F46" s="1"/>
  <c r="C39" i="35"/>
  <c r="B3" s="1"/>
  <c r="B2" s="1"/>
  <c r="C38"/>
  <c r="E41" i="36"/>
  <c r="F41" s="1"/>
  <c r="E40"/>
  <c r="F40" s="1"/>
  <c r="I54" i="34"/>
  <c r="J54" s="1"/>
  <c r="Q69" i="44"/>
  <c r="L58"/>
  <c r="L61" s="1"/>
  <c r="C59" i="15"/>
  <c r="C65"/>
  <c r="B3" i="11"/>
  <c r="B5"/>
  <c r="B4"/>
  <c r="C32" i="15"/>
  <c r="C38"/>
  <c r="C27" i="12"/>
  <c r="D26" s="1"/>
  <c r="C32" s="1"/>
  <c r="D30" s="1"/>
  <c r="Q67" i="44"/>
  <c r="Q49"/>
  <c r="Q55" s="1"/>
  <c r="Q58"/>
  <c r="C13" i="12"/>
  <c r="C14" i="15"/>
  <c r="B7" i="67"/>
  <c r="C16" i="44"/>
  <c r="H65" i="40" l="1"/>
  <c r="G67"/>
  <c r="H70" i="39"/>
  <c r="G72"/>
  <c r="C14" i="12"/>
  <c r="C17"/>
  <c r="D26" i="6"/>
  <c r="D9"/>
  <c r="D15"/>
  <c r="E46" i="9"/>
  <c r="D25" i="6"/>
  <c r="H24"/>
  <c r="E45" i="9"/>
  <c r="E63" i="40"/>
  <c r="D24" i="6"/>
  <c r="D22"/>
  <c r="D12"/>
  <c r="H25"/>
  <c r="D5"/>
  <c r="H22"/>
  <c r="H26"/>
  <c r="F46" i="9"/>
  <c r="D19" i="6"/>
  <c r="D13"/>
  <c r="D23"/>
  <c r="D8"/>
  <c r="F45" i="9"/>
  <c r="E68" i="39"/>
  <c r="D21" i="6"/>
  <c r="H21"/>
  <c r="D14"/>
  <c r="H23"/>
  <c r="K38" i="9"/>
  <c r="C14" i="66" s="1"/>
  <c r="B2" s="1"/>
  <c r="C22" i="4"/>
  <c r="D11" i="6"/>
  <c r="H20"/>
  <c r="D29"/>
  <c r="E44" i="9"/>
  <c r="D28" i="6"/>
  <c r="D30" s="1"/>
  <c r="F44" i="9"/>
  <c r="H19" i="6"/>
  <c r="D10"/>
  <c r="D6"/>
  <c r="D20"/>
  <c r="R20" s="1"/>
  <c r="R7" i="1" s="1"/>
  <c r="C17" i="44"/>
  <c r="C20"/>
  <c r="C18" i="15"/>
  <c r="C15"/>
  <c r="C14" i="43"/>
  <c r="C17"/>
  <c r="T16" i="1"/>
  <c r="B2" i="67"/>
  <c r="B4" i="46"/>
  <c r="D4"/>
  <c r="B3"/>
  <c r="Q68" i="44"/>
  <c r="Q77" s="1"/>
  <c r="Q59"/>
  <c r="Q64" s="1"/>
  <c r="M21" i="15"/>
  <c r="F35"/>
  <c r="C34" l="1"/>
  <c r="F62"/>
  <c r="C61" s="1"/>
  <c r="J20"/>
  <c r="H72" i="39"/>
  <c r="I70"/>
  <c r="H67" i="40"/>
  <c r="I65"/>
  <c r="H27" i="6"/>
  <c r="C18" i="12"/>
  <c r="C23" s="1"/>
  <c r="C35" s="1"/>
  <c r="C33" s="1"/>
  <c r="R24" i="6"/>
  <c r="D8" i="66"/>
  <c r="D6"/>
  <c r="D7"/>
  <c r="R19" i="6"/>
  <c r="D27"/>
  <c r="D31" s="1"/>
  <c r="R21"/>
  <c r="R8" i="1" s="1"/>
  <c r="R23" i="6"/>
  <c r="R25"/>
  <c r="R26"/>
  <c r="A6" i="51"/>
  <c r="B7" i="63" s="1"/>
  <c r="A20" i="51"/>
  <c r="B15" i="63" s="1"/>
  <c r="A6" i="64"/>
  <c r="A20"/>
  <c r="N5" i="54"/>
  <c r="B43" i="63" s="1"/>
  <c r="D16" i="6"/>
  <c r="R22"/>
  <c r="C21" i="44"/>
  <c r="C22" s="1"/>
  <c r="C28" s="1"/>
  <c r="C19" i="15"/>
  <c r="C20" s="1"/>
  <c r="C23" s="1"/>
  <c r="C18" i="43"/>
  <c r="C19" s="1"/>
  <c r="C25" s="1"/>
  <c r="C24" s="1"/>
  <c r="B4" i="67"/>
  <c r="B3"/>
  <c r="I67" i="40" l="1"/>
  <c r="J65"/>
  <c r="I72" i="39"/>
  <c r="J70"/>
  <c r="C28" i="12"/>
  <c r="C26" s="1"/>
  <c r="C31" s="1"/>
  <c r="C30" s="1"/>
  <c r="C36" s="1"/>
  <c r="B2" s="1"/>
  <c r="B3" s="1"/>
  <c r="I5" i="6"/>
  <c r="I6"/>
  <c r="R27"/>
  <c r="R6" i="1"/>
  <c r="C25" i="44"/>
  <c r="C31" s="1"/>
  <c r="J16" s="1"/>
  <c r="C22" i="43"/>
  <c r="C21" s="1"/>
  <c r="C28" s="1"/>
  <c r="C30" s="1"/>
  <c r="C32" s="1"/>
  <c r="B2" s="1"/>
  <c r="B5" s="1"/>
  <c r="C26" i="15"/>
  <c r="C29" s="1"/>
  <c r="B4" i="12"/>
  <c r="C20" i="9"/>
  <c r="C21"/>
  <c r="C19"/>
  <c r="J72" i="39" l="1"/>
  <c r="K70"/>
  <c r="J67" i="40"/>
  <c r="K65"/>
  <c r="B5" i="12"/>
  <c r="C15" i="44"/>
  <c r="Q72" s="1"/>
  <c r="C35"/>
  <c r="C33" s="1"/>
  <c r="J21"/>
  <c r="J19" s="1"/>
  <c r="L43" i="9"/>
  <c r="B3" i="43"/>
  <c r="Q51" i="44"/>
  <c r="C38"/>
  <c r="B4" i="43"/>
  <c r="R16" i="1"/>
  <c r="C56" i="15"/>
  <c r="Q50"/>
  <c r="C33"/>
  <c r="C31" s="1"/>
  <c r="C13"/>
  <c r="C36"/>
  <c r="J19"/>
  <c r="J17" s="1"/>
  <c r="J14"/>
  <c r="C39" i="44"/>
  <c r="J15"/>
  <c r="J25" s="1"/>
  <c r="J24"/>
  <c r="C43" l="1"/>
  <c r="L65" i="40"/>
  <c r="K67"/>
  <c r="L70" i="39"/>
  <c r="K72"/>
  <c r="C32" i="44"/>
  <c r="C42" s="1"/>
  <c r="Q71" s="1"/>
  <c r="Q70" s="1"/>
  <c r="J13" i="15"/>
  <c r="J23" s="1"/>
  <c r="J22"/>
  <c r="C63"/>
  <c r="C60"/>
  <c r="C58" s="1"/>
  <c r="Q71"/>
  <c r="J35"/>
  <c r="C37"/>
  <c r="C30" s="1"/>
  <c r="C39" s="1"/>
  <c r="C55"/>
  <c r="C64" s="1"/>
  <c r="J18" i="44"/>
  <c r="J27" s="1"/>
  <c r="L51" i="15"/>
  <c r="C44" i="44" l="1"/>
  <c r="C45" s="1"/>
  <c r="B2" s="1"/>
  <c r="B3" s="1"/>
  <c r="M70" i="39"/>
  <c r="L72"/>
  <c r="L67" i="40"/>
  <c r="M65"/>
  <c r="J39" i="15"/>
  <c r="J40" s="1"/>
  <c r="L57"/>
  <c r="L60" s="1"/>
  <c r="L46" s="1"/>
  <c r="Q68"/>
  <c r="C40"/>
  <c r="Q70"/>
  <c r="Q69" s="1"/>
  <c r="C57"/>
  <c r="C66" s="1"/>
  <c r="C67" s="1"/>
  <c r="J16"/>
  <c r="J25" s="1"/>
  <c r="B4" i="44"/>
  <c r="B5" l="1"/>
  <c r="M72" i="39"/>
  <c r="N70"/>
  <c r="N72" s="1"/>
  <c r="N65" i="40"/>
  <c r="N67" s="1"/>
  <c r="J9" s="1"/>
  <c r="M67"/>
  <c r="C70" i="15"/>
  <c r="C46"/>
  <c r="Q66"/>
  <c r="J42"/>
  <c r="J43" s="1"/>
  <c r="C43"/>
  <c r="Q57"/>
  <c r="Q48"/>
  <c r="Q54" s="1"/>
  <c r="B2"/>
  <c r="B3" s="1"/>
  <c r="Q58"/>
  <c r="Q67"/>
  <c r="W9" i="40" l="1"/>
  <c r="AC9"/>
  <c r="V44" s="1"/>
  <c r="I44" s="1"/>
  <c r="I48" s="1"/>
  <c r="J48" s="1"/>
  <c r="H9"/>
  <c r="F9" i="39"/>
  <c r="J9"/>
  <c r="H9"/>
  <c r="F9" i="40"/>
  <c r="Q76" i="15"/>
  <c r="Q63"/>
  <c r="AA9" i="40" l="1"/>
  <c r="R44" s="1"/>
  <c r="S9"/>
  <c r="W9" i="39"/>
  <c r="AC9"/>
  <c r="V49" s="1"/>
  <c r="I49" s="1"/>
  <c r="AB9" i="40"/>
  <c r="T44" s="1"/>
  <c r="G44" s="1"/>
  <c r="U9"/>
  <c r="AB9" i="39"/>
  <c r="T49" s="1"/>
  <c r="G49" s="1"/>
  <c r="U9"/>
  <c r="AA9"/>
  <c r="R49" s="1"/>
  <c r="S9"/>
  <c r="E49" l="1"/>
  <c r="I54" s="1"/>
  <c r="J54" s="1"/>
  <c r="R50"/>
  <c r="G54"/>
  <c r="H54" s="1"/>
  <c r="G53"/>
  <c r="H53" s="1"/>
  <c r="G48" i="40"/>
  <c r="H48" s="1"/>
  <c r="G49"/>
  <c r="H49" s="1"/>
  <c r="E44"/>
  <c r="R45"/>
  <c r="I53" i="39"/>
  <c r="J53" s="1"/>
  <c r="I49" i="40" l="1"/>
  <c r="J49" s="1"/>
  <c r="E48"/>
  <c r="F48" s="1"/>
  <c r="E49"/>
  <c r="F49" s="1"/>
  <c r="E54" i="39"/>
  <c r="F54" s="1"/>
  <c r="E53"/>
  <c r="F53" s="1"/>
  <c r="C44" i="40"/>
  <c r="C45"/>
  <c r="C50" i="39"/>
  <c r="C49"/>
  <c r="B57" i="40" l="1"/>
  <c r="F57" s="1"/>
  <c r="F63"/>
  <c r="B2" s="1"/>
  <c r="B55"/>
  <c r="F55" s="1"/>
  <c r="B60"/>
  <c r="F60" s="1"/>
  <c r="B62"/>
  <c r="F62" s="1"/>
  <c r="B61"/>
  <c r="F61" s="1"/>
  <c r="B53"/>
  <c r="F53" s="1"/>
  <c r="B58"/>
  <c r="F58" s="1"/>
  <c r="B59"/>
  <c r="F59" s="1"/>
  <c r="B54"/>
  <c r="F54" s="1"/>
  <c r="B56"/>
  <c r="F56" s="1"/>
  <c r="B66" i="39"/>
  <c r="F66" s="1"/>
  <c r="B60"/>
  <c r="F60" s="1"/>
  <c r="B58"/>
  <c r="F58" s="1"/>
  <c r="B61"/>
  <c r="F61" s="1"/>
  <c r="B65"/>
  <c r="F65" s="1"/>
  <c r="B67"/>
  <c r="F67" s="1"/>
  <c r="F68"/>
  <c r="B2" s="1"/>
  <c r="B59"/>
  <c r="F59" s="1"/>
  <c r="B64"/>
  <c r="F64" s="1"/>
  <c r="B4"/>
  <c r="B62"/>
  <c r="F62" s="1"/>
  <c r="B63"/>
  <c r="F63" s="1"/>
  <c r="D19" i="9"/>
  <c r="D21"/>
  <c r="G21" l="1"/>
  <c r="D22"/>
  <c r="G19"/>
  <c r="L44"/>
  <c r="B5" i="39"/>
  <c r="B3"/>
  <c r="B5" i="40"/>
  <c r="B4"/>
  <c r="B3"/>
  <c r="D20" i="9"/>
  <c r="G20" l="1"/>
  <c r="M11"/>
  <c r="G22"/>
  <c r="N43"/>
  <c r="C32"/>
  <c r="C34" l="1"/>
  <c r="C35"/>
  <c r="F42" s="1"/>
  <c r="C33"/>
  <c r="C42"/>
  <c r="O38"/>
  <c r="O43"/>
  <c r="D14" i="66" l="1"/>
  <c r="N68" i="9"/>
  <c r="R5" i="54"/>
  <c r="B48" i="63" s="1"/>
  <c r="D63" i="9"/>
  <c r="K25"/>
  <c r="K26"/>
  <c r="N38"/>
  <c r="K28" s="1"/>
  <c r="D42"/>
  <c r="Q5" i="54" s="1"/>
  <c r="B47" i="63" s="1"/>
  <c r="E42" i="9"/>
  <c r="P5" i="54" s="1"/>
  <c r="B46" i="63" s="1"/>
  <c r="M38" i="9"/>
  <c r="K27" s="1"/>
  <c r="E14" i="66" l="1"/>
  <c r="F14"/>
  <c r="B5"/>
  <c r="C103" i="9"/>
  <c r="D77"/>
  <c r="N75" s="1"/>
  <c r="C96"/>
  <c r="C91" s="1"/>
  <c r="D71"/>
  <c r="D66" s="1"/>
  <c r="N72" s="1"/>
  <c r="C111"/>
  <c r="C104" s="1"/>
  <c r="C82"/>
  <c r="C81" s="1"/>
  <c r="C85" s="1"/>
  <c r="C86" s="1"/>
  <c r="D72" s="1"/>
  <c r="C90"/>
  <c r="C97" s="1"/>
  <c r="D70"/>
  <c r="D5" i="66" l="1"/>
  <c r="C5"/>
  <c r="C98" i="9"/>
  <c r="E98" s="1"/>
  <c r="E99" s="1"/>
  <c r="C113"/>
  <c r="C99" l="1"/>
  <c r="C114"/>
  <c r="E114" s="1"/>
  <c r="E115" s="1"/>
  <c r="C115" l="1"/>
  <c r="D76" s="1"/>
  <c r="D74" s="1"/>
  <c r="N74" s="1"/>
  <c r="O77" s="1"/>
  <c r="O78" s="1"/>
  <c r="Q77" l="1"/>
  <c r="O79"/>
  <c r="O80" s="1"/>
  <c r="O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<sst xmlns="http://schemas.openxmlformats.org/spreadsheetml/2006/main" count="7359" uniqueCount="3133">
  <si>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</si>
  <si>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</si>
  <si>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</si>
  <si>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</si>
  <si>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</si>
  <si>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</si>
  <si>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</si>
  <si>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</si>
  <si>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</si>
  <si>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</si>
  <si>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</si>
  <si>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</si>
  <si>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</si>
  <si>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</si>
  <si>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</si>
  <si>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</si>
  <si>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</si>
  <si>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</si>
  <si>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</si>
  <si>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</si>
  <si>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</si>
  <si>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</si>
  <si>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</si>
  <si>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</si>
  <si>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</si>
  <si>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</si>
  <si>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</si>
  <si>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</si>
  <si>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</si>
  <si>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</si>
  <si>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</si>
  <si>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</si>
  <si>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</si>
  <si>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</si>
  <si>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</si>
  <si>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</si>
  <si>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</si>
  <si>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</si>
  <si>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</si>
  <si>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</si>
  <si>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</si>
  <si>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</si>
  <si>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</si>
  <si>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</si>
  <si>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</si>
  <si>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</si>
  <si>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</si>
  <si>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</si>
  <si>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</si>
  <si>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</si>
  <si>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</si>
  <si>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</si>
  <si>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</si>
  <si>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</si>
  <si>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</si>
  <si>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</si>
  <si>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</si>
  <si>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</si>
  <si>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</si>
  <si>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</si>
  <si>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</si>
  <si>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</si>
  <si>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</si>
  <si>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</si>
  <si>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</si>
  <si>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</si>
  <si>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</si>
  <si>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</si>
  <si>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</si>
  <si>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</si>
  <si>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</si>
  <si>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</si>
  <si>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</si>
  <si>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</si>
  <si>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</si>
  <si>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</si>
  <si>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</si>
  <si>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</si>
  <si>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</si>
  <si>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</si>
  <si>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</si>
  <si>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</si>
  <si>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</si>
  <si>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</si>
  <si>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</si>
  <si>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</si>
  <si>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</si>
  <si>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</si>
  <si>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</si>
  <si>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</si>
  <si>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</si>
  <si>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</si>
  <si>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</si>
  <si>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</si>
  <si>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</si>
  <si>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</si>
  <si>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</si>
  <si>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</si>
  <si>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</si>
  <si>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</si>
  <si>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</si>
  <si>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</si>
  <si>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</si>
  <si>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</si>
  <si>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</si>
  <si>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</si>
  <si>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</si>
  <si>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</si>
  <si>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</si>
  <si>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</si>
  <si>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</si>
  <si>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</si>
  <si>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</si>
  <si>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</si>
  <si>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</si>
  <si>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</si>
  <si>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</si>
  <si>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</si>
  <si>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</si>
  <si>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</si>
  <si>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</si>
  <si>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</si>
  <si>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</si>
  <si>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</si>
  <si>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</si>
  <si>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</si>
  <si>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</si>
  <si>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</si>
  <si>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</si>
  <si>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</si>
  <si>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</si>
  <si>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</si>
  <si>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</si>
  <si>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</si>
  <si>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</si>
  <si>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</si>
  <si>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</si>
  <si>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</si>
  <si>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</si>
  <si>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</si>
  <si>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</si>
  <si>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</si>
  <si>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</si>
  <si>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</si>
  <si>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</si>
  <si>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</si>
  <si>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</si>
  <si>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</si>
  <si>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</si>
  <si>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</si>
  <si>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</si>
  <si>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</si>
  <si>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</si>
  <si>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</si>
  <si>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</si>
  <si>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</si>
  <si>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</si>
  <si>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</si>
  <si>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</si>
  <si>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</si>
  <si>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</si>
  <si>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</si>
  <si>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</si>
  <si>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</si>
  <si>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</si>
  <si>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</si>
  <si>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</si>
  <si>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</si>
  <si>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</si>
  <si>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</si>
  <si>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</si>
  <si>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</si>
  <si>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</si>
  <si>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</si>
  <si>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</si>
  <si>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</si>
  <si>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</si>
  <si>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</si>
  <si>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</si>
  <si>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</si>
  <si>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</si>
  <si>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</si>
  <si>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</si>
  <si>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</si>
  <si>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</si>
  <si>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</si>
  <si>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</si>
  <si>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</si>
  <si>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</si>
  <si>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</si>
  <si>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</si>
  <si>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</si>
  <si>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</si>
  <si>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</si>
  <si>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</si>
  <si>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</si>
  <si>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</si>
  <si>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</si>
  <si>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</si>
  <si>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</si>
  <si>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</si>
  <si>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</si>
  <si>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</si>
  <si>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</si>
  <si>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</si>
  <si>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</si>
  <si>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</si>
  <si>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</si>
  <si>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</si>
  <si>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</si>
  <si>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</si>
  <si>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</si>
  <si>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</si>
  <si>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</si>
  <si>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</si>
  <si>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</si>
  <si>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</si>
  <si>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</si>
  <si>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</si>
  <si>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</si>
  <si>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</si>
  <si>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</si>
  <si>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</si>
  <si>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</si>
  <si>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</si>
  <si>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</si>
  <si>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</si>
  <si>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</si>
  <si>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</si>
  <si>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</si>
  <si>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</si>
  <si>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</si>
  <si>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</si>
  <si>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</si>
  <si>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</si>
  <si>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</si>
  <si>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</si>
  <si>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</si>
  <si>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</si>
  <si>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</si>
  <si>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</si>
  <si>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</si>
  <si>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</si>
  <si>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</si>
  <si>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</si>
  <si>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</si>
  <si>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</si>
  <si>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</si>
  <si>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</si>
  <si>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</si>
  <si>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</si>
  <si>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</si>
  <si>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</si>
  <si>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</si>
  <si>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</si>
  <si>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</si>
  <si>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</si>
  <si>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</si>
  <si>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</si>
  <si>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</si>
  <si>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</si>
  <si>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</si>
  <si>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</si>
  <si>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</si>
  <si>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</si>
  <si>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</si>
  <si>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</si>
  <si>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</si>
  <si>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</si>
  <si>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</si>
  <si>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</si>
  <si>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</si>
  <si>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</si>
  <si>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</si>
  <si>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</si>
  <si>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</si>
  <si>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</si>
  <si>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</si>
  <si>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</si>
  <si>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</si>
  <si>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</si>
  <si>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</si>
  <si>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</si>
  <si>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</si>
  <si>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</si>
  <si>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</si>
  <si>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</si>
  <si>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</si>
  <si>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</si>
  <si>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</si>
  <si>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</si>
  <si>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</si>
  <si>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</si>
  <si>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</si>
  <si>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</si>
  <si>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</si>
  <si>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</si>
  <si>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</si>
  <si>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</si>
  <si>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</si>
  <si>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</si>
  <si>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</si>
  <si>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</si>
  <si>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</si>
  <si>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</si>
  <si>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</si>
  <si>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</si>
  <si>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</si>
  <si>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</si>
  <si>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</si>
  <si>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</si>
  <si>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</si>
  <si>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</si>
  <si>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</si>
  <si>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</si>
  <si>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</si>
  <si>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</si>
  <si>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</si>
  <si>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</si>
  <si>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</si>
  <si>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</si>
  <si>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</si>
  <si>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</si>
  <si>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</si>
  <si>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</si>
  <si>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</si>
  <si>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</si>
  <si>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</si>
  <si>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</si>
  <si>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</si>
  <si>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</si>
  <si>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</si>
  <si>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</si>
  <si>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</si>
  <si>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</si>
  <si>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</si>
  <si>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</si>
  <si>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</si>
  <si>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</si>
  <si>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</si>
  <si>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</si>
  <si>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</si>
  <si>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</si>
  <si>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</si>
  <si>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</si>
  <si>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</si>
  <si>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</si>
  <si>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</si>
  <si>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</si>
  <si>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</si>
  <si>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</si>
  <si>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</si>
  <si>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</si>
  <si>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</si>
  <si>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</si>
  <si>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</si>
  <si>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</si>
  <si>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</si>
  <si>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</si>
  <si>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</si>
  <si>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</si>
  <si>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</si>
  <si>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</si>
  <si>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</si>
  <si>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</si>
  <si>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</si>
  <si>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</si>
  <si>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</si>
  <si>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</si>
  <si>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</si>
  <si>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</si>
  <si>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</si>
  <si>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</si>
  <si>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</si>
  <si>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</si>
  <si>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</si>
  <si>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</si>
  <si>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</si>
  <si>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</si>
  <si>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</si>
  <si>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</si>
  <si>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</si>
  <si>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</si>
  <si>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</si>
  <si>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</si>
  <si>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</si>
  <si>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</si>
  <si>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</si>
  <si>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</si>
  <si>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</si>
  <si>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</si>
  <si>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</si>
  <si>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</si>
  <si>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</si>
  <si>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</si>
  <si>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</si>
  <si>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</si>
  <si>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</si>
  <si>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</si>
  <si>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</si>
  <si>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</si>
  <si>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</si>
  <si>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</si>
  <si>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</si>
  <si>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</si>
  <si>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</si>
  <si>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</si>
  <si>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</si>
  <si>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</si>
  <si>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</si>
  <si>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</si>
  <si>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</si>
  <si>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</si>
  <si>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</si>
  <si>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</si>
  <si>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</si>
  <si>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</si>
  <si>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</si>
  <si>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</si>
  <si>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</si>
  <si>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</si>
  <si>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</si>
  <si>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</si>
  <si>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</si>
  <si>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</si>
  <si>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</si>
  <si>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</si>
  <si>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</si>
  <si>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</si>
  <si>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</si>
  <si>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</si>
  <si>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</si>
  <si>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</si>
  <si>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</si>
  <si>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</si>
  <si>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</si>
  <si>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</si>
  <si>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</si>
  <si>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</si>
  <si>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</si>
  <si>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</si>
  <si>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</si>
  <si>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</si>
  <si>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</si>
  <si>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</si>
  <si>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</si>
  <si>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</si>
  <si>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</si>
  <si>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</si>
  <si>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</si>
  <si>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</si>
  <si>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</si>
  <si>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</si>
  <si>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</si>
  <si>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</si>
  <si>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</si>
  <si>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</si>
  <si>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</si>
  <si>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</si>
  <si>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</si>
  <si>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</si>
  <si>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</si>
  <si>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</si>
  <si>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</si>
  <si>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</si>
  <si>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</si>
  <si>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</si>
  <si>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</si>
  <si>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</si>
  <si>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</si>
  <si>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</si>
  <si>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</si>
  <si>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</si>
  <si>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</si>
  <si>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</si>
  <si>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</si>
  <si>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</si>
  <si>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</si>
  <si>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</si>
  <si>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</si>
  <si>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</si>
  <si>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</si>
  <si>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</si>
  <si>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</si>
  <si>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</si>
  <si>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</si>
  <si>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</si>
  <si>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</si>
  <si>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</si>
  <si>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</si>
  <si>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</si>
  <si>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</si>
  <si>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</si>
  <si>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</si>
  <si>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</si>
  <si>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</si>
  <si>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</si>
  <si>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</si>
  <si>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</si>
  <si>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</si>
  <si>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</si>
  <si>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</si>
  <si>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</si>
  <si>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</si>
  <si>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</si>
  <si>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</si>
  <si>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</si>
  <si>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</si>
  <si>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</si>
  <si>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</si>
  <si>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</si>
  <si>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</si>
  <si>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</si>
  <si>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</si>
  <si>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</si>
  <si>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</si>
  <si>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</si>
  <si>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</si>
  <si>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</si>
  <si>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</si>
  <si>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</si>
  <si>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</si>
  <si>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</si>
  <si>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</si>
  <si>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</si>
  <si>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</si>
  <si>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</si>
  <si>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</si>
  <si>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</si>
  <si>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</si>
  <si>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</si>
  <si>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</si>
  <si>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</si>
  <si>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</si>
  <si>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</si>
  <si>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</si>
  <si>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</si>
  <si>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</si>
  <si>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</si>
  <si>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</si>
  <si>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</si>
  <si>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</si>
  <si>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</si>
  <si>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</si>
  <si>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</si>
  <si>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</si>
  <si>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</si>
  <si>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</si>
  <si>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</si>
  <si>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</si>
  <si>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</si>
  <si>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</si>
  <si>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</si>
  <si>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</si>
  <si>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</si>
  <si>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</si>
  <si>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</si>
  <si>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</si>
  <si>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</si>
  <si>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</si>
  <si>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</si>
  <si>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</si>
  <si>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</si>
  <si>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</si>
  <si>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</si>
  <si>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</si>
  <si>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</si>
  <si>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</si>
  <si>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</si>
  <si>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</si>
  <si>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</si>
  <si>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</si>
  <si>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</si>
  <si>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</si>
  <si>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</si>
  <si>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</si>
  <si>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</si>
  <si>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</si>
  <si>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</si>
  <si>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</si>
  <si>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</si>
  <si>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</si>
  <si>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</si>
  <si>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</si>
  <si>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</si>
  <si>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</si>
  <si>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</si>
  <si>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</si>
  <si>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</si>
  <si>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</si>
  <si>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</si>
  <si>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</si>
  <si>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</si>
  <si>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</si>
  <si>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</si>
  <si>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</si>
  <si>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</si>
  <si>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</si>
  <si>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</si>
  <si>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</si>
  <si>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</si>
  <si>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</si>
  <si>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</si>
  <si>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</si>
  <si>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</si>
  <si>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</si>
  <si>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</si>
  <si>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</si>
  <si>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</si>
  <si>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</si>
  <si>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</si>
  <si>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</si>
  <si>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</si>
  <si>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</si>
  <si>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</si>
  <si>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</si>
  <si>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</si>
  <si>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</si>
  <si>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</si>
  <si>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</si>
  <si>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</si>
  <si>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</si>
  <si>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</si>
  <si>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</si>
  <si>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</si>
  <si>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</si>
  <si>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</si>
  <si>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</si>
  <si>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</si>
  <si>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</si>
  <si>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</si>
  <si>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</si>
  <si>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</si>
  <si>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</si>
  <si>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</si>
  <si>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</si>
  <si>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</si>
  <si>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</si>
  <si>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</si>
  <si>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</si>
  <si>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</si>
  <si>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</si>
  <si>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</si>
  <si>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</si>
  <si>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</si>
  <si>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</si>
  <si>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</si>
  <si>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</si>
  <si>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</si>
  <si>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</si>
  <si>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</si>
  <si>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</si>
  <si>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</si>
  <si>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</si>
  <si>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</si>
  <si>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</si>
  <si>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</si>
  <si>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</si>
  <si>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</si>
  <si>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</si>
  <si>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</si>
  <si>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</si>
  <si>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</si>
  <si>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</si>
  <si>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</si>
  <si>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</si>
  <si>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</si>
  <si>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</si>
  <si>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</si>
  <si>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</si>
  <si>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</si>
  <si>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</si>
  <si>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</si>
  <si>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</si>
  <si>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</si>
  <si>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</si>
  <si>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</si>
  <si>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</si>
  <si>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</si>
  <si>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</si>
  <si>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</si>
  <si>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</si>
  <si>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</si>
  <si>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</si>
  <si>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</si>
  <si>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</si>
  <si>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</si>
  <si>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</si>
  <si>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</si>
  <si>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</si>
  <si>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</si>
  <si>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</si>
  <si>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</si>
  <si>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</si>
  <si>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</si>
  <si>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</si>
  <si>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</si>
  <si>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</si>
  <si>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</si>
  <si>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</si>
  <si>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</si>
  <si>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</si>
  <si>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</si>
  <si>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</si>
  <si>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</si>
  <si>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</si>
  <si>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</si>
  <si>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</si>
  <si>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</si>
  <si>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</si>
  <si>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</si>
  <si>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</si>
  <si>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</si>
  <si>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</si>
  <si>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</si>
  <si>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</si>
  <si>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</si>
  <si>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</si>
  <si>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</si>
  <si>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</si>
  <si>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</si>
  <si>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</si>
  <si>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</si>
  <si>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</si>
  <si>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</si>
  <si>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</si>
  <si>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</si>
  <si>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</si>
  <si>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</si>
  <si>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</si>
  <si>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</si>
  <si>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</si>
  <si>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</si>
  <si>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</si>
  <si>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</si>
  <si>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</si>
  <si>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</si>
  <si>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</si>
  <si>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</si>
  <si>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</si>
  <si>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</si>
  <si>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</si>
  <si>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</si>
  <si>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</si>
  <si>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</si>
  <si>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</si>
  <si>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</si>
  <si>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</si>
  <si>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</si>
  <si>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</si>
  <si>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</si>
  <si>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</si>
  <si>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</si>
  <si>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</si>
  <si>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</si>
  <si>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</si>
  <si>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</si>
  <si>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</si>
  <si>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</si>
  <si>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</si>
  <si>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</si>
  <si>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</si>
  <si>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</si>
  <si>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</si>
  <si>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</si>
  <si>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</si>
  <si>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</si>
  <si>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</si>
  <si>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</si>
  <si>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</si>
  <si>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</si>
  <si>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</si>
  <si>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</si>
  <si>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</si>
  <si>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</si>
  <si>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</si>
  <si>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</si>
  <si>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</si>
  <si>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</si>
  <si>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</si>
  <si>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</si>
  <si>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</si>
  <si>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</si>
  <si>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</si>
  <si>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</si>
  <si>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</si>
  <si>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</si>
  <si>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</si>
  <si>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</si>
  <si>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</si>
  <si>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</si>
  <si>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</si>
  <si>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</si>
  <si>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</si>
  <si>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</si>
  <si>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</si>
  <si>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</si>
  <si>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</si>
  <si>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</si>
  <si>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</si>
  <si>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</si>
  <si>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</si>
  <si>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</si>
  <si>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</si>
  <si>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</si>
  <si>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</si>
  <si>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</si>
  <si>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</si>
  <si>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</si>
  <si>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</si>
  <si>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</si>
  <si>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</si>
  <si>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</si>
  <si>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</si>
  <si>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</si>
  <si>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</si>
  <si>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</si>
  <si>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</si>
  <si>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</si>
  <si>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</si>
  <si>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</si>
  <si>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</si>
  <si>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</si>
  <si>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</si>
  <si>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</si>
  <si>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</si>
  <si>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</si>
  <si>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</si>
  <si>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</si>
  <si>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</si>
  <si>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</si>
  <si>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</si>
  <si>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</si>
  <si>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</si>
  <si>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</si>
  <si>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</si>
  <si>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</si>
  <si>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</si>
  <si>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</si>
  <si>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</si>
  <si>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</si>
  <si>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</si>
  <si>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</si>
  <si>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</si>
  <si>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</si>
  <si>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</si>
  <si>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</si>
  <si>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</si>
  <si>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</si>
  <si>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</si>
  <si>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</si>
  <si>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</si>
  <si>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</si>
  <si>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</si>
  <si>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</si>
  <si>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</si>
  <si>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</si>
  <si>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</si>
  <si>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</si>
  <si>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</si>
  <si>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</si>
  <si>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</si>
  <si>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</si>
  <si>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</si>
  <si>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</si>
  <si>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</si>
  <si>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</si>
  <si>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</si>
  <si>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</si>
  <si>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</si>
  <si>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</si>
  <si>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</si>
  <si>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</si>
  <si>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</si>
  <si>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</si>
  <si>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</si>
  <si>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</si>
  <si>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</si>
  <si>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</si>
  <si>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</si>
  <si>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</si>
  <si>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</si>
  <si>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</si>
  <si>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</si>
  <si>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</si>
  <si>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</si>
  <si>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</si>
  <si>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</si>
  <si>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</si>
  <si>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</si>
  <si>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</si>
  <si>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</si>
  <si>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</si>
  <si>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</si>
  <si>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</si>
  <si>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</si>
  <si>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</si>
  <si>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</si>
  <si>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</si>
  <si>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</si>
  <si>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</si>
  <si>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</si>
  <si>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</si>
  <si>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</si>
  <si>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</si>
  <si>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</si>
  <si>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</si>
  <si>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</si>
  <si>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</si>
  <si>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</si>
  <si>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</si>
  <si>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</si>
  <si>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</si>
  <si>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</si>
  <si>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</si>
  <si>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</si>
  <si>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</si>
  <si>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</si>
  <si>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</si>
  <si>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</si>
  <si>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</si>
  <si>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</si>
  <si>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</si>
  <si>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</si>
  <si>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</si>
  <si>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</si>
  <si>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</si>
  <si>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</si>
  <si>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</si>
  <si>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</si>
  <si>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</si>
  <si>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</si>
  <si>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</si>
  <si>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</si>
  <si>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</si>
  <si>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</si>
  <si>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</si>
  <si>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</si>
  <si>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</si>
  <si>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</si>
  <si>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</si>
  <si>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</si>
  <si>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</si>
  <si>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</si>
  <si>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</si>
  <si>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</si>
  <si>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</si>
  <si>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</si>
  <si>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</si>
  <si>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</si>
  <si>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</si>
  <si>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</si>
  <si>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</si>
  <si>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</si>
  <si>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</si>
  <si>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</si>
  <si>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</si>
  <si>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</si>
  <si>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</si>
  <si>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</si>
  <si>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</si>
  <si>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</si>
  <si>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</si>
  <si>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</si>
  <si>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</si>
  <si>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</si>
  <si>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</si>
  <si>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</si>
  <si>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</si>
  <si>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</si>
  <si>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</si>
  <si>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</si>
  <si>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</si>
  <si>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</si>
  <si>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</si>
  <si>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</si>
  <si>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</si>
  <si>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</si>
  <si>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</si>
  <si>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</si>
  <si>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</si>
  <si>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</si>
  <si>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</si>
  <si>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</si>
  <si>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</si>
  <si>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</si>
  <si>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</si>
  <si>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</si>
  <si>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</si>
  <si>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</si>
  <si>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</si>
  <si>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</si>
  <si>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</si>
  <si>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</si>
  <si>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</si>
  <si>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</si>
  <si>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</si>
  <si>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</si>
  <si>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</si>
  <si>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</si>
  <si>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</si>
  <si>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</si>
  <si>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</si>
  <si>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</si>
  <si>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</si>
  <si>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</si>
  <si>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</si>
  <si>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</si>
  <si>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</si>
  <si>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</si>
  <si>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</si>
  <si>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</si>
  <si>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</si>
  <si>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</si>
  <si>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</si>
  <si>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</si>
  <si>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</si>
  <si>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</si>
  <si>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</si>
  <si>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</si>
  <si>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</si>
  <si>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</si>
  <si>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</si>
  <si>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</si>
  <si>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</si>
  <si>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</si>
  <si>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</si>
  <si>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</si>
  <si>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</si>
  <si>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</si>
  <si>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</si>
  <si>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</si>
  <si>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</si>
  <si>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</si>
  <si>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</si>
  <si>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</si>
  <si>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</si>
  <si>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</si>
  <si>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</si>
  <si>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</si>
  <si>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</si>
  <si>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</si>
  <si>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</si>
  <si>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</si>
  <si>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</si>
  <si>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</si>
  <si>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</si>
  <si>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</si>
  <si>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</si>
  <si>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</si>
  <si>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</si>
  <si>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</si>
  <si>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</si>
  <si>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</si>
  <si>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</si>
  <si>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</si>
  <si>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</si>
  <si>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</si>
  <si>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</si>
  <si>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</si>
  <si>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</si>
  <si>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</si>
  <si>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</si>
  <si>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</si>
  <si>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</si>
  <si>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</si>
  <si>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</si>
  <si>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</si>
  <si>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</si>
  <si>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</si>
  <si>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</si>
  <si>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</si>
  <si>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</si>
  <si>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</si>
  <si>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</si>
  <si>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</si>
  <si>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</si>
  <si>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</si>
  <si>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</si>
  <si>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</si>
  <si>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</si>
  <si>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</si>
  <si>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</si>
  <si>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</si>
  <si>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</si>
  <si>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</si>
  <si>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</si>
  <si>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</si>
  <si>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</si>
  <si>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</si>
  <si>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</si>
  <si>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</si>
  <si>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</si>
  <si>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</si>
  <si>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</si>
  <si>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</si>
  <si>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</si>
  <si>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</si>
  <si>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</si>
  <si>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</si>
  <si>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</si>
  <si>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</si>
  <si>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</si>
  <si>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</si>
  <si>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</si>
  <si>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</si>
  <si>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</si>
  <si>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</si>
  <si>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</si>
  <si>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</si>
  <si>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</si>
  <si>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</si>
  <si>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</si>
  <si>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</si>
  <si>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</si>
  <si>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</si>
  <si>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</si>
  <si>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</si>
  <si>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</si>
  <si>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</si>
  <si>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</si>
  <si>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</si>
  <si>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</si>
  <si>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</si>
  <si>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</si>
  <si>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</si>
  <si>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</si>
  <si>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</si>
  <si>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</si>
  <si>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</si>
  <si>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</si>
  <si>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</si>
  <si>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</si>
  <si>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</si>
  <si>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</si>
  <si>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</si>
  <si>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</si>
  <si>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</si>
  <si>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</si>
  <si>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</si>
  <si>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</si>
  <si>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</si>
  <si>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</si>
  <si>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</si>
  <si>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</si>
  <si>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</si>
  <si>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</si>
  <si>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</si>
  <si>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</si>
  <si>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</si>
  <si>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</si>
  <si>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</si>
  <si>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</si>
  <si>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</si>
  <si>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</si>
  <si>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</si>
  <si>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</si>
  <si>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</si>
  <si>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</si>
  <si>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</si>
  <si>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</si>
  <si>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</si>
  <si>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</si>
  <si>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</si>
  <si>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</si>
  <si>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</si>
  <si>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</si>
  <si>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</si>
  <si>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</si>
  <si>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</si>
  <si>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</si>
  <si>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</si>
  <si>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</si>
  <si>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</si>
  <si>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</si>
  <si>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</si>
  <si>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</si>
  <si>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</si>
  <si>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</si>
  <si>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</si>
  <si>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</si>
  <si>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</si>
  <si>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</si>
  <si>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</si>
  <si>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</si>
  <si>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</si>
  <si>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</si>
  <si>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</si>
  <si>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</si>
  <si>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</si>
  <si>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</si>
  <si>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</si>
  <si>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</si>
  <si>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</si>
  <si>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</si>
  <si>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</si>
  <si>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</si>
  <si>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</si>
  <si>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</si>
  <si>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</si>
  <si>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</si>
  <si>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</si>
  <si>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</si>
  <si>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</si>
  <si>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</si>
  <si>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</si>
  <si>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</si>
  <si>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</si>
  <si>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</si>
  <si>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</si>
  <si>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</si>
  <si>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</si>
  <si>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</si>
  <si>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</si>
  <si>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</si>
  <si>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</si>
  <si>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</si>
  <si>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</si>
  <si>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</si>
  <si>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</si>
  <si>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</si>
  <si>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</si>
  <si>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</si>
  <si>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</si>
  <si>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</si>
  <si>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</si>
  <si>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</si>
  <si>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</si>
  <si>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</si>
  <si>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</si>
  <si>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</si>
  <si>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</si>
  <si>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</si>
  <si>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</si>
  <si>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</si>
  <si>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</si>
  <si>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</si>
  <si>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</si>
  <si>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</si>
  <si>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</si>
  <si>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</si>
  <si>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</si>
  <si>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</si>
  <si>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</si>
  <si>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</si>
  <si>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</si>
  <si>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</si>
  <si>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</si>
  <si>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</si>
  <si>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</si>
  <si>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</si>
  <si>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</si>
  <si>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</si>
  <si>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</si>
  <si>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</si>
  <si>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</si>
  <si>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</si>
  <si>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</si>
  <si>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</si>
  <si>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</si>
  <si>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</si>
  <si>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</si>
  <si>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</si>
  <si>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</si>
  <si>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</si>
  <si>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</si>
  <si>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</si>
  <si>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</si>
  <si>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</si>
  <si>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</si>
  <si>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</si>
  <si>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</si>
  <si>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</si>
  <si>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</si>
  <si>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</si>
  <si>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</si>
  <si>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</si>
  <si>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</si>
  <si>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</si>
  <si>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</si>
  <si>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</si>
  <si>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</si>
  <si>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</si>
  <si>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</si>
  <si>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</si>
  <si>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</si>
  <si>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</si>
  <si>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</si>
  <si>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</si>
  <si>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</si>
  <si>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</si>
  <si>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</si>
  <si>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</si>
  <si>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</si>
  <si>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</si>
  <si>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</si>
  <si>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</si>
  <si>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</si>
  <si>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</si>
  <si>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</si>
  <si>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</si>
  <si>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</si>
  <si>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</si>
  <si>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</si>
  <si>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</si>
  <si>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</si>
  <si>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</si>
  <si>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</si>
  <si>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</si>
  <si>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</si>
  <si>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</si>
  <si>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</si>
  <si>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</si>
  <si>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</si>
  <si>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</si>
  <si>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</si>
  <si>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</si>
  <si>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</si>
  <si>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</si>
  <si>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</si>
  <si>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</si>
  <si>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</si>
  <si>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</si>
  <si>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</si>
  <si>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</si>
  <si>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</si>
  <si>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</si>
  <si>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</si>
  <si>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</si>
  <si>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</si>
  <si>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</si>
  <si>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</si>
  <si>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</si>
  <si>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</si>
  <si>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</si>
  <si>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</si>
  <si>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</si>
  <si>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</si>
  <si>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</si>
  <si>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</si>
  <si>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</si>
  <si>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</si>
  <si>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</si>
  <si>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</si>
  <si>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</si>
  <si>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</si>
  <si>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</si>
  <si>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</si>
  <si>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</si>
  <si>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</si>
  <si>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</si>
  <si>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</si>
  <si>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</si>
  <si>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</si>
  <si>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</si>
  <si>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</si>
  <si>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</si>
  <si>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</si>
  <si>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</si>
  <si>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</si>
  <si>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</si>
  <si>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</si>
  <si>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</si>
  <si>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</si>
  <si>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</si>
  <si>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</si>
  <si>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</si>
  <si>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</si>
  <si>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</si>
  <si>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</si>
  <si>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</si>
  <si>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</si>
  <si>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</si>
  <si>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</si>
  <si>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</si>
  <si>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</si>
  <si>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</si>
  <si>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</si>
  <si>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</si>
  <si>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</si>
  <si>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</si>
  <si>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</si>
  <si>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</si>
  <si>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</si>
  <si>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</si>
  <si>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</si>
  <si>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</si>
  <si>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</si>
  <si>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</si>
  <si>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</si>
  <si>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</si>
  <si>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</si>
  <si>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</si>
  <si>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</si>
  <si>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</si>
  <si>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</si>
  <si>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</si>
  <si>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</si>
  <si>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</si>
  <si>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</si>
  <si>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</si>
  <si>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</si>
  <si>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</si>
  <si>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</si>
  <si>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</si>
  <si>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</si>
  <si>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</si>
  <si>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</si>
  <si>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</si>
  <si>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</si>
  <si>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</si>
  <si>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</si>
  <si>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</si>
  <si>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</si>
  <si>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</si>
  <si>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</si>
  <si>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</si>
  <si>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</si>
  <si>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</si>
  <si>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</si>
  <si>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</si>
  <si>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</si>
  <si>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</si>
  <si>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</si>
  <si>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</si>
  <si>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</si>
  <si>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</si>
  <si>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</si>
  <si>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</si>
  <si>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</si>
  <si>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</si>
  <si>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</si>
  <si>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</si>
  <si>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</si>
  <si>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</si>
  <si>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</si>
  <si>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</si>
  <si>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</si>
  <si>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</si>
  <si>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</si>
  <si>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</si>
  <si>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</si>
  <si>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</si>
  <si>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</si>
  <si>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</si>
  <si>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</si>
  <si>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</si>
  <si>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</si>
  <si>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</si>
  <si>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</si>
  <si>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</si>
  <si>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</si>
  <si>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</si>
  <si>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</si>
  <si>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</si>
  <si>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</si>
  <si>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</si>
  <si>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</si>
  <si>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</si>
  <si>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</si>
  <si>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</si>
  <si>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</si>
  <si>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</si>
  <si>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</si>
  <si>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</si>
  <si>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</si>
  <si>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</si>
  <si>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</si>
  <si>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</si>
  <si>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</si>
  <si>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</si>
  <si>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</si>
  <si>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</si>
  <si>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</si>
  <si>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</si>
  <si>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</si>
  <si>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</si>
  <si>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</si>
  <si>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</si>
  <si>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</si>
  <si>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</si>
  <si>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</si>
  <si>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</si>
  <si>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</si>
  <si>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</si>
  <si>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</si>
  <si>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</si>
  <si>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</si>
  <si>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</si>
  <si>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</si>
  <si>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</si>
  <si>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</si>
  <si>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</si>
  <si>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</si>
  <si>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</si>
  <si>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</si>
  <si>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</si>
  <si>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</si>
  <si>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</si>
  <si>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</si>
  <si>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</si>
  <si>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</si>
  <si>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</si>
  <si>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</si>
  <si>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</si>
  <si>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</si>
  <si>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</si>
  <si>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</si>
  <si>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</si>
  <si>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</si>
  <si>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</si>
  <si>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</si>
  <si>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</si>
  <si>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</si>
  <si>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</si>
  <si>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</si>
  <si>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</si>
  <si>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</si>
  <si>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</si>
  <si>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</si>
  <si>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</si>
  <si>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</si>
  <si>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</si>
  <si>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</si>
  <si>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</si>
  <si>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</si>
  <si>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</si>
  <si>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</si>
  <si>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</si>
  <si>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</si>
  <si>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</si>
  <si>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</si>
  <si>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</si>
  <si>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</si>
  <si>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</si>
  <si>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</si>
  <si>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</si>
  <si>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</si>
  <si>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</si>
  <si>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</si>
  <si>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</si>
  <si>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</si>
  <si>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</si>
  <si>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</si>
  <si>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</si>
  <si>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</si>
  <si>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</si>
  <si>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</si>
  <si>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</si>
  <si>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</si>
  <si>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</si>
  <si>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</si>
  <si>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</si>
  <si>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</si>
  <si>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</si>
  <si>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</si>
  <si>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</si>
  <si>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</si>
  <si>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</si>
  <si>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</si>
  <si>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</si>
  <si>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</si>
  <si>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</si>
  <si>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</si>
  <si>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</si>
  <si>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</si>
  <si>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</si>
  <si>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</si>
  <si>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</si>
  <si>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</si>
  <si>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</si>
  <si>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</si>
  <si>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</si>
  <si>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</si>
  <si>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</si>
  <si>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</si>
  <si>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</si>
  <si>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</si>
  <si>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</si>
  <si>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</si>
  <si>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</si>
  <si>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</si>
  <si>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</si>
  <si>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</si>
  <si>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</si>
  <si>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</si>
  <si>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</si>
  <si>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</si>
  <si>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</si>
  <si>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</si>
  <si>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</si>
  <si>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</si>
  <si>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</si>
  <si>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</si>
  <si>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</si>
  <si>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</si>
  <si>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</si>
  <si>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</si>
  <si>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</si>
  <si>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</si>
  <si>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</si>
  <si>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</si>
  <si>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</si>
  <si>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</si>
  <si>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</si>
  <si>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</si>
  <si>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</si>
  <si>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</si>
  <si>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</si>
  <si>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</si>
  <si>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</si>
  <si>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</si>
  <si>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</si>
  <si>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</si>
  <si>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</si>
  <si>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</si>
  <si>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</si>
  <si>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</si>
  <si>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</si>
  <si>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</si>
  <si>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</si>
  <si>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</si>
  <si>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</si>
  <si>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</si>
  <si>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</si>
  <si>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</si>
  <si>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</si>
  <si>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</si>
  <si>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</si>
  <si>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</si>
  <si>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</si>
  <si>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</si>
  <si>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</si>
  <si>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</si>
  <si>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</si>
  <si>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</si>
  <si>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</si>
  <si>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</si>
  <si>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</si>
  <si>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</si>
  <si>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</si>
  <si>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</si>
  <si>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</si>
  <si>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</si>
  <si>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</si>
  <si>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</si>
  <si>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</si>
  <si>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</si>
  <si>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</si>
  <si>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</si>
  <si>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</si>
  <si>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</si>
  <si>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</si>
  <si>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</si>
  <si>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</si>
  <si>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</si>
  <si>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</si>
  <si>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</si>
  <si>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</si>
  <si>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</si>
  <si>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</si>
  <si>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</si>
  <si>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</si>
  <si>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</si>
  <si>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</si>
  <si>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</si>
  <si>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</si>
  <si>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</si>
  <si>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</si>
  <si>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</si>
  <si>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</si>
  <si>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</si>
  <si>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</si>
  <si>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</si>
  <si>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</si>
  <si>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</si>
  <si>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</si>
  <si>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</si>
  <si>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</si>
  <si>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</si>
  <si>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</si>
  <si>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</si>
  <si>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</si>
  <si>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</si>
  <si>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</si>
  <si>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</si>
  <si>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</si>
  <si>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</si>
  <si>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</si>
  <si>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</si>
  <si>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</si>
  <si>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</si>
  <si>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</si>
  <si>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</si>
  <si>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</si>
  <si>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</si>
  <si>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</si>
  <si>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</si>
  <si>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</si>
  <si>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</si>
  <si>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</si>
  <si>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</si>
  <si>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</si>
  <si>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</si>
  <si>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</si>
  <si>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</si>
  <si>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</si>
  <si>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</si>
  <si>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</si>
  <si>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</si>
  <si>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</si>
  <si>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</si>
  <si>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</si>
  <si>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</si>
  <si>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</si>
  <si>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</si>
  <si>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</si>
  <si>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</si>
  <si>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</si>
  <si>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</si>
  <si>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</si>
  <si>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</si>
  <si>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</si>
  <si>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</si>
  <si>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</si>
  <si>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</si>
  <si>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</si>
  <si>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</si>
  <si>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</si>
  <si>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</si>
  <si>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</si>
  <si>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</si>
  <si>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</si>
  <si>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</si>
  <si>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</si>
  <si>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</si>
  <si>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</si>
  <si>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</si>
  <si>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</si>
  <si>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</si>
  <si>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</si>
  <si>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</si>
  <si>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</si>
  <si>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</si>
  <si>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</si>
  <si>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</si>
  <si>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</si>
  <si>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</si>
  <si>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</si>
  <si>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</si>
  <si>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</si>
  <si>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</si>
  <si>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</si>
  <si>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</si>
  <si>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</si>
  <si>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</si>
  <si>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</si>
  <si>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</si>
  <si>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</si>
  <si>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</si>
  <si>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</si>
  <si>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</si>
  <si>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</si>
  <si>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</si>
  <si>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</si>
  <si>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</si>
  <si>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</si>
  <si>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</si>
  <si>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</si>
  <si>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</si>
  <si>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</si>
  <si>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</si>
  <si>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</si>
  <si>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</si>
  <si>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</si>
  <si>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</si>
  <si>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</si>
  <si>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</si>
  <si>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</si>
  <si>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</si>
  <si>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</si>
  <si>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</si>
  <si>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</si>
  <si>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</si>
  <si>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</si>
  <si>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</si>
  <si>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</si>
  <si>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</si>
  <si>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</si>
  <si>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</si>
  <si>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</si>
  <si>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</si>
  <si>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</si>
  <si>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</si>
  <si>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</si>
  <si>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</si>
  <si>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</si>
  <si>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</si>
  <si>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</si>
  <si>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</si>
  <si>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</si>
  <si>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</si>
  <si>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</si>
  <si>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</si>
  <si>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</si>
  <si>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</si>
  <si>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</si>
  <si>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</si>
  <si>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</si>
  <si>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</si>
  <si>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</si>
  <si>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</si>
  <si>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</si>
  <si>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</si>
  <si>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</si>
  <si>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</si>
  <si>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</si>
  <si>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</si>
  <si>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</si>
  <si>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</si>
  <si>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</si>
  <si>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</si>
  <si>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</si>
  <si>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</si>
  <si>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</si>
  <si>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</si>
  <si>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</si>
  <si>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</si>
  <si>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</si>
  <si>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</si>
  <si>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</si>
  <si>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</si>
  <si>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</si>
  <si>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</si>
  <si>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</si>
  <si>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</si>
  <si>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</si>
  <si>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</si>
  <si>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</si>
  <si>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</si>
  <si>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</si>
  <si>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</si>
  <si>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</si>
  <si>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</si>
  <si>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</si>
  <si>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</si>
  <si>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</si>
  <si>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</si>
  <si>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</si>
  <si>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</si>
  <si>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</si>
  <si>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</si>
  <si>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</si>
  <si>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</si>
  <si>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</si>
  <si>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</si>
  <si>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</si>
  <si>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</si>
  <si>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</si>
  <si>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</si>
  <si>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</si>
  <si>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</si>
  <si>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</si>
  <si>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</si>
  <si>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</si>
  <si>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</si>
  <si>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</si>
  <si>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</si>
  <si>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</si>
  <si>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</si>
  <si>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</si>
  <si>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</si>
  <si>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</si>
  <si>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</si>
  <si>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</si>
  <si>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</si>
  <si>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</si>
  <si>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</si>
  <si>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</si>
  <si>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</si>
  <si>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</si>
  <si>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</si>
  <si>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</si>
  <si>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</si>
  <si>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</si>
  <si>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</si>
  <si>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</si>
  <si>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</si>
  <si>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</si>
  <si>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</si>
  <si>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</si>
  <si>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</si>
  <si>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</si>
  <si>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</si>
  <si>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</si>
  <si>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</si>
  <si>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</si>
  <si>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</si>
  <si>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</si>
  <si>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</si>
  <si>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</si>
  <si>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</si>
  <si>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</si>
  <si>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</si>
  <si>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</si>
  <si>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</si>
  <si>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</si>
  <si>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</si>
  <si>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</si>
  <si>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</si>
  <si>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</si>
  <si>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</si>
  <si>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</si>
  <si>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</si>
  <si>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</si>
  <si>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</si>
  <si>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</si>
  <si>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</si>
  <si>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</si>
  <si>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</si>
  <si>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</si>
  <si>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</si>
  <si>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</si>
  <si>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</si>
  <si>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</si>
  <si>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</si>
  <si>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</si>
  <si>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</si>
  <si>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</si>
  <si>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</si>
  <si>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</si>
  <si>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</si>
  <si>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</si>
  <si>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</si>
  <si>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</si>
  <si>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</si>
  <si>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</si>
  <si>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</si>
  <si>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</si>
  <si>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</si>
  <si>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</si>
  <si>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</si>
  <si>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</si>
  <si>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</si>
  <si>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</si>
  <si>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</si>
  <si>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</si>
  <si>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</si>
  <si>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</si>
  <si>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</si>
  <si>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</si>
  <si>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</si>
  <si>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</si>
  <si>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</si>
  <si>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</si>
  <si>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</si>
  <si>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</si>
  <si>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</si>
  <si>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</si>
  <si>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</si>
  <si>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</si>
  <si>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</si>
  <si>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</si>
  <si>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</si>
  <si>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</si>
  <si>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</si>
  <si>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</si>
  <si>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</si>
  <si>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</si>
  <si>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</si>
  <si>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</si>
  <si>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</si>
  <si>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</si>
  <si>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</si>
  <si>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</si>
  <si>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</si>
  <si>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</si>
  <si>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</si>
  <si>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</si>
  <si>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</si>
  <si>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</si>
  <si>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</si>
  <si>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</si>
  <si>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</si>
  <si>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</si>
  <si>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</si>
  <si>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</si>
  <si>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</si>
  <si>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</si>
  <si>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</si>
  <si>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</si>
  <si>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</si>
  <si>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</si>
  <si>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</si>
  <si>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</si>
  <si>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</si>
  <si>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</si>
  <si>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</si>
  <si>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</si>
  <si>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</si>
  <si>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</si>
  <si>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</si>
  <si>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</si>
  <si>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</si>
  <si>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</si>
  <si>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</si>
  <si>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</si>
  <si>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</si>
  <si>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</si>
  <si>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</si>
  <si>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</si>
  <si>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</si>
  <si>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</si>
  <si>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</si>
  <si>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</si>
  <si>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</si>
  <si>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</si>
  <si>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</si>
  <si>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</si>
  <si>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</si>
  <si>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</si>
  <si>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</si>
  <si>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</si>
  <si>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</si>
  <si>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</si>
  <si>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</si>
  <si>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</si>
  <si>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</si>
  <si>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</si>
  <si>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</si>
  <si>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</si>
  <si>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</si>
  <si>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</si>
  <si>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</si>
  <si>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</si>
  <si>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</si>
  <si>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</si>
  <si>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</si>
  <si>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</si>
  <si>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</si>
  <si>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</si>
  <si>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</si>
  <si>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</si>
  <si>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</si>
  <si>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</si>
  <si>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</si>
  <si>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</si>
  <si>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</si>
  <si>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</si>
  <si>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</si>
  <si>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</si>
  <si>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</si>
  <si>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</si>
  <si>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</si>
  <si>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</si>
  <si>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</si>
  <si>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</si>
  <si>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</si>
  <si>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</si>
  <si>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</si>
  <si>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</si>
  <si>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</si>
  <si>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</si>
  <si>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</si>
  <si>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</si>
  <si>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</si>
  <si>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</si>
  <si>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</si>
  <si>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</si>
  <si>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</si>
  <si>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</si>
  <si>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</si>
  <si>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</si>
  <si>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</si>
  <si>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</si>
  <si>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</si>
  <si>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</si>
  <si>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</si>
  <si>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</si>
  <si>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</si>
  <si>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</si>
  <si>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</si>
  <si>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</si>
  <si>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</si>
  <si>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</si>
  <si>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</si>
  <si>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</si>
  <si>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</si>
  <si>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</si>
  <si>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</si>
  <si>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</si>
  <si>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</si>
  <si>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</si>
  <si>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</si>
  <si>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</si>
  <si>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</si>
  <si>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</si>
  <si>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</si>
  <si>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</si>
  <si>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</si>
  <si>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</si>
  <si>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</si>
  <si>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</si>
  <si>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</si>
  <si>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</si>
  <si>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</si>
  <si>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</si>
  <si>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</si>
  <si>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</si>
  <si>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</si>
  <si>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</si>
  <si>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</si>
  <si>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</si>
  <si>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</si>
  <si>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</si>
  <si>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</si>
  <si>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</si>
  <si>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</si>
  <si>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</si>
  <si>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</si>
  <si>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</si>
  <si>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</si>
  <si>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</si>
  <si>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</si>
  <si>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</si>
  <si>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</si>
  <si>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</si>
  <si>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</si>
  <si>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</si>
  <si>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</si>
  <si>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</si>
  <si>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</si>
  <si>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</si>
  <si>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</si>
  <si>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</si>
  <si>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</si>
  <si>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</si>
  <si>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</si>
  <si>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</si>
  <si>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</si>
  <si>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</si>
  <si>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</si>
  <si>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</si>
  <si>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</si>
  <si>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</si>
  <si>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</si>
  <si>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</si>
  <si>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</si>
  <si>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</si>
  <si>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</si>
  <si>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</si>
  <si>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</si>
  <si>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</si>
  <si>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</si>
  <si>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</si>
  <si>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</si>
  <si>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</si>
  <si>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</si>
  <si>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</si>
  <si>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</si>
  <si>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</si>
  <si>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</si>
  <si>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</si>
  <si>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</si>
  <si>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</si>
  <si>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</si>
  <si>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</si>
  <si>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</si>
  <si>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</si>
  <si>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</si>
  <si>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</si>
  <si>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</si>
  <si>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</si>
  <si>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</si>
  <si>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</si>
  <si>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</si>
  <si>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</si>
  <si>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</si>
  <si>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</si>
  <si>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</si>
  <si>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</si>
  <si>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</si>
  <si>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</si>
  <si>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</si>
  <si>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</si>
  <si>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</si>
  <si>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</si>
  <si>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</si>
  <si>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</si>
  <si>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</si>
  <si>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</si>
  <si>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</si>
  <si>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</si>
  <si>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</si>
  <si>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</si>
  <si>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</si>
  <si>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</si>
  <si>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</si>
  <si>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</si>
  <si>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</si>
  <si>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</si>
  <si>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</si>
  <si>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</si>
  <si>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</si>
  <si>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</si>
  <si>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</si>
  <si>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</si>
  <si>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</si>
  <si>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</si>
  <si>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</si>
  <si>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</si>
  <si>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</si>
  <si>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</si>
  <si>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</si>
  <si>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</si>
  <si>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</si>
  <si>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</si>
  <si>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</si>
  <si>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</si>
  <si>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</si>
  <si>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</si>
  <si>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</si>
  <si>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</si>
  <si>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</si>
  <si>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</si>
  <si>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</si>
  <si>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</si>
  <si>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</si>
  <si>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</si>
  <si>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</si>
  <si>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</si>
  <si>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</si>
  <si>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</si>
  <si>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</si>
  <si>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</si>
  <si>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</si>
  <si>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</si>
  <si>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</si>
  <si>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</si>
  <si>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</si>
  <si>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</si>
  <si>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</si>
  <si>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</si>
  <si>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</si>
  <si>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</si>
  <si>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</si>
  <si>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</si>
  <si>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</si>
  <si>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</si>
  <si>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</si>
  <si>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</si>
  <si>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</si>
  <si>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</si>
  <si>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</si>
  <si>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</si>
  <si>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</si>
  <si>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</si>
  <si>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</si>
  <si>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</si>
  <si>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</si>
  <si>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</si>
  <si>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</si>
  <si>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</si>
  <si>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</si>
  <si>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</si>
  <si>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</si>
  <si>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</si>
  <si>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</si>
  <si>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</si>
  <si>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</si>
  <si>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</si>
  <si>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</si>
  <si>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</si>
  <si>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</si>
  <si>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</si>
  <si>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</si>
  <si>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</si>
  <si>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</si>
  <si>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</si>
  <si>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</si>
  <si>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</si>
  <si>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</si>
  <si>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</si>
  <si>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</si>
  <si>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</si>
  <si>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</si>
  <si>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</si>
  <si>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</si>
  <si>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</si>
  <si>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</si>
  <si>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</si>
  <si>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</si>
  <si>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</si>
  <si>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</si>
  <si>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</si>
  <si>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</si>
  <si>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</si>
  <si>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</si>
  <si>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</si>
  <si>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</si>
  <si>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</si>
  <si>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</si>
  <si>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</si>
  <si>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</si>
  <si>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</si>
  <si>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</si>
  <si>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</si>
  <si>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</si>
  <si>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</si>
  <si>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</si>
  <si>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</si>
  <si>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</si>
  <si>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</si>
  <si>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</si>
  <si>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</si>
  <si>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</si>
  <si>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</si>
  <si>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</si>
  <si>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</si>
  <si>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</si>
  <si>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</si>
  <si>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</si>
  <si>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</si>
  <si>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</si>
  <si>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</si>
  <si>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</si>
  <si>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</si>
  <si>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</si>
  <si>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</si>
  <si>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</si>
  <si>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</si>
  <si>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</si>
  <si>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</si>
  <si>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</si>
  <si>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</si>
  <si>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</si>
  <si>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</si>
  <si>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</si>
  <si>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</si>
  <si>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</si>
  <si>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</si>
  <si>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</si>
  <si>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</si>
  <si>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</si>
  <si>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</si>
  <si>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</si>
  <si>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</si>
  <si>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</si>
  <si>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</si>
  <si>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</si>
  <si>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</si>
  <si>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</si>
  <si>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</si>
  <si>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</si>
  <si>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</si>
  <si>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</si>
  <si>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</si>
  <si>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</si>
  <si>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</si>
  <si>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</si>
  <si>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</si>
  <si>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</si>
  <si>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</si>
  <si>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</si>
  <si>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</si>
  <si>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</si>
  <si>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</si>
  <si>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</si>
  <si>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</si>
  <si>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</si>
  <si>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</si>
  <si>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</si>
  <si>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</si>
  <si>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</si>
  <si>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</si>
  <si>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</si>
  <si>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</si>
  <si>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</si>
  <si>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</si>
  <si>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</si>
  <si>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</si>
  <si>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</si>
  <si>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</si>
  <si>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</si>
  <si>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</si>
  <si>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</si>
  <si>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</si>
  <si>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</si>
  <si>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</si>
  <si>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</si>
  <si>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</si>
  <si>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</si>
  <si>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</si>
  <si>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</si>
  <si>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</si>
  <si>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</si>
  <si>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</si>
  <si>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</si>
  <si>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</si>
  <si>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</si>
  <si>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</si>
  <si>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</si>
  <si>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</si>
  <si>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</si>
  <si>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</si>
  <si>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</si>
  <si>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</si>
  <si>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</si>
  <si>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</si>
  <si>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</si>
  <si>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</si>
  <si>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</si>
  <si>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</si>
  <si>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</si>
  <si>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</si>
  <si>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</si>
  <si>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</si>
  <si>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</si>
  <si>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</si>
  <si>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</si>
  <si>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</si>
  <si>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</si>
  <si>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</si>
  <si>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</si>
  <si>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</si>
  <si>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</si>
  <si>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</si>
  <si>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</si>
  <si>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</si>
  <si>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</si>
  <si>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</si>
  <si>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</si>
  <si>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</si>
  <si>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</si>
  <si>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</si>
  <si>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</si>
  <si>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</si>
  <si>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</si>
  <si>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</si>
  <si>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</si>
  <si>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</si>
  <si>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</si>
  <si>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</si>
  <si>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</si>
  <si>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</si>
  <si>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</si>
  <si>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</si>
  <si>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</si>
  <si>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</si>
  <si>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</si>
  <si>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</si>
  <si>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</si>
  <si>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</si>
  <si>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</si>
  <si>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</si>
  <si>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</si>
  <si>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</si>
  <si>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</si>
  <si>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</si>
  <si>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</si>
  <si>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</si>
  <si>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</si>
  <si>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</si>
  <si>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</si>
  <si>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</si>
  <si>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</si>
  <si>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</si>
  <si>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</si>
  <si>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</si>
  <si>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</si>
  <si>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</si>
  <si>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</si>
  <si>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</si>
  <si>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</si>
  <si>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</si>
  <si>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</si>
  <si>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</si>
  <si>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</si>
  <si>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</si>
  <si>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</si>
  <si>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</si>
  <si>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</si>
  <si>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</si>
  <si>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</si>
  <si>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</si>
  <si>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</si>
  <si>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</si>
  <si>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</si>
  <si>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</si>
  <si>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</si>
  <si>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</si>
  <si>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</si>
  <si>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</si>
  <si>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</si>
  <si>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</si>
  <si>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</si>
  <si>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</si>
  <si>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</si>
  <si>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</si>
  <si>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</si>
  <si>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</si>
  <si>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</si>
  <si>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</si>
  <si>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</si>
  <si>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</si>
  <si>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</si>
  <si>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</si>
  <si>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</si>
  <si>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</si>
  <si>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</si>
  <si>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</si>
  <si>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</si>
  <si>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</si>
  <si>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</si>
  <si>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</si>
  <si>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</si>
  <si>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</si>
  <si>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</si>
  <si>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</si>
  <si>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</si>
  <si>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</si>
  <si>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</si>
  <si>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</si>
  <si>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</si>
  <si>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</si>
  <si>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</si>
  <si>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</si>
  <si>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</si>
  <si>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</si>
  <si>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</si>
  <si>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</si>
  <si>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</si>
  <si>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</si>
  <si>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</si>
  <si>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</si>
  <si>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</si>
  <si>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</si>
  <si>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</si>
  <si>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</si>
  <si>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</si>
  <si>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</si>
  <si>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</si>
  <si>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</si>
  <si>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</si>
  <si>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</si>
  <si>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</si>
  <si>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</si>
  <si>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</si>
  <si>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</si>
  <si>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</si>
  <si>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</si>
  <si>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</si>
  <si>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</si>
  <si>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</si>
  <si>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</si>
  <si>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</si>
  <si>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</si>
  <si>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</si>
  <si>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</si>
  <si>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</si>
  <si>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</si>
  <si>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</si>
  <si>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</si>
  <si>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</si>
  <si>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</si>
  <si>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</si>
  <si>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</si>
  <si>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</si>
  <si>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</si>
  <si>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</si>
  <si>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</si>
  <si>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</si>
  <si>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</si>
  <si>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</si>
  <si>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</si>
  <si>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</si>
  <si>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</si>
  <si>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</si>
  <si>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</si>
  <si>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</si>
  <si>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</si>
  <si>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</si>
  <si>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</si>
  <si>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</si>
  <si>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</si>
  <si>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</si>
  <si>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</si>
  <si>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</si>
  <si>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</si>
  <si>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</si>
  <si>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</si>
  <si>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</si>
  <si>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</si>
  <si>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</si>
  <si>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</si>
  <si>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</si>
  <si>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</si>
  <si>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</si>
  <si>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</si>
  <si>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</si>
  <si>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</si>
  <si>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</si>
  <si>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</si>
  <si>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</si>
  <si>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</si>
  <si>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</si>
  <si>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</si>
  <si>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</si>
  <si>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</si>
  <si>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</si>
  <si>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</si>
  <si>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</si>
  <si>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</si>
  <si>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</si>
  <si>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</si>
  <si>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</si>
  <si>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</si>
  <si>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</si>
  <si>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</si>
  <si>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</si>
  <si>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</si>
  <si>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</si>
  <si>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</si>
  <si>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</si>
  <si>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</si>
  <si>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</si>
  <si>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</si>
  <si>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</si>
  <si>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</si>
  <si>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</si>
  <si>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</si>
  <si>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</si>
  <si>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</si>
  <si>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</si>
  <si>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</si>
  <si>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</si>
  <si>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</si>
  <si>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</si>
  <si>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</si>
  <si>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</si>
  <si>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</si>
  <si>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</si>
  <si>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</si>
  <si>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</si>
  <si>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</si>
  <si>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</si>
  <si>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</si>
  <si>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</si>
  <si>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</si>
  <si>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</si>
  <si>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</si>
  <si>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</si>
  <si>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</si>
  <si>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</si>
  <si>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</si>
  <si>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</si>
  <si>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</si>
  <si>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</si>
  <si>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</si>
  <si>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</si>
  <si>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</si>
  <si>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</si>
  <si>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</si>
  <si>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</si>
  <si>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</si>
  <si>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</si>
  <si>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</si>
  <si>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</si>
  <si>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</si>
  <si>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</si>
  <si>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</si>
  <si>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</si>
  <si>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</si>
  <si>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</si>
  <si>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</si>
  <si>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</si>
  <si>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</si>
  <si>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</si>
  <si>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</si>
  <si>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</si>
  <si>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</si>
  <si>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</si>
  <si>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</si>
  <si>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</si>
  <si>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</si>
  <si>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</si>
  <si>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</si>
  <si>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</si>
  <si>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</si>
  <si>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</si>
  <si>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</si>
  <si>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</si>
  <si>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</si>
  <si>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</si>
  <si>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</si>
  <si>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</si>
  <si>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</si>
  <si>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</si>
  <si>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</si>
  <si>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</si>
  <si>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</si>
  <si>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</si>
  <si>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</si>
  <si>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</si>
  <si>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</si>
  <si>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</si>
  <si>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</si>
  <si>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</si>
  <si>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</si>
  <si>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</si>
  <si>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</si>
  <si>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</si>
  <si>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</si>
  <si>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</si>
  <si>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</si>
  <si>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</si>
  <si>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</si>
  <si>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</si>
  <si>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</si>
  <si>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</si>
  <si>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</si>
  <si>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</si>
  <si>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</si>
  <si>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</si>
  <si>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</si>
  <si>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</si>
  <si>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</si>
  <si>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</si>
  <si>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</si>
  <si>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</si>
  <si>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</si>
  <si>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</si>
  <si>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</si>
  <si>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</si>
  <si>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</si>
  <si>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</si>
  <si>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</si>
  <si>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</si>
  <si>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</si>
  <si>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</si>
  <si>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</si>
  <si>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</si>
  <si>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</si>
  <si>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</si>
  <si>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</si>
  <si>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</si>
  <si>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</si>
  <si>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</si>
  <si>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</si>
  <si>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</si>
  <si>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</si>
  <si>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</si>
  <si>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</si>
  <si>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</si>
  <si>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</si>
  <si>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</si>
  <si>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</si>
  <si>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</si>
  <si>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</si>
  <si>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</si>
  <si>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</si>
  <si>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</si>
  <si>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</si>
  <si>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</si>
  <si>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</si>
  <si>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</si>
  <si>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</si>
  <si>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</si>
  <si>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</si>
  <si>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</si>
  <si>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</si>
  <si>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</si>
  <si>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</si>
  <si>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</si>
  <si>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</si>
  <si>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</si>
  <si>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</si>
  <si>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</si>
  <si>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</si>
  <si>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</si>
  <si>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</si>
  <si>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</si>
  <si>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</si>
  <si>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</si>
  <si>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</si>
  <si>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</si>
  <si>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</si>
  <si>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</si>
  <si>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</si>
  <si>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</si>
  <si>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</si>
  <si>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</si>
  <si>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</si>
  <si>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</si>
  <si>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</si>
  <si>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</si>
  <si>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</si>
  <si>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</si>
  <si>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</si>
  <si>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</si>
  <si>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</si>
  <si>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</si>
  <si>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</si>
  <si>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</si>
  <si>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</si>
  <si>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</si>
  <si>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</si>
  <si>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</si>
  <si>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</si>
  <si>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</si>
  <si>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</si>
  <si>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</si>
  <si>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</si>
  <si>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</si>
  <si>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</si>
  <si>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</si>
  <si>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</si>
  <si>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</si>
  <si>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</si>
  <si>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</si>
  <si>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</si>
  <si>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</si>
  <si>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</si>
  <si>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</si>
  <si>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</si>
  <si>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</si>
  <si>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</si>
  <si>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</si>
  <si>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</si>
  <si>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</si>
  <si>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</si>
  <si>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</si>
  <si>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</si>
  <si>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</si>
  <si>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</si>
  <si>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</si>
  <si>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</si>
  <si>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</si>
  <si>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</si>
  <si>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</si>
  <si>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</si>
  <si>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</si>
  <si>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</si>
  <si>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</si>
  <si>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</si>
  <si>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</si>
  <si>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</si>
  <si>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</si>
  <si>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</si>
  <si>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</si>
  <si>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</si>
  <si>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</si>
  <si>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</si>
  <si>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</si>
  <si>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</si>
  <si>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</si>
  <si>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</si>
  <si>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</si>
  <si>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</si>
  <si>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</si>
  <si>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</si>
  <si>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</si>
  <si>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</si>
  <si>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</si>
  <si>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</si>
  <si>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</si>
  <si>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</si>
  <si>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</si>
  <si>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</si>
  <si>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</si>
  <si>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</si>
  <si>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</si>
  <si>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</si>
  <si>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</si>
  <si>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</si>
  <si>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</si>
  <si>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</si>
  <si>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</si>
  <si>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</si>
  <si>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</si>
  <si>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</si>
  <si>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</si>
  <si>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</si>
  <si>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</si>
  <si>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</si>
  <si>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</si>
  <si>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</si>
  <si>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</si>
  <si>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</si>
  <si>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</si>
  <si>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</si>
  <si>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</si>
  <si>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</si>
  <si>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</si>
  <si>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</si>
  <si>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</si>
  <si>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</si>
  <si>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</si>
  <si>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</si>
  <si>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</si>
  <si>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</si>
  <si>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</si>
  <si>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</si>
  <si>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</si>
  <si>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</si>
  <si>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</si>
  <si>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</si>
  <si>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</si>
  <si>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</si>
  <si>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</si>
  <si>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</si>
  <si>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</si>
  <si>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</si>
  <si>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</si>
  <si>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</si>
  <si>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</si>
  <si>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</si>
  <si>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</si>
  <si>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</si>
  <si>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</si>
  <si>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</si>
  <si>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</si>
  <si>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</si>
  <si>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</si>
  <si>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</si>
  <si>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</si>
  <si>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</si>
  <si>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</si>
  <si>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</si>
  <si>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</si>
  <si>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</si>
  <si>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</si>
  <si>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</si>
  <si>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</si>
  <si>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</si>
  <si>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</si>
  <si>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</si>
  <si>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</si>
  <si>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</si>
  <si>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</si>
  <si>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</si>
  <si>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</si>
  <si>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</si>
  <si>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</si>
  <si>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</si>
  <si>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</si>
  <si>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</si>
  <si>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</si>
  <si>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</si>
  <si>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</si>
  <si>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</si>
  <si>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</si>
  <si>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</si>
  <si>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</si>
  <si>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</si>
  <si>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</si>
  <si>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</si>
  <si>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</si>
  <si>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</si>
  <si>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</si>
  <si>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</si>
  <si>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</si>
  <si>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</si>
  <si>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</si>
  <si>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</si>
  <si>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</si>
  <si>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</si>
  <si>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</si>
  <si>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</si>
  <si>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</si>
  <si>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</si>
  <si>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</si>
  <si>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</si>
  <si>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</si>
  <si>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</si>
  <si>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</si>
  <si>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</si>
  <si>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</si>
  <si>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</si>
  <si>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</si>
  <si>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</si>
  <si>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</si>
  <si>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</si>
  <si>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其他：</t>
  </si>
  <si>
    <t>郑州市</t>
  </si>
  <si>
    <t>郑州市荥阳市</t>
    <phoneticPr fontId="6" type="noConversion"/>
  </si>
  <si>
    <t>出让</t>
  </si>
  <si>
    <t>抵押</t>
  </si>
  <si>
    <t>抵押价格</t>
  </si>
  <si>
    <t>企业</t>
  </si>
  <si>
    <t>地上</t>
  </si>
  <si>
    <t>住宅</t>
    <phoneticPr fontId="7" type="noConversion"/>
  </si>
  <si>
    <t>正常</t>
  </si>
  <si>
    <t>单位面积地价</t>
  </si>
  <si>
    <t>较差</t>
  </si>
  <si>
    <t>较好</t>
  </si>
  <si>
    <t>一般</t>
  </si>
  <si>
    <t>地块名称</t>
  </si>
  <si>
    <t>城市</t>
  </si>
  <si>
    <t>用地性质</t>
  </si>
  <si>
    <t>区县</t>
  </si>
  <si>
    <t>土地位置</t>
  </si>
  <si>
    <t>出让方式</t>
  </si>
  <si>
    <t>建设用地面积(㎡)</t>
  </si>
  <si>
    <t>规划建筑面积(㎡)</t>
  </si>
  <si>
    <t>成交日期</t>
  </si>
  <si>
    <t>受让单位</t>
  </si>
  <si>
    <t>成交价(万元)</t>
  </si>
  <si>
    <t>成交每亩价(万元/亩)</t>
  </si>
  <si>
    <t>成交楼面价(元/㎡)</t>
  </si>
  <si>
    <t>溢价率</t>
  </si>
  <si>
    <t>飞龙路与京襄路交叉口东南侧</t>
  </si>
  <si>
    <t>住宅用地</t>
  </si>
  <si>
    <t>荥阳市</t>
  </si>
  <si>
    <t>挂牌</t>
  </si>
  <si>
    <t>大于1并且小于1.6</t>
  </si>
  <si>
    <t>2017-09-07</t>
  </si>
  <si>
    <t>郑州恒泽通健康置业有限公司</t>
  </si>
  <si>
    <t>飞龙路与康体西路交叉口东南侧</t>
  </si>
  <si>
    <t>飞龙路与悦来西路交叉口东北侧</t>
  </si>
  <si>
    <t>荥泽东一路与康体西路交叉口东南侧</t>
  </si>
  <si>
    <t>大于1并且小于2</t>
  </si>
  <si>
    <t>京襄路与飞龙路交叉口西南侧</t>
  </si>
  <si>
    <t>荥泽东一路与悦来西路交叉口东北侧</t>
  </si>
  <si>
    <t>京襄路与荥泽东一路交叉口东南侧</t>
  </si>
  <si>
    <t>牡丹南路与泽众路交叉口西北侧</t>
  </si>
  <si>
    <t>大于1并且小于2.2</t>
  </si>
  <si>
    <t>2017-05-17</t>
  </si>
  <si>
    <t>河南中原商贸城开发有限公司</t>
  </si>
  <si>
    <t>牡丹南路与泽众路交叉口东北侧</t>
  </si>
  <si>
    <t>郑州清华大溪地置业有限公司</t>
  </si>
  <si>
    <t>牡丹南路与荥运路交叉口西北侧</t>
  </si>
  <si>
    <t>大于1并且小于1.5</t>
  </si>
  <si>
    <t>规划一支路与成皋路交叉口西北侧</t>
  </si>
  <si>
    <t>大于1并且小于3</t>
  </si>
  <si>
    <t>2017-03-23</t>
  </si>
  <si>
    <t>郑州瀚宇置业有限公司</t>
  </si>
  <si>
    <t>中原西路与广贾路交叉口西北侧</t>
  </si>
  <si>
    <t>大于1并且小于2.8</t>
  </si>
  <si>
    <t>河南国奕实业有限公司</t>
  </si>
  <si>
    <t>高山东路与龙港南路交叉口东北侧</t>
  </si>
  <si>
    <t>兴华路与米河路交叉口西北侧</t>
  </si>
  <si>
    <t>中原路与广贾路交叉口东南侧</t>
  </si>
  <si>
    <t>滨河东路东侧</t>
  </si>
  <si>
    <t>大于1并且小于或等于3</t>
  </si>
  <si>
    <t>郑上路与成皋路交叉口西南侧</t>
  </si>
  <si>
    <t>万山路西侧</t>
  </si>
  <si>
    <t>高山东路与龙港南路交叉口东南侧</t>
  </si>
  <si>
    <t>商隐路与禹锡南二路交叉口西南侧</t>
  </si>
  <si>
    <t>＞1.0且＜2.5</t>
  </si>
  <si>
    <t>2017-01-13</t>
  </si>
  <si>
    <t>郑州隆城吾悦房地产开发有限公司</t>
  </si>
  <si>
    <t>荥密路与310国道交叉口东北侧</t>
  </si>
  <si>
    <t>大于1并且小于或等于2.5</t>
  </si>
  <si>
    <t>郑州国控西城建设有限公司</t>
  </si>
  <si>
    <t>高山东路与滨河西路交叉口东南侧</t>
  </si>
  <si>
    <t>商隐路与荥运路交叉口西北侧</t>
  </si>
  <si>
    <t>规划三路与规划二路交叉口东南侧</t>
  </si>
  <si>
    <t>郑州思念果岭置业有限公司</t>
  </si>
  <si>
    <t>龙港路与滨河西路交叉口西北侧</t>
  </si>
  <si>
    <t>大于1并且小于2.5</t>
  </si>
  <si>
    <t>兴华路与龙港南路交叉口西南侧</t>
  </si>
  <si>
    <t>龙港路与兴华路交叉口东北侧</t>
  </si>
  <si>
    <t>兴华路与龙港路交叉口东南侧</t>
  </si>
  <si>
    <t>兴华路与米河路交叉口东北侧</t>
  </si>
  <si>
    <t>万山路与龙港路交叉口东南侧</t>
  </si>
  <si>
    <t>河南省大富置业有限公司</t>
  </si>
  <si>
    <t>规划二路与规划四路交叉口西北侧</t>
  </si>
  <si>
    <t>龙港路与兴华路交叉口西北侧</t>
  </si>
  <si>
    <t>规划四路与北辅道交叉口西北侧</t>
  </si>
  <si>
    <t>规划二路与规划四路交叉口东南侧</t>
  </si>
  <si>
    <t>规划三路与北辅道交叉口东北侧</t>
  </si>
  <si>
    <t>规划一支路与成皋路交叉口西南侧</t>
  </si>
  <si>
    <t>2016-12-14</t>
  </si>
  <si>
    <t>大于1并且小于或等于2.6</t>
  </si>
  <si>
    <t>2016-11-16</t>
  </si>
  <si>
    <t>福民路与合欢路交叉口西北侧</t>
  </si>
  <si>
    <t>郑州海峡置业有限公司</t>
  </si>
  <si>
    <t>规划七路与规划S314交叉口西南侧</t>
  </si>
  <si>
    <t>织机路与索河路交叉口东北侧</t>
  </si>
  <si>
    <t>郑州碧桂园海龙置业有限公司</t>
  </si>
  <si>
    <t>织机路与索河路交叉口西北侧</t>
  </si>
  <si>
    <t>郑州海龙实业有限公司</t>
  </si>
  <si>
    <t>剩余法-待开发</t>
  </si>
  <si>
    <t>比较法-住宅、综合</t>
  </si>
  <si>
    <t>项目全部</t>
  </si>
  <si>
    <t>土地</t>
  </si>
  <si>
    <t>A</t>
    <phoneticPr fontId="233" type="noConversion"/>
  </si>
  <si>
    <t>B</t>
    <phoneticPr fontId="233" type="noConversion"/>
  </si>
  <si>
    <t>C</t>
    <phoneticPr fontId="233" type="noConversion"/>
  </si>
  <si>
    <t>土地面积</t>
    <phoneticPr fontId="233" type="noConversion"/>
  </si>
  <si>
    <t>住宅</t>
    <phoneticPr fontId="233" type="noConversion"/>
  </si>
  <si>
    <t>底商</t>
    <phoneticPr fontId="233" type="noConversion"/>
  </si>
  <si>
    <t>会所</t>
    <phoneticPr fontId="233" type="noConversion"/>
  </si>
  <si>
    <t>幼儿园</t>
    <phoneticPr fontId="233" type="noConversion"/>
  </si>
  <si>
    <t>公建配套</t>
    <phoneticPr fontId="233" type="noConversion"/>
  </si>
  <si>
    <t>地下车位</t>
    <phoneticPr fontId="233" type="noConversion"/>
  </si>
  <si>
    <t>不计容建面</t>
    <phoneticPr fontId="233" type="noConversion"/>
  </si>
  <si>
    <t>计容建面</t>
    <phoneticPr fontId="233" type="noConversion"/>
  </si>
  <si>
    <t>地上商业</t>
  </si>
  <si>
    <t>商业</t>
  </si>
  <si>
    <t>地下</t>
  </si>
  <si>
    <t>车库</t>
  </si>
  <si>
    <t>否</t>
  </si>
  <si>
    <t>地下车库</t>
    <phoneticPr fontId="7" type="noConversion"/>
  </si>
  <si>
    <t>地上商业</t>
    <phoneticPr fontId="7" type="noConversion"/>
  </si>
  <si>
    <t>不动产收益法</t>
  </si>
  <si>
    <t>钢混</t>
  </si>
  <si>
    <t>押一</t>
  </si>
  <si>
    <t>牡丹南路与荥运路</t>
    <phoneticPr fontId="3" type="noConversion"/>
  </si>
  <si>
    <t>郑上路与成皋路</t>
    <phoneticPr fontId="3" type="noConversion"/>
  </si>
  <si>
    <t>商隐路与荥运路</t>
    <phoneticPr fontId="3" type="noConversion"/>
  </si>
  <si>
    <t>六通</t>
  </si>
  <si>
    <t>七通</t>
    <phoneticPr fontId="26" type="noConversion"/>
  </si>
  <si>
    <t>六通</t>
    <phoneticPr fontId="26" type="noConversion"/>
  </si>
  <si>
    <t>五通</t>
    <phoneticPr fontId="26" type="noConversion"/>
  </si>
  <si>
    <t>四通</t>
  </si>
  <si>
    <t>四通</t>
    <phoneticPr fontId="26" type="noConversion"/>
  </si>
  <si>
    <t>三通</t>
    <phoneticPr fontId="26" type="noConversion"/>
  </si>
  <si>
    <t>地面单价</t>
    <phoneticPr fontId="233" type="noConversion"/>
  </si>
  <si>
    <t>住宅</t>
    <phoneticPr fontId="233" type="noConversion"/>
  </si>
  <si>
    <t>底商</t>
    <phoneticPr fontId="233" type="noConversion"/>
  </si>
  <si>
    <t>会所</t>
    <phoneticPr fontId="233" type="noConversion"/>
  </si>
  <si>
    <t>幼儿园</t>
    <phoneticPr fontId="233" type="noConversion"/>
  </si>
  <si>
    <t>公建配套</t>
    <phoneticPr fontId="233" type="noConversion"/>
  </si>
  <si>
    <t>地下车库</t>
    <phoneticPr fontId="233" type="noConversion"/>
  </si>
  <si>
    <t>其他</t>
    <phoneticPr fontId="233" type="noConversion"/>
  </si>
  <si>
    <t>建筑面积(㎡)</t>
    <phoneticPr fontId="233" type="noConversion"/>
  </si>
  <si>
    <t>小计（㎡）</t>
    <phoneticPr fontId="233" type="noConversion"/>
  </si>
  <si>
    <t>总计（㎡）</t>
    <phoneticPr fontId="233" type="noConversion"/>
  </si>
  <si>
    <t>类型/用途</t>
    <phoneticPr fontId="233" type="noConversion"/>
  </si>
  <si>
    <t>计容部分</t>
    <phoneticPr fontId="233" type="noConversion"/>
  </si>
  <si>
    <t>不计容部分</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</si>
</sst>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0" xfId="0" applyFont="1">
      <alignment vertical="center"/>
    </xf>
    <xf numFmtId="9" fontId="76" fillId="9" borderId="5" xfId="0" applyNumberFormat="1" applyFont="1" applyFill="1" applyBorder="1" applyAlignment="1" applyProtection="1">
      <alignment horizontal="center" vertical="center"/>
      <protection locked="0"/>
    </xf>
    <xf numFmtId="0" fontId="0" fillId="0" borderId="0" xfId="0" applyAlignment="1">
      <alignment horizontal="left"/>
    </xf>
    <xf numFmtId="0" fontId="0" fillId="6" borderId="0" xfId="0" applyFill="1" applyAlignment="1">
      <alignment horizontal="left"/>
    </xf>
    <xf numFmtId="0" fontId="0" fillId="8" borderId="0" xfId="0" applyFill="1" applyAlignment="1">
      <alignment horizontal="left"/>
    </xf>
    <xf numFmtId="0" fontId="0" fillId="9" borderId="0" xfId="0" applyFill="1" applyAlignment="1">
      <alignment horizontal="left"/>
    </xf>
    <xf numFmtId="179" fontId="0" fillId="0" borderId="0" xfId="0" applyNumberFormat="1">
      <alignment vertical="center"/>
    </xf>
    <xf numFmtId="0" fontId="0" fillId="0" borderId="0" xfId="0" applyFill="1" applyAlignment="1">
      <alignment horizontal="left"/>
    </xf>
    <xf numFmtId="0" fontId="145" fillId="9" borderId="0" xfId="0" applyFont="1" applyFill="1" applyAlignment="1">
      <alignment horizontal="left"/>
    </xf>
    <xf numFmtId="0" fontId="0" fillId="0" borderId="0" xfId="0" applyAlignment="1">
      <alignment horizontal="center" vertical="center"/>
    </xf>
    <xf numFmtId="0" fontId="145" fillId="0" borderId="0" xfId="0" applyFont="1" applyAlignment="1">
      <alignment horizontal="left"/>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0" xfId="0" applyAlignment="1">
      <alignment horizontal="center" vertical="center"/>
    </xf>
    <xf numFmtId="0" fontId="145" fillId="0" borderId="0" xfId="0" applyFont="1" applyAlignment="1">
      <alignment horizontal="center" vertical="center"/>
    </xf>
    <xf numFmtId="0" fontId="145" fillId="0" borderId="2" xfId="0" applyFont="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xdr:rowOff>
    </xdr:from>
    <xdr:to>
      <xdr:col>12</xdr:col>
      <xdr:colOff>628650</xdr:colOff>
      <xdr:row>28</xdr:row>
      <xdr:rowOff>133351</xdr:rowOff>
    </xdr:to>
    <xdr:pic>
      <xdr:nvPicPr>
        <xdr:cNvPr id="552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0" y="342901"/>
          <a:ext cx="8172450" cy="4591050"/>
        </a:xfrm>
        <a:prstGeom prst="rect">
          <a:avLst/>
        </a:prstGeom>
        <a:noFill/>
        <a:ln w="1">
          <a:noFill/>
          <a:miter lim="800000"/>
          <a:headEnd/>
          <a:tailEnd type="none" w="med" len="med"/>
        </a:ln>
        <a:effectLst/>
      </xdr:spPr>
    </xdr:pic>
    <xdr:clientData/>
  </xdr:twoCellAnchor>
  <xdr:twoCellAnchor editAs="oneCell">
    <xdr:from>
      <xdr:col>1</xdr:col>
      <xdr:colOff>0</xdr:colOff>
      <xdr:row>33</xdr:row>
      <xdr:rowOff>0</xdr:rowOff>
    </xdr:from>
    <xdr:to>
      <xdr:col>14</xdr:col>
      <xdr:colOff>323850</xdr:colOff>
      <xdr:row>63</xdr:row>
      <xdr:rowOff>38100</xdr:rowOff>
    </xdr:to>
    <xdr:pic>
      <xdr:nvPicPr>
        <xdr:cNvPr id="552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85800" y="5657850"/>
          <a:ext cx="9239250" cy="5181600"/>
        </a:xfrm>
        <a:prstGeom prst="rect">
          <a:avLst/>
        </a:prstGeom>
        <a:noFill/>
        <a:ln w="1">
          <a:noFill/>
          <a:miter lim="800000"/>
          <a:headEnd/>
          <a:tailEnd type="none" w="med" len="med"/>
        </a:ln>
        <a:effectLst/>
      </xdr:spPr>
    </xdr:pic>
    <xdr:clientData/>
  </xdr:twoCellAnchor>
  <xdr:twoCellAnchor editAs="oneCell">
    <xdr:from>
      <xdr:col>1</xdr:col>
      <xdr:colOff>0</xdr:colOff>
      <xdr:row>67</xdr:row>
      <xdr:rowOff>0</xdr:rowOff>
    </xdr:from>
    <xdr:to>
      <xdr:col>15</xdr:col>
      <xdr:colOff>390525</xdr:colOff>
      <xdr:row>97</xdr:row>
      <xdr:rowOff>66675</xdr:rowOff>
    </xdr:to>
    <xdr:pic>
      <xdr:nvPicPr>
        <xdr:cNvPr id="5529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685800" y="11487150"/>
          <a:ext cx="9991725" cy="5210175"/>
        </a:xfrm>
        <a:prstGeom prst="rect">
          <a:avLst/>
        </a:prstGeom>
        <a:noFill/>
        <a:ln w="1">
          <a:noFill/>
          <a:miter lim="800000"/>
          <a:headEnd/>
          <a:tailEnd type="none" w="med" len="med"/>
        </a:ln>
        <a:effectLst/>
      </xdr:spPr>
    </xdr:pic>
    <xdr:clientData/>
  </xdr:twoCellAnchor>
  <xdr:twoCellAnchor editAs="oneCell">
    <xdr:from>
      <xdr:col>1</xdr:col>
      <xdr:colOff>0</xdr:colOff>
      <xdr:row>101</xdr:row>
      <xdr:rowOff>0</xdr:rowOff>
    </xdr:from>
    <xdr:to>
      <xdr:col>17</xdr:col>
      <xdr:colOff>276225</xdr:colOff>
      <xdr:row>139</xdr:row>
      <xdr:rowOff>152400</xdr:rowOff>
    </xdr:to>
    <xdr:pic>
      <xdr:nvPicPr>
        <xdr:cNvPr id="5530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85800" y="17316450"/>
          <a:ext cx="11249025" cy="6667500"/>
        </a:xfrm>
        <a:prstGeom prst="rect">
          <a:avLst/>
        </a:prstGeom>
        <a:noFill/>
        <a:ln w="1">
          <a:noFill/>
          <a:miter lim="800000"/>
          <a:headEnd/>
          <a:tailEnd type="none" w="med" len="med"/>
        </a:ln>
        <a:effectLst/>
      </xdr:spPr>
    </xdr:pic>
    <xdr:clientData/>
  </xdr:twoCellAnchor>
  <xdr:twoCellAnchor editAs="oneCell">
    <xdr:from>
      <xdr:col>15</xdr:col>
      <xdr:colOff>0</xdr:colOff>
      <xdr:row>2</xdr:row>
      <xdr:rowOff>0</xdr:rowOff>
    </xdr:from>
    <xdr:to>
      <xdr:col>30</xdr:col>
      <xdr:colOff>676275</xdr:colOff>
      <xdr:row>38</xdr:row>
      <xdr:rowOff>66675</xdr:rowOff>
    </xdr:to>
    <xdr:pic>
      <xdr:nvPicPr>
        <xdr:cNvPr id="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10287000" y="342900"/>
          <a:ext cx="10963275" cy="6238875"/>
        </a:xfrm>
        <a:prstGeom prst="rect">
          <a:avLst/>
        </a:prstGeom>
        <a:noFill/>
        <a:ln w="1">
          <a:noFill/>
          <a:miter lim="800000"/>
          <a:headEnd/>
          <a:tailEnd type="none" w="med" len="med"/>
        </a:ln>
        <a:effectLst/>
      </xdr:spPr>
    </xdr:pic>
    <xdr:clientData/>
  </xdr:twoCellAnchor>
  <xdr:twoCellAnchor editAs="oneCell">
    <xdr:from>
      <xdr:col>15</xdr:col>
      <xdr:colOff>0</xdr:colOff>
      <xdr:row>41</xdr:row>
      <xdr:rowOff>0</xdr:rowOff>
    </xdr:from>
    <xdr:to>
      <xdr:col>30</xdr:col>
      <xdr:colOff>342900</xdr:colOff>
      <xdr:row>78</xdr:row>
      <xdr:rowOff>28575</xdr:rowOff>
    </xdr:to>
    <xdr:pic>
      <xdr:nvPicPr>
        <xdr:cNvPr id="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10287000" y="7029450"/>
          <a:ext cx="10629900" cy="6372225"/>
        </a:xfrm>
        <a:prstGeom prst="rect">
          <a:avLst/>
        </a:prstGeom>
        <a:noFill/>
        <a:ln w="1">
          <a:noFill/>
          <a:miter lim="800000"/>
          <a:headEnd/>
          <a:tailEnd type="none" w="med" len="med"/>
        </a:ln>
        <a:effectLst/>
      </xdr:spPr>
    </xdr:pic>
    <xdr:clientData/>
  </xdr:twoCellAnchor>
  <xdr:twoCellAnchor editAs="oneCell">
    <xdr:from>
      <xdr:col>17</xdr:col>
      <xdr:colOff>0</xdr:colOff>
      <xdr:row>80</xdr:row>
      <xdr:rowOff>0</xdr:rowOff>
    </xdr:from>
    <xdr:to>
      <xdr:col>33</xdr:col>
      <xdr:colOff>514350</xdr:colOff>
      <xdr:row>111</xdr:row>
      <xdr:rowOff>161925</xdr:rowOff>
    </xdr:to>
    <xdr:pic>
      <xdr:nvPicPr>
        <xdr:cNvPr id="4"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11658600" y="13716000"/>
          <a:ext cx="11487150" cy="5476875"/>
        </a:xfrm>
        <a:prstGeom prst="rect">
          <a:avLst/>
        </a:prstGeom>
        <a:noFill/>
        <a:ln w="1">
          <a:noFill/>
          <a:miter lim="800000"/>
          <a:headEnd/>
          <a:tailEnd type="none" w="med" len="med"/>
        </a:ln>
        <a:effectLst/>
      </xdr:spPr>
    </xdr:pic>
    <xdr:clientData/>
  </xdr:twoCellAnchor>
  <xdr:twoCellAnchor editAs="oneCell">
    <xdr:from>
      <xdr:col>18</xdr:col>
      <xdr:colOff>0</xdr:colOff>
      <xdr:row>114</xdr:row>
      <xdr:rowOff>0</xdr:rowOff>
    </xdr:from>
    <xdr:to>
      <xdr:col>35</xdr:col>
      <xdr:colOff>219075</xdr:colOff>
      <xdr:row>149</xdr:row>
      <xdr:rowOff>19050</xdr:rowOff>
    </xdr:to>
    <xdr:pic>
      <xdr:nvPicPr>
        <xdr:cNvPr id="5"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12344400" y="19545300"/>
          <a:ext cx="11877675" cy="6019800"/>
        </a:xfrm>
        <a:prstGeom prst="rect">
          <a:avLst/>
        </a:prstGeom>
        <a:noFill/>
        <a:ln w="1">
          <a:noFill/>
          <a:miter lim="800000"/>
          <a:headEnd/>
          <a:tailEnd type="none" w="med" len="med"/>
        </a:ln>
        <a:effectLst/>
      </xdr:spPr>
    </xdr:pic>
    <xdr:clientData/>
  </xdr:twoCellAnchor>
  <xdr:twoCellAnchor editAs="oneCell">
    <xdr:from>
      <xdr:col>3</xdr:col>
      <xdr:colOff>0</xdr:colOff>
      <xdr:row>153</xdr:row>
      <xdr:rowOff>0</xdr:rowOff>
    </xdr:from>
    <xdr:to>
      <xdr:col>16</xdr:col>
      <xdr:colOff>666750</xdr:colOff>
      <xdr:row>176</xdr:row>
      <xdr:rowOff>47625</xdr:rowOff>
    </xdr:to>
    <xdr:pic>
      <xdr:nvPicPr>
        <xdr:cNvPr id="55301"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2057400" y="26231850"/>
          <a:ext cx="9582150" cy="3990975"/>
        </a:xfrm>
        <a:prstGeom prst="rect">
          <a:avLst/>
        </a:prstGeom>
        <a:noFill/>
        <a:ln w="1">
          <a:noFill/>
          <a:miter lim="800000"/>
          <a:headEnd/>
          <a:tailEnd type="none" w="med" len="med"/>
        </a:ln>
        <a:effectLst/>
      </xdr:spPr>
    </xdr:pic>
    <xdr:clientData/>
  </xdr:twoCellAnchor>
  <xdr:twoCellAnchor editAs="oneCell">
    <xdr:from>
      <xdr:col>3</xdr:col>
      <xdr:colOff>0</xdr:colOff>
      <xdr:row>177</xdr:row>
      <xdr:rowOff>0</xdr:rowOff>
    </xdr:from>
    <xdr:to>
      <xdr:col>16</xdr:col>
      <xdr:colOff>438150</xdr:colOff>
      <xdr:row>213</xdr:row>
      <xdr:rowOff>0</xdr:rowOff>
    </xdr:to>
    <xdr:pic>
      <xdr:nvPicPr>
        <xdr:cNvPr id="55302"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2057400" y="30346650"/>
          <a:ext cx="9353550" cy="6172200"/>
        </a:xfrm>
        <a:prstGeom prst="rect">
          <a:avLst/>
        </a:prstGeom>
        <a:noFill/>
        <a:ln w="1">
          <a:noFill/>
          <a:miter lim="800000"/>
          <a:headEnd/>
          <a:tailEnd type="none" w="med" len="med"/>
        </a:ln>
        <a:effectLst/>
      </xdr:spPr>
    </xdr:pic>
    <xdr:clientData/>
  </xdr:twoCellAnchor>
  <xdr:twoCellAnchor editAs="oneCell">
    <xdr:from>
      <xdr:col>3</xdr:col>
      <xdr:colOff>0</xdr:colOff>
      <xdr:row>215</xdr:row>
      <xdr:rowOff>0</xdr:rowOff>
    </xdr:from>
    <xdr:to>
      <xdr:col>16</xdr:col>
      <xdr:colOff>276225</xdr:colOff>
      <xdr:row>252</xdr:row>
      <xdr:rowOff>123825</xdr:rowOff>
    </xdr:to>
    <xdr:pic>
      <xdr:nvPicPr>
        <xdr:cNvPr id="55303" name="Picture 7"/>
        <xdr:cNvPicPr>
          <a:picLocks noChangeAspect="1" noChangeArrowheads="1"/>
        </xdr:cNvPicPr>
      </xdr:nvPicPr>
      <xdr:blipFill>
        <a:blip xmlns:r="http://schemas.openxmlformats.org/officeDocument/2006/relationships" r:embed="rId11" cstate="print"/>
        <a:srcRect/>
        <a:stretch>
          <a:fillRect/>
        </a:stretch>
      </xdr:blipFill>
      <xdr:spPr bwMode="auto">
        <a:xfrm>
          <a:off x="2057400" y="36861750"/>
          <a:ext cx="9191625" cy="6467475"/>
        </a:xfrm>
        <a:prstGeom prst="rect">
          <a:avLst/>
        </a:prstGeom>
        <a:noFill/>
        <a:ln w="1">
          <a:noFill/>
          <a:miter lim="800000"/>
          <a:headEnd/>
          <a:tailEnd type="none" w="med" len="med"/>
        </a:ln>
        <a:effectLst/>
      </xdr:spPr>
    </xdr:pic>
    <xdr:clientData/>
  </xdr:twoCellAnchor>
  <xdr:twoCellAnchor editAs="oneCell">
    <xdr:from>
      <xdr:col>19</xdr:col>
      <xdr:colOff>0</xdr:colOff>
      <xdr:row>153</xdr:row>
      <xdr:rowOff>0</xdr:rowOff>
    </xdr:from>
    <xdr:to>
      <xdr:col>32</xdr:col>
      <xdr:colOff>590550</xdr:colOff>
      <xdr:row>184</xdr:row>
      <xdr:rowOff>47625</xdr:rowOff>
    </xdr:to>
    <xdr:pic>
      <xdr:nvPicPr>
        <xdr:cNvPr id="55304" name="Picture 8"/>
        <xdr:cNvPicPr>
          <a:picLocks noChangeAspect="1" noChangeArrowheads="1"/>
        </xdr:cNvPicPr>
      </xdr:nvPicPr>
      <xdr:blipFill>
        <a:blip xmlns:r="http://schemas.openxmlformats.org/officeDocument/2006/relationships" r:embed="rId12" cstate="print"/>
        <a:srcRect/>
        <a:stretch>
          <a:fillRect/>
        </a:stretch>
      </xdr:blipFill>
      <xdr:spPr bwMode="auto">
        <a:xfrm>
          <a:off x="13030200" y="26231850"/>
          <a:ext cx="9505950" cy="5362575"/>
        </a:xfrm>
        <a:prstGeom prst="rect">
          <a:avLst/>
        </a:prstGeom>
        <a:noFill/>
        <a:ln w="1">
          <a:noFill/>
          <a:miter lim="800000"/>
          <a:headEnd/>
          <a:tailEnd type="none" w="med" len="med"/>
        </a:ln>
        <a:effectLst/>
      </xdr:spPr>
    </xdr:pic>
    <xdr:clientData/>
  </xdr:twoCellAnchor>
  <xdr:twoCellAnchor editAs="oneCell">
    <xdr:from>
      <xdr:col>19</xdr:col>
      <xdr:colOff>0</xdr:colOff>
      <xdr:row>200</xdr:row>
      <xdr:rowOff>0</xdr:rowOff>
    </xdr:from>
    <xdr:to>
      <xdr:col>31</xdr:col>
      <xdr:colOff>638175</xdr:colOff>
      <xdr:row>220</xdr:row>
      <xdr:rowOff>142875</xdr:rowOff>
    </xdr:to>
    <xdr:pic>
      <xdr:nvPicPr>
        <xdr:cNvPr id="55305" name="Picture 9"/>
        <xdr:cNvPicPr>
          <a:picLocks noChangeAspect="1" noChangeArrowheads="1"/>
        </xdr:cNvPicPr>
      </xdr:nvPicPr>
      <xdr:blipFill>
        <a:blip xmlns:r="http://schemas.openxmlformats.org/officeDocument/2006/relationships" r:embed="rId13" cstate="print"/>
        <a:srcRect/>
        <a:stretch>
          <a:fillRect/>
        </a:stretch>
      </xdr:blipFill>
      <xdr:spPr bwMode="auto">
        <a:xfrm>
          <a:off x="13030200" y="34290000"/>
          <a:ext cx="8867775" cy="3571875"/>
        </a:xfrm>
        <a:prstGeom prst="rect">
          <a:avLst/>
        </a:prstGeom>
        <a:noFill/>
        <a:ln w="1">
          <a:noFill/>
          <a:miter lim="800000"/>
          <a:headEnd/>
          <a:tailEnd type="none" w="med" len="med"/>
        </a:ln>
        <a:effectLst/>
      </xdr:spPr>
    </xdr:pic>
    <xdr:clientData/>
  </xdr:twoCellAnchor>
  <xdr:twoCellAnchor editAs="oneCell">
    <xdr:from>
      <xdr:col>19</xdr:col>
      <xdr:colOff>0</xdr:colOff>
      <xdr:row>224</xdr:row>
      <xdr:rowOff>0</xdr:rowOff>
    </xdr:from>
    <xdr:to>
      <xdr:col>32</xdr:col>
      <xdr:colOff>476250</xdr:colOff>
      <xdr:row>261</xdr:row>
      <xdr:rowOff>85725</xdr:rowOff>
    </xdr:to>
    <xdr:pic>
      <xdr:nvPicPr>
        <xdr:cNvPr id="55306" name="Picture 10"/>
        <xdr:cNvPicPr>
          <a:picLocks noChangeAspect="1" noChangeArrowheads="1"/>
        </xdr:cNvPicPr>
      </xdr:nvPicPr>
      <xdr:blipFill>
        <a:blip xmlns:r="http://schemas.openxmlformats.org/officeDocument/2006/relationships" r:embed="rId14" cstate="print"/>
        <a:srcRect/>
        <a:stretch>
          <a:fillRect/>
        </a:stretch>
      </xdr:blipFill>
      <xdr:spPr bwMode="auto">
        <a:xfrm>
          <a:off x="13030200" y="38404800"/>
          <a:ext cx="9391650" cy="64293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11</xdr:col>
      <xdr:colOff>666750</xdr:colOff>
      <xdr:row>31</xdr:row>
      <xdr:rowOff>95250</xdr:rowOff>
    </xdr:to>
    <xdr:pic>
      <xdr:nvPicPr>
        <xdr:cNvPr id="563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371600" y="171450"/>
          <a:ext cx="6838950" cy="52387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2664</v>
      </c>
      <c r="B1" s="2919" t="s">
        <v>2761</v>
      </c>
    </row>
    <row r="2" spans="1:55" s="2923" customFormat="1" ht="15" thickTop="1">
      <c r="A2" s="2921" t="s">
        <v>2668</v>
      </c>
      <c r="B2" s="2922" t="str">
        <f>'预评函-封皮'!B37</f>
        <v>郑州市荥阳市出让国有建设用地使用权抵押价格预评估</v>
      </c>
      <c r="AX2" s="2924"/>
      <c r="AZ2" s="2924"/>
      <c r="BA2" s="2925"/>
      <c r="BC2" s="2925"/>
    </row>
    <row r="3" spans="1:55" s="2926" customFormat="1">
      <c r="A3" s="2905" t="s">
        <v>2669</v>
      </c>
      <c r="B3" s="2908">
        <f>'预评函-封皮'!B40</f>
        <v>0</v>
      </c>
    </row>
    <row r="4" spans="1:55" s="2907" customFormat="1">
      <c r="A4" s="2905" t="s">
        <v>2670</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2671</v>
      </c>
      <c r="B5" s="2928" t="str">
        <f>'预评函-封皮'!B49</f>
        <v>康正预评字号</v>
      </c>
    </row>
    <row r="6" spans="1:55" s="2929" customFormat="1" ht="15" thickTop="1">
      <c r="A6" s="2921" t="s">
        <v>2713</v>
      </c>
      <c r="B6" s="2922" t="str">
        <f>'预评函-1'!A4</f>
        <v>受贵公司委托，我公司对郑州市荥阳市出让国有建设用地使用权抵押价格进行了预评估。</v>
      </c>
      <c r="AM6" s="2930"/>
    </row>
    <row r="7" spans="1:55" s="2904" customFormat="1">
      <c r="A7" s="2905" t="s">
        <v>2665</v>
      </c>
      <c r="B7" s="2906" t="str">
        <f>'预评函-1'!A6</f>
        <v>估价对象为使用的、位于郑州市荥阳市出让国有建设用地使用权。根据《国有土地使用证》[]，估价对象（分摊）出让国有建设用地使用权面积为664499.4平方米。根据《建设工程规划许可证》[]、《出让合同》[]，估价对象规划建筑面积为1839613.34平方米。</v>
      </c>
    </row>
    <row r="8" spans="1:55" s="2904" customFormat="1">
      <c r="A8" s="2905" t="s">
        <v>2666</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2716</v>
      </c>
      <c r="B9" s="2906" t="str">
        <f>'预评函-1'!A9</f>
        <v>拟使用郑州市荥阳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4" customFormat="1">
      <c r="A10" s="2905" t="s">
        <v>2667</v>
      </c>
      <c r="B10" s="2906" t="str">
        <f>'预评函-1'!A11</f>
        <v>2017年12月8日（评估专业人员勘察现场之日）</v>
      </c>
    </row>
    <row r="11" spans="1:55" s="2904" customFormat="1">
      <c r="A11" s="2905" t="s">
        <v>2673</v>
      </c>
      <c r="B11" s="2906" t="str">
        <f>'预评函-1'!A14</f>
        <v>根据《国有土地使用证》[]，本次评估估价对象证载（地类）用途为。</v>
      </c>
    </row>
    <row r="12" spans="1:55" s="2904" customFormat="1">
      <c r="A12" s="2905" t="s">
        <v>2674</v>
      </c>
      <c r="B12" s="2906" t="str">
        <f>'预评函-1'!A15</f>
        <v>本次评估设定用途即为证载用途。</v>
      </c>
    </row>
    <row r="13" spans="1:55" s="2904" customFormat="1">
      <c r="A13" s="2905" t="s">
        <v>2675</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2676</v>
      </c>
      <c r="B14" s="2906" t="str">
        <f>'预评函-1'!A18</f>
        <v>。本次评估设定土地开发程度为红线外市政基础设施达“七通”、宗地红线内场地平整。</v>
      </c>
    </row>
    <row r="15" spans="1:55" s="2904" customFormat="1">
      <c r="A15" s="2905" t="s">
        <v>2672</v>
      </c>
      <c r="B15" s="2906" t="str">
        <f>'预评函-1'!A20</f>
        <v>根据《国有土地使用证》[]，估价对象（分摊）出让国有建设用地使用权面积为664499.4平方米。根据《建设工程规划许可证》[]、《出让合同》[]，估价对象规划建筑面积为1839613.34平方米。</v>
      </c>
    </row>
    <row r="16" spans="1:55" s="2904" customFormat="1">
      <c r="A16" s="2905" t="s">
        <v>2677</v>
      </c>
      <c r="B16" s="29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13日、地上商业2057年9月13日地下车库2067年9月13日。截至估价期日，出让国有建设用地使用权剩余土地使用年限为。</v>
      </c>
    </row>
    <row r="17" spans="1:48" s="2904" customFormat="1">
      <c r="A17" s="2905" t="s">
        <v>2678</v>
      </c>
      <c r="B17" s="2906" t="str">
        <f>'预评函-1'!A23</f>
        <v>本次评估设定估价对象剩余土地使用年限为。</v>
      </c>
    </row>
    <row r="18" spans="1:48" s="2904" customFormat="1">
      <c r="A18" s="2905" t="s">
        <v>2679</v>
      </c>
      <c r="B18" s="2906" t="str">
        <f>'预评函-1'!A25</f>
        <v>本次估价的“出让国有建设用地使用权价格”是指在估价对象土地所有权为国家所有，使用权性质为出让，在公开市场条件下、于估价期日2017年12月8日，在规划利用条件下、设定土地开发程度为红线外“七通”、宗地内场地，设定用途为，剩余土地使用年限为的出让国有建设用地使用权价格。</v>
      </c>
    </row>
    <row r="19" spans="1:48" s="2904" customFormat="1">
      <c r="A19" s="2905" t="s">
        <v>2680</v>
      </c>
      <c r="B19" s="290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4" customFormat="1">
      <c r="A20" s="2905" t="s">
        <v>2681</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2682</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2683</v>
      </c>
      <c r="B22" s="291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5" t="s">
        <v>2684</v>
      </c>
      <c r="B23" s="2906" t="str">
        <f>'预评函-2'!K2</f>
        <v>估价期日：2017年12月8日</v>
      </c>
    </row>
    <row r="24" spans="1:48">
      <c r="A24" s="2905" t="s">
        <v>2685</v>
      </c>
      <c r="B24" s="2906" t="str">
        <f>'预评函-2'!R2</f>
        <v>估价期日的国有建设用地使用权性质：出让</v>
      </c>
    </row>
    <row r="25" spans="1:48">
      <c r="A25" s="2905" t="s">
        <v>2741</v>
      </c>
      <c r="B25" s="2906" t="str">
        <f>'预评函-2'!A3</f>
        <v>估价期日土地使用者</v>
      </c>
    </row>
    <row r="26" spans="1:48">
      <c r="A26" s="2905" t="s">
        <v>2717</v>
      </c>
      <c r="B26" s="2906" t="str">
        <f>'预评函-2'!A5</f>
        <v>中信开发</v>
      </c>
    </row>
    <row r="27" spans="1:48">
      <c r="A27" s="2905" t="s">
        <v>2742</v>
      </c>
      <c r="B27" s="2906" t="str">
        <f>'预评函-2'!B3</f>
        <v>宗地编号/不动产单元号</v>
      </c>
    </row>
    <row r="28" spans="1:48">
      <c r="A28" s="2905" t="s">
        <v>2718</v>
      </c>
      <c r="B28" s="2906" t="str">
        <f>'预评函-2'!B5</f>
        <v>11111111111</v>
      </c>
    </row>
    <row r="29" spans="1:48">
      <c r="A29" s="2905" t="s">
        <v>2744</v>
      </c>
      <c r="B29" s="2906">
        <f>'预评函-2'!C5</f>
        <v>22</v>
      </c>
    </row>
    <row r="30" spans="1:48">
      <c r="A30" s="2905" t="s">
        <v>2745</v>
      </c>
      <c r="B30" s="2906" t="str">
        <f>'预评函-2'!D3</f>
        <v>土地使用证编号/不动产权证书编号</v>
      </c>
    </row>
    <row r="31" spans="1:48">
      <c r="A31" s="2905" t="s">
        <v>2719</v>
      </c>
      <c r="B31" s="2906" t="str">
        <f>'预评函-2'!D5</f>
        <v>京国土字第111号</v>
      </c>
    </row>
    <row r="32" spans="1:48">
      <c r="A32" s="2905" t="s">
        <v>2720</v>
      </c>
      <c r="B32" s="2906">
        <f>'预评函-2'!E5</f>
        <v>0</v>
      </c>
      <c r="AV32" s="2910"/>
    </row>
    <row r="33" spans="1:2">
      <c r="A33" s="2905" t="s">
        <v>2721</v>
      </c>
      <c r="B33" s="2906">
        <f>'预评函-2'!F5</f>
        <v>258</v>
      </c>
    </row>
    <row r="34" spans="1:2">
      <c r="A34" s="2905" t="s">
        <v>2722</v>
      </c>
      <c r="B34" s="2906">
        <f>'预评函-2'!G5</f>
        <v>0</v>
      </c>
    </row>
    <row r="35" spans="1:2">
      <c r="A35" s="2905" t="s">
        <v>2723</v>
      </c>
      <c r="B35" s="2906">
        <f>'预评函-2'!H5</f>
        <v>1.5</v>
      </c>
    </row>
    <row r="36" spans="1:2">
      <c r="A36" s="2905" t="s">
        <v>2724</v>
      </c>
      <c r="B36" s="2906">
        <f>'预评函-2'!I5</f>
        <v>1.5</v>
      </c>
    </row>
    <row r="37" spans="1:2">
      <c r="A37" s="2905" t="s">
        <v>2725</v>
      </c>
      <c r="B37" s="2906">
        <f>'预评函-2'!J5</f>
        <v>1.5</v>
      </c>
    </row>
    <row r="38" spans="1:2">
      <c r="A38" s="2905" t="s">
        <v>2726</v>
      </c>
      <c r="B38" s="2906" t="str">
        <f>'预评函-2'!K5</f>
        <v>红线外七通、宗地红线内</v>
      </c>
    </row>
    <row r="39" spans="1:2">
      <c r="A39" s="2905" t="s">
        <v>2727</v>
      </c>
      <c r="B39" s="2906" t="str">
        <f>'预评函-2'!L5</f>
        <v>红线外七通、宗地红线内场地</v>
      </c>
    </row>
    <row r="40" spans="1:2">
      <c r="A40" s="2905" t="s">
        <v>2746</v>
      </c>
      <c r="B40" s="2906" t="str">
        <f>'预评函-2'!M3</f>
        <v>（剩余）土地使用年限/年</v>
      </c>
    </row>
    <row r="41" spans="1:2">
      <c r="A41" s="2905" t="s">
        <v>2728</v>
      </c>
      <c r="B41" s="2906">
        <f>'预评函-2'!M5</f>
        <v>0</v>
      </c>
    </row>
    <row r="42" spans="1:2">
      <c r="A42" s="2905" t="s">
        <v>2747</v>
      </c>
      <c r="B42" s="2906" t="str">
        <f>'预评函-2'!N3</f>
        <v>（分摊）出让国有建设用地使用权面积/㎡</v>
      </c>
    </row>
    <row r="43" spans="1:2">
      <c r="A43" s="2905" t="s">
        <v>2729</v>
      </c>
      <c r="B43" s="2906">
        <f>'预评函-2'!N5</f>
        <v>664499.4</v>
      </c>
    </row>
    <row r="44" spans="1:2">
      <c r="A44" s="2905" t="s">
        <v>2748</v>
      </c>
      <c r="B44" s="2906" t="str">
        <f>'预评函-2'!O3</f>
        <v>规划建筑面积/㎡</v>
      </c>
    </row>
    <row r="45" spans="1:2">
      <c r="A45" s="2905" t="s">
        <v>2730</v>
      </c>
      <c r="B45" s="2906">
        <f>'预评函-2'!O5</f>
        <v>1839613.3399999999</v>
      </c>
    </row>
    <row r="46" spans="1:2">
      <c r="A46" s="2905" t="s">
        <v>2731</v>
      </c>
      <c r="B46" s="2906">
        <f ca="1">'预评函-2'!P5</f>
        <v>3636</v>
      </c>
    </row>
    <row r="47" spans="1:2">
      <c r="A47" s="2905" t="s">
        <v>2732</v>
      </c>
      <c r="B47" s="2906">
        <f ca="1">'预评函-2'!Q5</f>
        <v>1313</v>
      </c>
    </row>
    <row r="48" spans="1:2">
      <c r="A48" s="2905" t="s">
        <v>2733</v>
      </c>
      <c r="B48" s="2906">
        <f ca="1">'预评函-2'!R5</f>
        <v>241604</v>
      </c>
    </row>
    <row r="49" spans="1:2">
      <c r="A49" s="2905" t="s">
        <v>2749</v>
      </c>
      <c r="B49" s="2906" t="str">
        <f>'预评函-2'!A6</f>
        <v>抵押价格</v>
      </c>
    </row>
    <row r="50" spans="1:2">
      <c r="A50" s="2905" t="s">
        <v>2734</v>
      </c>
      <c r="B50" s="2906" t="str">
        <f>'预评函-2'!R6</f>
        <v>——</v>
      </c>
    </row>
    <row r="51" spans="1:2">
      <c r="A51" s="2905" t="s">
        <v>2750</v>
      </c>
      <c r="B51" s="2906" t="str">
        <f>'预评函-2'!A7</f>
        <v>——</v>
      </c>
    </row>
    <row r="52" spans="1:2">
      <c r="A52" s="2905" t="s">
        <v>2735</v>
      </c>
      <c r="B52" s="2906" t="str">
        <f>'预评函-2'!R7</f>
        <v>——</v>
      </c>
    </row>
    <row r="53" spans="1:2">
      <c r="A53" s="2905" t="s">
        <v>2751</v>
      </c>
      <c r="B53" s="2906">
        <f>'预评函-2'!A8</f>
        <v>0</v>
      </c>
    </row>
    <row r="54" spans="1:2" s="2920" customFormat="1" ht="15" thickBot="1">
      <c r="A54" s="2927" t="s">
        <v>2736</v>
      </c>
      <c r="B54" s="2928" t="str">
        <f>'预评函-2'!R8</f>
        <v>——</v>
      </c>
    </row>
    <row r="55" spans="1:2" ht="15" thickTop="1">
      <c r="A55" s="2916" t="s">
        <v>2686</v>
      </c>
      <c r="B55" s="2917" t="str">
        <f>'预评函-3'!A2</f>
        <v>1.权利限制：根据估价对象《不动产权证书》原件、《国有土地使用权》复印件，截至估价期日，估价对象抵押权未见登记。未设定租赁等其他他项权利。</v>
      </c>
    </row>
    <row r="56" spans="1:2">
      <c r="A56" s="2905" t="s">
        <v>2687</v>
      </c>
      <c r="B56" s="2906" t="str">
        <f>'预评函-3'!A3</f>
        <v>2.基础设施条件：估价对象实际开发程度为红线外七通、宗地红线内；本次评估设定开发程度为红线外七通、宗地红线内场地。</v>
      </c>
    </row>
    <row r="57" spans="1:2">
      <c r="A57" s="2905" t="s">
        <v>2688</v>
      </c>
      <c r="B57" s="2906" t="str">
        <f>'预评函-3'!A4</f>
        <v>3.估价规划限制条件：详见《建设工程规划许可证》[]、《出让合同》[]。</v>
      </c>
    </row>
    <row r="58" spans="1:2" s="2920" customFormat="1" ht="15" thickBot="1">
      <c r="A58" s="2927" t="s">
        <v>2737</v>
      </c>
      <c r="B58" s="2928" t="str">
        <f>'预评函-3'!A5</f>
        <v>4.影响价格的其他限定条件：无。</v>
      </c>
    </row>
    <row r="59" spans="1:2" ht="15" thickTop="1">
      <c r="A59" s="2916" t="s">
        <v>2689</v>
      </c>
      <c r="B59" s="2917" t="str">
        <f>'预评函-3'!A8</f>
        <v>2.本《评估意见函》仅供金融机构进行内部审核使用，不做其他目的之用。</v>
      </c>
    </row>
    <row r="60" spans="1:2">
      <c r="A60" s="2905" t="s">
        <v>2690</v>
      </c>
      <c r="B60" s="2906" t="str">
        <f>'预评函-3'!A9</f>
        <v>3.抵押双方在办理抵押登记手续时，应使用本公司出具的正式《土地估价报告》，特提请报告使用者注意。</v>
      </c>
    </row>
    <row r="61" spans="1:2">
      <c r="A61" s="2905" t="s">
        <v>2692</v>
      </c>
      <c r="B61" s="2906" t="str">
        <f>'预评函-3'!A10</f>
        <v>4.估价师所知悉的法定优先受偿款情况为：</v>
      </c>
    </row>
    <row r="62" spans="1:2">
      <c r="A62" s="2905" t="s">
        <v>2691</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2693</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2694</v>
      </c>
      <c r="B64" s="2911" t="str">
        <f>'预评函-3'!A13</f>
        <v>（3）。</v>
      </c>
    </row>
    <row r="65" spans="1:2">
      <c r="A65" s="2905" t="s">
        <v>2695</v>
      </c>
      <c r="B65" s="2912" t="str">
        <f>'预评函-3'!A14</f>
        <v>综上，本次评估不存在估价师知悉的法定优先受偿款</v>
      </c>
    </row>
    <row r="66" spans="1:2">
      <c r="A66" s="2905" t="s">
        <v>2696</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2697</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2700</v>
      </c>
      <c r="B68" s="2931">
        <f>'预评函-3'!D30</f>
        <v>42558</v>
      </c>
    </row>
    <row r="69" spans="1:2" ht="15" thickTop="1">
      <c r="A69" s="2916" t="s">
        <v>2698</v>
      </c>
      <c r="B69" s="2917" t="str">
        <f>'预评函-3'!A20</f>
        <v>土地估价师</v>
      </c>
    </row>
    <row r="70" spans="1:2">
      <c r="A70" s="2905" t="s">
        <v>2698</v>
      </c>
      <c r="B70" s="2912">
        <f>'预评函-3'!B20</f>
        <v>0</v>
      </c>
    </row>
    <row r="71" spans="1:2">
      <c r="A71" s="2905" t="s">
        <v>2699</v>
      </c>
      <c r="B71" s="2906" t="str">
        <f>'预评函-3'!A21</f>
        <v>土地估价师</v>
      </c>
    </row>
    <row r="72" spans="1:2" s="2920" customFormat="1" ht="15" thickBot="1">
      <c r="A72" s="2927" t="s">
        <v>2699</v>
      </c>
      <c r="B72" s="2933">
        <f>'预评函-3'!B21</f>
        <v>0</v>
      </c>
    </row>
    <row r="73" spans="1:2" ht="15" thickTop="1">
      <c r="A73" s="2916" t="s">
        <v>2758</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2759</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2760</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2795</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3" zoomScale="90" zoomScaleNormal="100" zoomScaleSheetLayoutView="90" workbookViewId="0">
      <selection activeCell="G7" sqref="G7"/>
    </sheetView>
  </sheetViews>
  <sheetFormatPr defaultColWidth="10" defaultRowHeight="14.25"/>
  <cols>
    <col min="1" max="1" width="15.375" style="1691" customWidth="1"/>
    <col min="2" max="2" width="11.375" style="1691" customWidth="1"/>
    <col min="3" max="3" width="12.625" style="1691" customWidth="1"/>
    <col min="4" max="4" width="12.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11" t="str">
        <f>IF(B10="北京市","北京市",C10)&amp;F10&amp;B16&amp;"国有建设用地使用权"&amp;B9&amp;"预评估"</f>
        <v>郑州市荥阳市出让国有建设用地使用权抵押价格预评估</v>
      </c>
      <c r="C1" s="3212"/>
      <c r="D1" s="3212"/>
      <c r="E1" s="3212"/>
      <c r="F1" s="3212"/>
      <c r="G1" s="3212"/>
      <c r="H1" s="3212"/>
      <c r="I1" s="3213"/>
      <c r="J1" s="1694"/>
      <c r="K1" s="2480" t="str">
        <f>IF(B10="北京市","北京市",C10)&amp;F10&amp;B16&amp;"国有建设用地使用权"&amp;B9</f>
        <v>郑州市荥阳市出让国有建设用地使用权抵押价格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80" t="str">
        <f>IF(B10="北京市","北京市",C10)&amp;F10&amp;B16&amp;"国有建设用地使用权"</f>
        <v>郑州市荥阳市出让国有建设用地使用权</v>
      </c>
      <c r="L2" s="1723"/>
      <c r="M2" s="1723"/>
      <c r="N2" s="1694"/>
      <c r="O2" s="1695"/>
      <c r="P2" s="1694"/>
      <c r="Q2" s="1694"/>
      <c r="R2" s="1694"/>
      <c r="S2" s="1694"/>
      <c r="T2" s="1694"/>
      <c r="U2" s="1694"/>
    </row>
    <row r="3" spans="1:21">
      <c r="A3" s="1661" t="s">
        <v>1942</v>
      </c>
      <c r="B3" s="1662">
        <v>43077</v>
      </c>
      <c r="C3" s="1663" t="s">
        <v>1998</v>
      </c>
      <c r="D3" s="1662">
        <v>43077</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2897</v>
      </c>
      <c r="C4" s="1846">
        <f>SUMIF(土地估价师,B4,估价师及机构信息!E3:E24)</f>
        <v>0</v>
      </c>
      <c r="D4" s="1843" t="s">
        <v>2897</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2714</v>
      </c>
      <c r="B6" s="1789"/>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2715</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2987</v>
      </c>
      <c r="C8" s="1671"/>
      <c r="D8" s="3217"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2988</v>
      </c>
      <c r="C9" s="1675"/>
      <c r="D9" s="3218"/>
      <c r="E9" s="1674"/>
      <c r="F9" s="1747"/>
      <c r="G9" s="1742"/>
      <c r="H9" s="1742"/>
      <c r="I9" s="1743"/>
      <c r="J9" s="1694"/>
      <c r="K9" s="1774"/>
      <c r="L9" s="1723"/>
      <c r="M9" s="1723"/>
      <c r="N9" s="1694"/>
      <c r="O9" s="1695"/>
      <c r="P9" s="1694"/>
      <c r="Q9" s="1694"/>
      <c r="R9" s="1694"/>
      <c r="S9" s="1694"/>
      <c r="T9" s="1694"/>
      <c r="U9" s="1694"/>
    </row>
    <row r="10" spans="1:21" ht="15" thickTop="1">
      <c r="A10" s="1744" t="s">
        <v>2002</v>
      </c>
      <c r="B10" s="3167" t="s">
        <v>2983</v>
      </c>
      <c r="C10" s="1676" t="s">
        <v>2985</v>
      </c>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2989</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14"/>
      <c r="C12" s="3215"/>
      <c r="D12" s="3216"/>
      <c r="E12" s="1699" t="s">
        <v>2064</v>
      </c>
      <c r="F12" s="3232" t="s">
        <v>2898</v>
      </c>
      <c r="G12" s="3233"/>
      <c r="H12" s="3233"/>
      <c r="I12" s="3234"/>
      <c r="J12" s="1694"/>
      <c r="K12" s="1774"/>
      <c r="L12" s="1723"/>
      <c r="M12" s="1723"/>
      <c r="N12" s="1694"/>
      <c r="O12" s="1695"/>
      <c r="P12" s="1694"/>
      <c r="Q12" s="1694"/>
      <c r="R12" s="1694"/>
      <c r="S12" s="1694"/>
      <c r="T12" s="1694"/>
      <c r="U12" s="1694"/>
    </row>
    <row r="13" spans="1:21">
      <c r="A13" s="1687" t="s">
        <v>2062</v>
      </c>
      <c r="B13" s="3214"/>
      <c r="C13" s="3215"/>
      <c r="D13" s="3216"/>
      <c r="E13" s="1699" t="s">
        <v>2064</v>
      </c>
      <c r="F13" s="3232" t="s">
        <v>2899</v>
      </c>
      <c r="G13" s="3233"/>
      <c r="H13" s="3233"/>
      <c r="I13" s="3234"/>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2986</v>
      </c>
      <c r="C16" s="1699" t="s">
        <v>1951</v>
      </c>
      <c r="D16" s="2672" t="s">
        <v>1952</v>
      </c>
      <c r="E16" s="1722" t="s">
        <v>3099</v>
      </c>
      <c r="F16" s="1722"/>
      <c r="G16" s="1722" t="s">
        <v>35</v>
      </c>
      <c r="H16" s="1722"/>
      <c r="I16" s="1686" t="s">
        <v>1957</v>
      </c>
      <c r="J16" s="1694"/>
      <c r="K16" s="2481" t="str">
        <f>IF(D17="","",D16&amp;TEXT(D17,"yyyy年m月d日;;"))</f>
        <v>住宅2087年9月13日</v>
      </c>
      <c r="L16" s="1699" t="str">
        <f>IF(OR(K16="",M16=""),"","、")</f>
        <v>、</v>
      </c>
      <c r="M16" s="2481" t="str">
        <f>IF(E17="","",E16&amp;TEXT(E17,"yyyy年m月d日;;"))</f>
        <v>地上商业2057年9月13日</v>
      </c>
      <c r="N16" s="1699" t="str">
        <f>IF(OR(M16="",O16=""),"","、")</f>
        <v/>
      </c>
      <c r="O16" s="2481" t="str">
        <f>IF(F17="","",F16&amp;TEXT(F17,"yyyy年m月d日;;"))</f>
        <v/>
      </c>
      <c r="P16" s="1699" t="str">
        <f>IF(OR(O16="",Q16=""),"","、")</f>
        <v/>
      </c>
      <c r="Q16" s="2481" t="str">
        <f>IF(G17="","",G16&amp;TEXT(G17,"yyyy年m月d日;;"))</f>
        <v>地下车库2067年9月13日</v>
      </c>
      <c r="R16" s="1699" t="str">
        <f>IF(OR(Q16="",S16=""),"","、")</f>
        <v/>
      </c>
      <c r="S16" s="2481" t="str">
        <f>IF(H17="","",H16&amp;TEXT(H17,"yyyy年m月d日;;"))</f>
        <v/>
      </c>
      <c r="T16" s="1699" t="str">
        <f>IF(OR(S16="",U16=""),"","、")</f>
        <v/>
      </c>
      <c r="U16" s="2481" t="str">
        <f>IF(I17="","",I16&amp;TEXT(I17,"yyyy年m月d日;;"))</f>
        <v/>
      </c>
    </row>
    <row r="17" spans="1:21">
      <c r="A17" s="1763"/>
      <c r="B17" s="1682"/>
      <c r="C17" s="1683" t="s">
        <v>1958</v>
      </c>
      <c r="D17" s="1700">
        <v>68558</v>
      </c>
      <c r="E17" s="1700">
        <v>57601</v>
      </c>
      <c r="F17" s="1700"/>
      <c r="G17" s="1700">
        <v>61253</v>
      </c>
      <c r="H17" s="1700"/>
      <c r="I17" s="1700"/>
      <c r="J17" s="1694"/>
      <c r="K17" s="2480" t="str">
        <f>CONCATENATE(K16,L16,M16,N16,O16,P16,Q16,R16,S16,T16,,U16)</f>
        <v>住宅2087年9月13日、地上商业2057年9月13日地下车库2067年9月13日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69.81</v>
      </c>
      <c r="E19" s="1685">
        <f>IF(B16="出让",IF(E17="","",ROUNDDOWN(MIN((E17-$D$3)/365,E18),2)),E18)</f>
        <v>39.79</v>
      </c>
      <c r="F19" s="1685" t="str">
        <f>IF(B16="出让",IF(F17="","",ROUNDDOWN(MIN((F17-$D$3)/365,F18),2)),F18)</f>
        <v/>
      </c>
      <c r="G19" s="1685">
        <f>IF(B16="出让",IF(G17="","",ROUNDDOWN(MIN((G17-$D$3)/365,G18),2)),G18)</f>
        <v>49.79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29"/>
      <c r="E20" s="3230"/>
      <c r="F20" s="3230"/>
      <c r="G20" s="3230"/>
      <c r="H20" s="3230"/>
      <c r="I20" s="3231"/>
      <c r="J20" s="1694"/>
      <c r="K20" s="1774"/>
      <c r="L20" s="1723"/>
      <c r="M20" s="1723"/>
      <c r="N20" s="1694"/>
      <c r="O20" s="1695"/>
      <c r="P20" s="1694"/>
      <c r="Q20" s="1694"/>
      <c r="R20" s="1694"/>
      <c r="S20" s="1694"/>
      <c r="T20" s="1694"/>
      <c r="U20" s="1694"/>
    </row>
    <row r="21" spans="1:21">
      <c r="A21" s="1763" t="s">
        <v>1961</v>
      </c>
      <c r="B21" s="1764" t="s">
        <v>1962</v>
      </c>
      <c r="C21" s="1759">
        <f>'数据-汇总表'!E3</f>
        <v>1839613.3399999999</v>
      </c>
      <c r="D21" s="1760" t="s">
        <v>1963</v>
      </c>
      <c r="E21" s="3219" t="s">
        <v>2001</v>
      </c>
      <c r="F21" s="3220"/>
      <c r="G21" s="3220"/>
      <c r="H21" s="3220"/>
      <c r="I21" s="3221"/>
      <c r="J21" s="1694"/>
      <c r="K21" s="1774"/>
      <c r="L21" s="1723"/>
      <c r="M21" s="1723"/>
      <c r="N21" s="1694"/>
      <c r="O21" s="1695"/>
      <c r="P21" s="1694"/>
      <c r="Q21" s="1694"/>
      <c r="R21" s="1694"/>
      <c r="S21" s="1694"/>
      <c r="T21" s="1694"/>
      <c r="U21" s="1694"/>
    </row>
    <row r="22" spans="1:21">
      <c r="A22" s="2663" t="s">
        <v>952</v>
      </c>
      <c r="B22" s="1661" t="s">
        <v>1964</v>
      </c>
      <c r="C22" s="1686">
        <f>'数据-汇总表'!D3</f>
        <v>664499.4</v>
      </c>
      <c r="D22" s="1687" t="s">
        <v>1963</v>
      </c>
      <c r="E22" s="3219" t="s">
        <v>2900</v>
      </c>
      <c r="F22" s="3220"/>
      <c r="G22" s="3220"/>
      <c r="H22" s="3220"/>
      <c r="I22" s="3221"/>
      <c r="J22" s="1694"/>
      <c r="K22" s="1774"/>
      <c r="L22" s="1723"/>
      <c r="M22" s="1723"/>
      <c r="N22" s="1694"/>
      <c r="O22" s="1695"/>
      <c r="P22" s="1694"/>
      <c r="Q22" s="1694"/>
      <c r="R22" s="1694"/>
      <c r="S22" s="1694"/>
      <c r="T22" s="1694"/>
      <c r="U22" s="1694"/>
    </row>
    <row r="23" spans="1:21" ht="29.2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22" t="s">
        <v>1969</v>
      </c>
      <c r="C24" s="3223"/>
      <c r="D24" s="3224" t="s">
        <v>1970</v>
      </c>
      <c r="E24" s="3225"/>
      <c r="F24" s="1708" t="s">
        <v>1971</v>
      </c>
      <c r="G24" s="1694"/>
      <c r="H24" s="1694"/>
      <c r="I24" s="1707"/>
      <c r="J24" s="1694"/>
      <c r="K24" s="3210" t="s">
        <v>1972</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10"/>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10"/>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77"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78"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78"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79"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37" t="s">
        <v>2004</v>
      </c>
      <c r="B31" s="1764" t="s">
        <v>2005</v>
      </c>
      <c r="C31" s="3235"/>
      <c r="D31" s="3236"/>
      <c r="E31" s="1694"/>
      <c r="F31" s="1694"/>
      <c r="G31" s="1694"/>
      <c r="H31" s="1694"/>
      <c r="I31" s="1707"/>
      <c r="J31" s="1694"/>
      <c r="K31" s="2483"/>
      <c r="L31" s="1694"/>
      <c r="M31" s="1694"/>
      <c r="N31" s="1694"/>
      <c r="O31" s="1694"/>
      <c r="P31" s="1694"/>
      <c r="Q31" s="1694"/>
      <c r="R31" s="1694"/>
      <c r="S31" s="1694"/>
      <c r="T31" s="1694"/>
      <c r="U31" s="1694"/>
    </row>
    <row r="32" spans="1:21">
      <c r="A32" s="3237"/>
      <c r="B32" s="1661" t="s">
        <v>2006</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37"/>
      <c r="B33" s="1661" t="s">
        <v>2007</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38"/>
      <c r="B34" s="1661" t="s">
        <v>2008</v>
      </c>
      <c r="C34" s="3239"/>
      <c r="D34" s="3240"/>
      <c r="E34" s="1694"/>
      <c r="F34" s="1694"/>
      <c r="G34" s="1694"/>
      <c r="H34" s="1694"/>
      <c r="I34" s="1707"/>
      <c r="J34" s="1694"/>
      <c r="K34" s="2483"/>
      <c r="L34" s="1694"/>
      <c r="M34" s="1694"/>
      <c r="N34" s="1694"/>
      <c r="O34" s="1694"/>
      <c r="P34" s="1694"/>
      <c r="Q34" s="1694"/>
      <c r="R34" s="1694"/>
      <c r="S34" s="1694"/>
      <c r="T34" s="1694"/>
      <c r="U34" s="1694"/>
    </row>
    <row r="35" spans="1:21">
      <c r="A35" s="3241" t="s">
        <v>847</v>
      </c>
      <c r="B35" s="1722"/>
      <c r="C35" s="1776" t="str">
        <f>IF(B35="场地平整","——","具体情况：")</f>
        <v>具体情况：</v>
      </c>
      <c r="D35" s="3243"/>
      <c r="E35" s="3244"/>
      <c r="F35" s="3244"/>
      <c r="G35" s="3244"/>
      <c r="H35" s="3244"/>
      <c r="I35" s="3245"/>
      <c r="J35" s="1694"/>
      <c r="K35" s="1775"/>
      <c r="L35" s="1723"/>
      <c r="M35" s="1723"/>
      <c r="N35" s="1694"/>
      <c r="O35" s="1695"/>
      <c r="P35" s="1694"/>
      <c r="Q35" s="1694"/>
      <c r="R35" s="1694"/>
      <c r="S35" s="1694"/>
      <c r="T35" s="1694"/>
      <c r="U35" s="1694"/>
    </row>
    <row r="36" spans="1:21">
      <c r="A36" s="3237"/>
      <c r="B36" s="3246" t="s">
        <v>2057</v>
      </c>
      <c r="C36" s="3247"/>
      <c r="D36" s="1792"/>
      <c r="E36" s="3248"/>
      <c r="F36" s="3248"/>
      <c r="G36" s="1687" t="str">
        <f>IF(B35="场地未平整","估价结果处理","")</f>
        <v/>
      </c>
      <c r="H36" s="3249"/>
      <c r="I36" s="3249"/>
      <c r="J36" s="1694"/>
      <c r="K36" s="1775"/>
      <c r="L36" s="1723"/>
      <c r="M36" s="1723"/>
      <c r="N36" s="1694"/>
      <c r="O36" s="1695"/>
      <c r="P36" s="1694"/>
      <c r="Q36" s="1694"/>
      <c r="R36" s="1694"/>
      <c r="S36" s="1694"/>
      <c r="T36" s="1694"/>
      <c r="U36" s="1694"/>
    </row>
    <row r="37" spans="1:21" ht="28.5">
      <c r="A37" s="3237"/>
      <c r="B37" s="3226"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37"/>
      <c r="B38" s="3227"/>
      <c r="C38" s="1669" t="s">
        <v>850</v>
      </c>
      <c r="D38" s="1791">
        <f>ROUNDDOWN(MIN(('数据-取费表'!$B$2-D37)/365,D34),1)</f>
        <v>118</v>
      </c>
      <c r="E38" s="1727" t="s">
        <v>851</v>
      </c>
      <c r="F38" s="1694"/>
      <c r="G38" s="1694"/>
      <c r="H38" s="1694"/>
      <c r="I38" s="1707"/>
      <c r="J38" s="1694"/>
      <c r="K38" s="1775"/>
      <c r="L38" s="1694"/>
      <c r="M38" s="1694"/>
      <c r="N38" s="1694"/>
      <c r="O38" s="1694"/>
      <c r="P38" s="1694"/>
      <c r="Q38" s="1694"/>
      <c r="R38" s="1694"/>
      <c r="S38" s="1694"/>
      <c r="T38" s="1694"/>
      <c r="U38" s="1694"/>
    </row>
    <row r="39" spans="1:21">
      <c r="A39" s="3238"/>
      <c r="B39" s="322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09" t="s">
        <v>1988</v>
      </c>
      <c r="T40" s="1731" t="str">
        <f>NUMBERSTRING(7-K40,1)&amp;"通"</f>
        <v>七通</v>
      </c>
      <c r="U40" s="1694"/>
    </row>
    <row r="41" spans="1:21" ht="28.5">
      <c r="A41" s="1663"/>
      <c r="B41" s="3242" t="s">
        <v>1722</v>
      </c>
      <c r="C41" s="3242"/>
      <c r="D41" s="3242"/>
      <c r="E41" s="3242"/>
      <c r="F41" s="1732" t="str">
        <f>C10</f>
        <v>郑州市荥阳市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09"/>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2901</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W13" activePane="bottomRight" state="frozen"/>
      <selection pane="topRight" activeCell="E1" sqref="E1"/>
      <selection pane="bottomLeft" activeCell="A12" sqref="A12"/>
      <selection pane="bottomRight" activeCell="AD14" sqref="A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面积!E2</f>
        <v>666666.69999999995</v>
      </c>
      <c r="B3" s="22">
        <f>IF(C3="否",G5-AT5,G5)</f>
        <v>1845613.3399999999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1845613.3399999999</v>
      </c>
      <c r="H5" s="27">
        <f t="shared" ref="H5:AT5" si="0">SUM(H13:H641)</f>
        <v>1368374.3399999999</v>
      </c>
      <c r="I5" s="27">
        <f t="shared" si="0"/>
        <v>1299666.67</v>
      </c>
      <c r="J5" s="27">
        <f t="shared" si="0"/>
        <v>0</v>
      </c>
      <c r="K5" s="27">
        <f t="shared" si="0"/>
        <v>57666.67</v>
      </c>
      <c r="L5" s="27">
        <f t="shared" si="0"/>
        <v>0</v>
      </c>
      <c r="M5" s="27">
        <f t="shared" si="0"/>
        <v>11041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477239</v>
      </c>
      <c r="AD5" s="27">
        <f t="shared" si="0"/>
        <v>16000</v>
      </c>
      <c r="AE5" s="27">
        <f t="shared" si="0"/>
        <v>0</v>
      </c>
      <c r="AF5" s="27">
        <f t="shared" si="0"/>
        <v>0</v>
      </c>
      <c r="AG5" s="27">
        <f t="shared" si="0"/>
        <v>0</v>
      </c>
      <c r="AH5" s="27">
        <f t="shared" si="0"/>
        <v>0</v>
      </c>
      <c r="AI5" s="27">
        <f t="shared" si="0"/>
        <v>0</v>
      </c>
      <c r="AJ5" s="27">
        <f t="shared" si="0"/>
        <v>0</v>
      </c>
      <c r="AK5" s="27">
        <f t="shared" si="0"/>
        <v>0</v>
      </c>
      <c r="AL5" s="27">
        <f t="shared" si="0"/>
        <v>461239</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1839613.3399999999</v>
      </c>
      <c r="BA5" s="29">
        <f t="shared" si="1"/>
        <v>1368374.3399999999</v>
      </c>
      <c r="BB5" s="29">
        <f t="shared" si="1"/>
        <v>1299666.67</v>
      </c>
      <c r="BC5" s="29">
        <f t="shared" si="1"/>
        <v>57666.67</v>
      </c>
      <c r="BD5" s="29">
        <f t="shared" si="1"/>
        <v>11041</v>
      </c>
      <c r="BE5" s="29">
        <f t="shared" si="1"/>
        <v>0</v>
      </c>
      <c r="BF5" s="29">
        <f t="shared" si="1"/>
        <v>0</v>
      </c>
      <c r="BG5" s="29">
        <f t="shared" si="1"/>
        <v>0</v>
      </c>
      <c r="BH5" s="29">
        <f t="shared" si="1"/>
        <v>0</v>
      </c>
      <c r="BI5" s="29">
        <f t="shared" si="1"/>
        <v>0</v>
      </c>
      <c r="BJ5" s="29">
        <f t="shared" si="1"/>
        <v>0</v>
      </c>
      <c r="BK5" s="29">
        <f t="shared" si="1"/>
        <v>0</v>
      </c>
      <c r="BL5" s="29">
        <f t="shared" si="1"/>
        <v>471239</v>
      </c>
      <c r="BM5" s="29">
        <f t="shared" si="1"/>
        <v>10000</v>
      </c>
      <c r="BN5" s="29">
        <f t="shared" si="1"/>
        <v>0</v>
      </c>
      <c r="BO5" s="29">
        <f t="shared" si="1"/>
        <v>0</v>
      </c>
      <c r="BP5" s="29">
        <f t="shared" si="1"/>
        <v>0</v>
      </c>
      <c r="BQ5" s="29">
        <f t="shared" si="1"/>
        <v>461239</v>
      </c>
      <c r="BR5" s="29">
        <f t="shared" si="1"/>
        <v>0</v>
      </c>
      <c r="BS5" s="29">
        <f t="shared" si="1"/>
        <v>0</v>
      </c>
      <c r="BT5" s="30">
        <f t="shared" si="1"/>
        <v>0</v>
      </c>
    </row>
    <row r="6" spans="1:72" s="37" customFormat="1" ht="12.75">
      <c r="A6" s="26" t="s">
        <v>169</v>
      </c>
      <c r="B6" s="31"/>
      <c r="C6" s="31"/>
      <c r="D6" s="32"/>
      <c r="E6" s="27">
        <f>H6+AC6+AT6</f>
        <v>666666.68999999994</v>
      </c>
      <c r="F6" s="27" t="s">
        <v>1</v>
      </c>
      <c r="G6" s="27" t="s">
        <v>2</v>
      </c>
      <c r="H6" s="33">
        <f>SUMIF(I$12:AB$12,"总值",I6:AB6)</f>
        <v>494279.91</v>
      </c>
      <c r="I6" s="27">
        <f t="shared" ref="I6:AB6" si="2">ROUND($A$3*I5/$B$3,2)</f>
        <v>469461.54</v>
      </c>
      <c r="J6" s="27">
        <f t="shared" si="2"/>
        <v>0</v>
      </c>
      <c r="K6" s="27">
        <f t="shared" si="2"/>
        <v>20830.169999999998</v>
      </c>
      <c r="L6" s="27">
        <f t="shared" si="2"/>
        <v>0</v>
      </c>
      <c r="M6" s="27">
        <f t="shared" si="2"/>
        <v>3988.2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172386.78</v>
      </c>
      <c r="AD6" s="27">
        <f t="shared" ref="AD6:AS6" si="3">ROUND($A$3*AD5/$B$3,2)</f>
        <v>5779.47</v>
      </c>
      <c r="AE6" s="27">
        <f t="shared" si="3"/>
        <v>0</v>
      </c>
      <c r="AF6" s="27">
        <f t="shared" si="3"/>
        <v>0</v>
      </c>
      <c r="AG6" s="27">
        <f t="shared" si="3"/>
        <v>0</v>
      </c>
      <c r="AH6" s="27">
        <f t="shared" si="3"/>
        <v>0</v>
      </c>
      <c r="AI6" s="27">
        <f t="shared" si="3"/>
        <v>0</v>
      </c>
      <c r="AJ6" s="27">
        <f t="shared" si="3"/>
        <v>0</v>
      </c>
      <c r="AK6" s="27">
        <f t="shared" si="3"/>
        <v>0</v>
      </c>
      <c r="AL6" s="27">
        <f t="shared" si="3"/>
        <v>166607.31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664499.4</v>
      </c>
      <c r="AZ6" s="27" t="s">
        <v>3</v>
      </c>
      <c r="BA6" s="27">
        <f>ROUND($AY$6*BA5/$AZ$5,2)</f>
        <v>494279.92</v>
      </c>
      <c r="BB6" s="27">
        <f>ROUND($AY$6*BB5/$AZ$5,2)</f>
        <v>469461.55</v>
      </c>
      <c r="BC6" s="27">
        <f t="shared" ref="BC6:BH6" si="4">ROUND($AY$6*BC5/$AZ$5,2)</f>
        <v>20830.169999999998</v>
      </c>
      <c r="BD6" s="27">
        <f t="shared" si="4"/>
        <v>3988.2</v>
      </c>
      <c r="BE6" s="27">
        <f t="shared" si="4"/>
        <v>0</v>
      </c>
      <c r="BF6" s="27">
        <f t="shared" si="4"/>
        <v>0</v>
      </c>
      <c r="BG6" s="27">
        <f t="shared" si="4"/>
        <v>0</v>
      </c>
      <c r="BH6" s="27">
        <f t="shared" si="4"/>
        <v>0</v>
      </c>
      <c r="BI6" s="27">
        <f t="shared" ref="BI6:BT6" si="5">ROUND($AY$6*BI5/$AZ$5,2)</f>
        <v>0</v>
      </c>
      <c r="BJ6" s="27">
        <f t="shared" si="5"/>
        <v>0</v>
      </c>
      <c r="BK6" s="27">
        <f t="shared" si="5"/>
        <v>0</v>
      </c>
      <c r="BL6" s="27">
        <f t="shared" si="5"/>
        <v>170219.48</v>
      </c>
      <c r="BM6" s="27">
        <f t="shared" si="5"/>
        <v>3612.17</v>
      </c>
      <c r="BN6" s="27">
        <f t="shared" si="5"/>
        <v>0</v>
      </c>
      <c r="BO6" s="27">
        <f t="shared" si="5"/>
        <v>0</v>
      </c>
      <c r="BP6" s="27">
        <f t="shared" si="5"/>
        <v>0</v>
      </c>
      <c r="BQ6" s="27">
        <f t="shared" si="5"/>
        <v>166607.31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6" t="s">
        <v>2990</v>
      </c>
      <c r="J9" s="51"/>
      <c r="K9" s="3046" t="s">
        <v>2990</v>
      </c>
      <c r="L9" s="51"/>
      <c r="M9" s="3046" t="s">
        <v>3101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6" t="s">
        <v>923</v>
      </c>
      <c r="J10" s="51"/>
      <c r="K10" s="3048" t="s">
        <v>3100</v>
      </c>
      <c r="L10" s="51"/>
      <c r="M10" s="3048" t="s">
        <v>3102</v>
      </c>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c r="J11" s="71"/>
      <c r="K11" s="3047"/>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c r="C13" s="3041"/>
      <c r="D13" s="3042" t="s">
        <v>1679</v>
      </c>
      <c r="E13" s="27">
        <f t="shared" ref="E13:E20" si="6">IF($C$3="是",ROUND($A$3*G13/$B$3,2),ROUND($A$3*(G13-AT13)/$B$3,2))</f>
        <v>664499.4</v>
      </c>
      <c r="F13" s="81"/>
      <c r="G13" s="82">
        <f t="shared" ref="G13:G20" si="7">H13+AC13+AT13</f>
        <v>1839613.3399999999</v>
      </c>
      <c r="H13" s="33">
        <f t="shared" ref="H13:H20" si="8">SUMIF(I$12:AB$12,"总值",I13:AB13)</f>
        <v>1368374.3399999999</v>
      </c>
      <c r="I13" s="3045">
        <f>面积!E9</f>
        <v>1299666.67</v>
      </c>
      <c r="J13" s="3045"/>
      <c r="K13" s="3045">
        <f>面积!E10+面积!E11</f>
        <v>57666.67</v>
      </c>
      <c r="L13" s="3045"/>
      <c r="M13" s="3045">
        <f>面积!E15</f>
        <v>11041</v>
      </c>
      <c r="N13" s="83"/>
      <c r="O13" s="83"/>
      <c r="P13" s="83"/>
      <c r="Q13" s="83"/>
      <c r="R13" s="83"/>
      <c r="S13" s="83"/>
      <c r="T13" s="83"/>
      <c r="U13" s="83"/>
      <c r="V13" s="83"/>
      <c r="W13" s="83"/>
      <c r="X13" s="83"/>
      <c r="Y13" s="83"/>
      <c r="Z13" s="83"/>
      <c r="AA13" s="83"/>
      <c r="AB13" s="83"/>
      <c r="AC13" s="27">
        <f t="shared" ref="AC13:AC20" si="9">SUMIF(AD$12:AS$12,"总值",AD13:AS13)</f>
        <v>471239</v>
      </c>
      <c r="AD13" s="3049">
        <f>面积!E13</f>
        <v>10000</v>
      </c>
      <c r="AE13" s="3049"/>
      <c r="AF13" s="3049"/>
      <c r="AG13" s="3049"/>
      <c r="AH13" s="3049"/>
      <c r="AI13" s="3049"/>
      <c r="AJ13" s="3049"/>
      <c r="AK13" s="3049"/>
      <c r="AL13" s="3049">
        <f>面积!C16</f>
        <v>461239</v>
      </c>
      <c r="AM13" s="3049"/>
      <c r="AN13" s="3049"/>
      <c r="AO13" s="3049"/>
      <c r="AP13" s="3049"/>
      <c r="AQ13" s="3049"/>
      <c r="AR13" s="3049"/>
      <c r="AS13" s="3049"/>
      <c r="AT13" s="3050"/>
      <c r="AU13" s="3051"/>
      <c r="AV13" s="17">
        <f t="shared" ref="AV13:AX20" si="10">A13</f>
        <v>0</v>
      </c>
      <c r="AW13" s="17">
        <f t="shared" si="10"/>
        <v>0</v>
      </c>
      <c r="AX13" s="17">
        <f t="shared" si="10"/>
        <v>0</v>
      </c>
      <c r="AY13" s="996">
        <f t="shared" ref="AY13:AY20" si="11">ROUND($AY$6*AZ13/$AZ$5,2)</f>
        <v>664499.4</v>
      </c>
      <c r="AZ13" s="27">
        <f t="shared" ref="AZ13:AZ20" si="12">BA13+BL13</f>
        <v>1839613.3399999999</v>
      </c>
      <c r="BA13" s="27">
        <f t="shared" ref="BA13:BA20" si="13">SUM(BB13:BK13)</f>
        <v>1368374.3399999999</v>
      </c>
      <c r="BB13" s="27">
        <f t="shared" ref="BB13:BB20" si="14">IF($D13="是",I13-J13,0)</f>
        <v>1299666.67</v>
      </c>
      <c r="BC13" s="27">
        <f t="shared" ref="BC13:BC20" si="15">IF($D13="是",K13-L13,0)</f>
        <v>57666.67</v>
      </c>
      <c r="BD13" s="27">
        <f t="shared" ref="BD13:BD20" si="16">IF($D13="是",M13-N13,0)</f>
        <v>11041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471239</v>
      </c>
      <c r="BM13" s="27">
        <f t="shared" ref="BM13:BM20" si="25">IF($D13="是",AD13-AE13,0)</f>
        <v>10000</v>
      </c>
      <c r="BN13" s="27">
        <f t="shared" ref="BN13:BN20" si="26">IF($D13="是",AF13-AG13,0)</f>
        <v>0</v>
      </c>
      <c r="BO13" s="27">
        <f t="shared" ref="BO13:BO20" si="27">IF($D13="是",AH13-AI13,0)</f>
        <v>0</v>
      </c>
      <c r="BP13" s="27">
        <f t="shared" ref="BP13:BP20" si="28">IF($D13="是",AJ13-AK13,0)</f>
        <v>0</v>
      </c>
      <c r="BQ13" s="27">
        <f t="shared" ref="BQ13:BQ20" si="29">IF($D13="是",AL13-AM13,0)</f>
        <v>461239</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t="s">
        <v>3103</v>
      </c>
      <c r="E14" s="27">
        <f t="shared" si="6"/>
        <v>2167.3000000000002</v>
      </c>
      <c r="F14" s="81"/>
      <c r="G14" s="82">
        <f t="shared" si="7"/>
        <v>6000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6000</v>
      </c>
      <c r="AD14" s="3049">
        <f>面积!E12</f>
        <v>6000</v>
      </c>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1" t="s">
        <v>203</v>
      </c>
      <c r="B2" s="3261"/>
      <c r="C2" s="3261"/>
      <c r="D2" s="1976" t="s">
        <v>204</v>
      </c>
      <c r="E2" s="106" t="s">
        <v>205</v>
      </c>
      <c r="F2" s="1985"/>
      <c r="G2" s="1198"/>
      <c r="H2" s="1199"/>
      <c r="I2" s="1200" t="s">
        <v>857</v>
      </c>
      <c r="J2" s="1985"/>
      <c r="K2" s="1985"/>
      <c r="L2" s="1985"/>
    </row>
    <row r="3" spans="1:16" ht="15.75" thickBot="1">
      <c r="A3" s="3262" t="s">
        <v>206</v>
      </c>
      <c r="B3" s="3262"/>
      <c r="C3" s="3262"/>
      <c r="D3" s="107">
        <f>'数据-基础表'!AY6</f>
        <v>664499.4</v>
      </c>
      <c r="E3" s="107">
        <f>'数据-基础表'!AZ5</f>
        <v>1839613.3399999999</v>
      </c>
      <c r="F3" s="1985"/>
      <c r="G3" s="280" t="s">
        <v>858</v>
      </c>
      <c r="H3" s="275" t="s">
        <v>859</v>
      </c>
      <c r="I3" s="1977">
        <f>ROUND('数据-基础表'!B3/'数据-基础表'!A3,2)</f>
        <v>2.77</v>
      </c>
      <c r="J3" s="1985"/>
      <c r="K3" s="1985"/>
      <c r="L3" s="1985"/>
    </row>
    <row r="4" spans="1:16" ht="15">
      <c r="A4" s="3263"/>
      <c r="B4" s="3264"/>
      <c r="C4" s="3265"/>
      <c r="D4" s="108" t="s">
        <v>204</v>
      </c>
      <c r="E4" s="109" t="s">
        <v>205</v>
      </c>
      <c r="F4" s="1985"/>
      <c r="G4" s="1201"/>
      <c r="H4" s="275" t="s">
        <v>860</v>
      </c>
      <c r="I4" s="1977">
        <f>ROUND(SUMIF('数据-基础表'!I9:AS9,"地上",'数据-基础表'!I5:AS5)/'数据-基础表'!A3,2)</f>
        <v>2.75</v>
      </c>
      <c r="J4" s="1985"/>
      <c r="K4" s="1985"/>
      <c r="L4" s="1985"/>
    </row>
    <row r="5" spans="1:16">
      <c r="A5" s="110" t="s">
        <v>207</v>
      </c>
      <c r="B5" s="3266" t="s">
        <v>230</v>
      </c>
      <c r="C5" s="3266"/>
      <c r="D5" s="111">
        <f>ROUND($D$3*E5/$E$3,2)</f>
        <v>469461.55</v>
      </c>
      <c r="E5" s="112">
        <f>SUMIF('数据-基础表'!$11:$11,"住宅",'数据-基础表'!$5:$5)</f>
        <v>1299666.67</v>
      </c>
      <c r="F5" s="1985"/>
      <c r="G5" s="280" t="s">
        <v>861</v>
      </c>
      <c r="H5" s="275" t="s">
        <v>859</v>
      </c>
      <c r="I5" s="1977">
        <f>ROUND(E31/D31,2)</f>
        <v>2.77</v>
      </c>
      <c r="J5" s="1985"/>
      <c r="K5" s="1985"/>
      <c r="L5" s="1985"/>
    </row>
    <row r="6" spans="1:16" ht="15" thickBot="1">
      <c r="A6" s="113"/>
      <c r="B6" s="3266" t="s">
        <v>208</v>
      </c>
      <c r="C6" s="3266"/>
      <c r="D6" s="111">
        <f>ROUND($D$3*E6/$E$3,2)</f>
        <v>195037.85</v>
      </c>
      <c r="E6" s="112">
        <f>E3-E5</f>
        <v>539946.66999999993</v>
      </c>
      <c r="F6" s="1985"/>
      <c r="G6" s="1201"/>
      <c r="H6" s="275" t="s">
        <v>860</v>
      </c>
      <c r="I6" s="1977">
        <f>ROUND(F31/D31,2)</f>
        <v>2.75</v>
      </c>
      <c r="J6" s="1985"/>
      <c r="K6" s="1985"/>
      <c r="L6" s="1985"/>
    </row>
    <row r="7" spans="1:16" ht="15">
      <c r="A7" s="3258"/>
      <c r="B7" s="3259"/>
      <c r="C7" s="3260"/>
      <c r="D7" s="108" t="s">
        <v>204</v>
      </c>
      <c r="E7" s="114" t="s">
        <v>231</v>
      </c>
      <c r="F7" s="1985"/>
      <c r="G7" s="1156" t="s">
        <v>1646</v>
      </c>
      <c r="H7" s="1157"/>
      <c r="I7" s="1847">
        <v>4</v>
      </c>
      <c r="J7" s="1985"/>
      <c r="K7" s="1985"/>
      <c r="L7" s="1985"/>
    </row>
    <row r="8" spans="1:16">
      <c r="A8" s="110" t="s">
        <v>209</v>
      </c>
      <c r="B8" s="115" t="s">
        <v>210</v>
      </c>
      <c r="C8" s="111" t="s">
        <v>211</v>
      </c>
      <c r="D8" s="111">
        <f t="shared" ref="D8:D15" si="0">ROUND($D$3*E8/$E$3,2)</f>
        <v>490291.72</v>
      </c>
      <c r="E8" s="116">
        <f>SUMIF('数据-基础表'!BB10:BK10,"地上",'数据-基础表'!BB5:BK5)</f>
        <v>1357333.3399999999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3988.2</v>
      </c>
      <c r="E13" s="116">
        <f>SUMPRODUCT(('数据-基础表'!BB10:BK10="地下")*('数据-基础表'!BB11:BK11="车库")*('数据-基础表'!BB5:BK5))</f>
        <v>11041</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494279.92</v>
      </c>
      <c r="E16" s="120">
        <f>SUM(E8:E15)</f>
        <v>1368374.3399999999</v>
      </c>
      <c r="F16" s="1985"/>
      <c r="G16" s="1987"/>
      <c r="H16" s="968" t="s">
        <v>219</v>
      </c>
      <c r="I16" s="969"/>
      <c r="J16" s="1985"/>
      <c r="K16" s="3252" t="s">
        <v>2572</v>
      </c>
      <c r="L16" s="3253"/>
      <c r="M16" s="3253"/>
      <c r="N16" s="3253"/>
      <c r="O16" s="3253"/>
      <c r="P16" s="3254"/>
    </row>
    <row r="17" spans="1:19" ht="15">
      <c r="A17" s="121" t="s">
        <v>216</v>
      </c>
      <c r="B17" s="122" t="s">
        <v>217</v>
      </c>
      <c r="C17" s="2299" t="s">
        <v>2316</v>
      </c>
      <c r="D17" s="108" t="s">
        <v>204</v>
      </c>
      <c r="E17" s="124" t="s">
        <v>205</v>
      </c>
      <c r="F17" s="125"/>
      <c r="G17" s="1366"/>
      <c r="H17" s="970" t="s">
        <v>218</v>
      </c>
      <c r="I17" s="971" t="s">
        <v>2315</v>
      </c>
      <c r="J17" s="1985"/>
      <c r="K17" s="3255" t="s">
        <v>2573</v>
      </c>
      <c r="L17" s="3256"/>
      <c r="M17" s="3257"/>
      <c r="N17" s="3255" t="s">
        <v>2574</v>
      </c>
      <c r="O17" s="3256"/>
      <c r="P17" s="3257"/>
      <c r="R17" s="2300" t="s">
        <v>2314</v>
      </c>
      <c r="S17" s="144"/>
    </row>
    <row r="18" spans="1:19" ht="15">
      <c r="A18" s="117"/>
      <c r="B18" s="128"/>
      <c r="C18" s="129"/>
      <c r="D18" s="2668"/>
      <c r="E18" s="130" t="s">
        <v>220</v>
      </c>
      <c r="F18" s="131" t="s">
        <v>221</v>
      </c>
      <c r="G18" s="1367" t="s">
        <v>222</v>
      </c>
      <c r="H18" s="972" t="s">
        <v>223</v>
      </c>
      <c r="I18" s="973" t="s">
        <v>224</v>
      </c>
      <c r="J18" s="1985"/>
      <c r="K18" s="2630" t="s">
        <v>2575</v>
      </c>
      <c r="L18" s="2631" t="s">
        <v>2576</v>
      </c>
      <c r="M18" s="2632" t="s">
        <v>2577</v>
      </c>
      <c r="N18" s="2630" t="s">
        <v>2575</v>
      </c>
      <c r="O18" s="2631" t="s">
        <v>2576</v>
      </c>
      <c r="P18" s="2632" t="s">
        <v>2577</v>
      </c>
      <c r="R18" s="2301" t="s">
        <v>2312</v>
      </c>
      <c r="S18" s="2301" t="s">
        <v>2313</v>
      </c>
    </row>
    <row r="19" spans="1:19">
      <c r="A19" s="133"/>
      <c r="B19" s="115" t="s">
        <v>225</v>
      </c>
      <c r="C19" s="3052" t="s">
        <v>2991</v>
      </c>
      <c r="D19" s="111">
        <f t="shared" ref="D19:D26" si="1">ROUND($D$3*E19/$E$3,2)</f>
        <v>469461.55</v>
      </c>
      <c r="E19" s="134">
        <f t="shared" ref="E19:E26" si="2">SUM(F19:G19)</f>
        <v>1299666.67</v>
      </c>
      <c r="F19" s="135">
        <f>面积!E9</f>
        <v>1299666.67</v>
      </c>
      <c r="G19" s="1368"/>
      <c r="H19" s="974">
        <f>ROUND($D$3*I19/$E$3,2)</f>
        <v>161853.94</v>
      </c>
      <c r="I19" s="116">
        <f>IF($I$17="自定义",P19,M19)</f>
        <v>448079.65</v>
      </c>
      <c r="J19" s="1985"/>
      <c r="K19" s="2633">
        <f t="shared" ref="K19:K26" si="3">ROUND(E$28*E19/E$27,2)</f>
        <v>438079.65</v>
      </c>
      <c r="L19" s="275">
        <f t="shared" ref="L19:L26" si="4">ROUND(IF(COUNTIF(C19,"*住宅*")&gt;0,E$29*E19/E$32,0),2)</f>
        <v>10000</v>
      </c>
      <c r="M19" s="2634">
        <f>K19+L19</f>
        <v>448079.65</v>
      </c>
      <c r="N19" s="2635"/>
      <c r="O19" s="2636"/>
      <c r="P19" s="2637">
        <f>N19+O19</f>
        <v>0</v>
      </c>
      <c r="R19" s="275">
        <f t="shared" ref="R19:S26" si="5">D19+H19</f>
        <v>631315.49</v>
      </c>
      <c r="S19" s="2302">
        <f t="shared" si="5"/>
        <v>1747746.3199999998</v>
      </c>
    </row>
    <row r="20" spans="1:19">
      <c r="A20" s="138"/>
      <c r="B20" s="115" t="s">
        <v>226</v>
      </c>
      <c r="C20" s="3052" t="s">
        <v>3105</v>
      </c>
      <c r="D20" s="111">
        <f t="shared" si="1"/>
        <v>20830.169999999998</v>
      </c>
      <c r="E20" s="134">
        <f t="shared" si="2"/>
        <v>57666.67</v>
      </c>
      <c r="F20" s="135">
        <f>面积!E10+面积!E11</f>
        <v>57666.67</v>
      </c>
      <c r="G20" s="1368"/>
      <c r="H20" s="974">
        <f t="shared" ref="H20:H26" si="6">ROUND($D$3*I20/$E$3,2)</f>
        <v>7021.24</v>
      </c>
      <c r="I20" s="116">
        <f t="shared" ref="I20:I26" si="7">IF($I$17="自定义",P20,M20)</f>
        <v>19437.75</v>
      </c>
      <c r="J20" s="1985"/>
      <c r="K20" s="2633">
        <f t="shared" si="3"/>
        <v>19437.75</v>
      </c>
      <c r="L20" s="275">
        <f t="shared" si="4"/>
        <v>0</v>
      </c>
      <c r="M20" s="2634">
        <f t="shared" ref="M20:M26" si="8">K20+L20</f>
        <v>19437.75</v>
      </c>
      <c r="N20" s="2635"/>
      <c r="O20" s="2636"/>
      <c r="P20" s="2637">
        <f t="shared" ref="P20:P26" si="9">N20+O20</f>
        <v>0</v>
      </c>
      <c r="R20" s="275">
        <f t="shared" si="5"/>
        <v>27851.409999999996</v>
      </c>
      <c r="S20" s="2302">
        <f t="shared" si="5"/>
        <v>77104.42</v>
      </c>
    </row>
    <row r="21" spans="1:19">
      <c r="A21" s="138"/>
      <c r="B21" s="115" t="s">
        <v>226</v>
      </c>
      <c r="C21" s="3052" t="s">
        <v>3104</v>
      </c>
      <c r="D21" s="111">
        <f t="shared" si="1"/>
        <v>3988.2</v>
      </c>
      <c r="E21" s="134">
        <f t="shared" si="2"/>
        <v>11041</v>
      </c>
      <c r="F21" s="135"/>
      <c r="G21" s="1368">
        <f>面积!E15</f>
        <v>11041</v>
      </c>
      <c r="H21" s="974">
        <f t="shared" si="6"/>
        <v>1344.3</v>
      </c>
      <c r="I21" s="116">
        <f t="shared" si="7"/>
        <v>3721.6</v>
      </c>
      <c r="J21" s="1985"/>
      <c r="K21" s="2633">
        <f t="shared" si="3"/>
        <v>3721.6</v>
      </c>
      <c r="L21" s="275">
        <f t="shared" si="4"/>
        <v>0</v>
      </c>
      <c r="M21" s="2634">
        <f t="shared" si="8"/>
        <v>3721.6</v>
      </c>
      <c r="N21" s="2635"/>
      <c r="O21" s="2636"/>
      <c r="P21" s="2637">
        <f t="shared" si="9"/>
        <v>0</v>
      </c>
      <c r="R21" s="275">
        <f t="shared" si="5"/>
        <v>5332.5</v>
      </c>
      <c r="S21" s="2302">
        <f t="shared" si="5"/>
        <v>14762.6</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494279.92</v>
      </c>
      <c r="E27" s="143">
        <f>IF(SUM(E19:E26)='数据-基础表'!BA5,SUM(E19:E26),IF(F27="地上面积有误","面积有误","地下面积有误"))</f>
        <v>1368374.3399999999</v>
      </c>
      <c r="F27" s="134">
        <f>IF(SUM(F19:F26)=E8,SUM(F19:F26),"地上面积有误")</f>
        <v>1357333.3399999999</v>
      </c>
      <c r="G27" s="112">
        <f>SUM(G19:G26)</f>
        <v>11041</v>
      </c>
      <c r="H27" s="975">
        <f>SUM(H19:H26)</f>
        <v>170219.47999999998</v>
      </c>
      <c r="I27" s="976">
        <f>SUM(I19:I26)</f>
        <v>471239</v>
      </c>
      <c r="J27" s="1985"/>
      <c r="K27" s="2642">
        <f>SUM(K19:K26)</f>
        <v>461239</v>
      </c>
      <c r="L27" s="2643">
        <f>SUM(L19:L26)</f>
        <v>10000</v>
      </c>
      <c r="M27" s="2644">
        <f>SUM(M19:M26)</f>
        <v>471239</v>
      </c>
      <c r="N27" s="2642">
        <f t="shared" ref="N27:O27" si="10">SUM(N19:N26)</f>
        <v>0</v>
      </c>
      <c r="O27" s="2643">
        <f t="shared" si="10"/>
        <v>0</v>
      </c>
      <c r="P27" s="2645">
        <f>SUM(P19:P26)</f>
        <v>0</v>
      </c>
      <c r="R27" s="2306">
        <f>IF(SUM(R19:R26)=$D$3,SUM(R19:R26),SUM(R19:R26)&amp;"误差"&amp;ROUND(SUM(R19:R26)-$D$3,2))</f>
        <v>664499.4</v>
      </c>
      <c r="S27" s="275">
        <f>IF(SUM(S19:S26)=$E$3,SUM(S19:S26),SUM(S19:S26)&amp;"误差"&amp;ROUND(SUM(S19:S26)-E3,2))</f>
        <v>1839613.3399999999</v>
      </c>
    </row>
    <row r="28" spans="1:19">
      <c r="A28" s="138"/>
      <c r="B28" s="115" t="s">
        <v>227</v>
      </c>
      <c r="C28" s="136" t="s">
        <v>228</v>
      </c>
      <c r="D28" s="111">
        <f>ROUND($D$3*E28/$E$3,2)</f>
        <v>166607.31</v>
      </c>
      <c r="E28" s="134">
        <f>SUM(F28:G28)</f>
        <v>461239</v>
      </c>
      <c r="F28" s="144">
        <f>'数据-基础表'!BQ5+'数据-基础表'!BS5</f>
        <v>461239</v>
      </c>
      <c r="G28" s="145">
        <f>'数据-基础表'!BR5+'数据-基础表'!BT5</f>
        <v>0</v>
      </c>
      <c r="H28" s="1985"/>
      <c r="I28" s="1985"/>
      <c r="J28" s="1985"/>
      <c r="K28" s="1985"/>
      <c r="L28" s="1985"/>
    </row>
    <row r="29" spans="1:19">
      <c r="A29" s="138"/>
      <c r="B29" s="115" t="s">
        <v>227</v>
      </c>
      <c r="C29" s="2314" t="s">
        <v>2323</v>
      </c>
      <c r="D29" s="111">
        <f>ROUND($D$3*E29/$E$3,2)</f>
        <v>3612.17</v>
      </c>
      <c r="E29" s="134">
        <f>SUM(F29:G29)</f>
        <v>10000</v>
      </c>
      <c r="F29" s="144">
        <f>'数据-基础表'!BM5+'数据-基础表'!BO5</f>
        <v>10000</v>
      </c>
      <c r="G29" s="146">
        <f>'数据-基础表'!BN5+'数据-基础表'!BP5</f>
        <v>0</v>
      </c>
      <c r="H29" s="1985"/>
      <c r="I29" s="1985"/>
      <c r="J29" s="1985"/>
      <c r="K29" s="1985"/>
      <c r="L29" s="1985"/>
    </row>
    <row r="30" spans="1:19">
      <c r="A30" s="138"/>
      <c r="B30" s="111"/>
      <c r="C30" s="147" t="s">
        <v>215</v>
      </c>
      <c r="D30" s="134">
        <f>SUM(D28:D29)</f>
        <v>170219.48</v>
      </c>
      <c r="E30" s="134">
        <f>SUM(E28:E29)</f>
        <v>471239</v>
      </c>
      <c r="F30" s="134">
        <f>SUM(F28:F29)</f>
        <v>471239</v>
      </c>
      <c r="G30" s="112">
        <f>SUM(G28:G29)</f>
        <v>0</v>
      </c>
      <c r="H30" s="1985"/>
      <c r="I30" s="1985"/>
      <c r="J30" s="1985"/>
      <c r="K30" s="1985"/>
      <c r="L30" s="1985"/>
    </row>
    <row r="31" spans="1:19" ht="32.25" customHeight="1" thickBot="1">
      <c r="A31" s="1370"/>
      <c r="B31" s="1371" t="s">
        <v>229</v>
      </c>
      <c r="C31" s="2331" t="s">
        <v>2325</v>
      </c>
      <c r="D31" s="1372">
        <f>D27+D30</f>
        <v>664499.4</v>
      </c>
      <c r="E31" s="1372">
        <f>E27+E30</f>
        <v>1839613.3399999999</v>
      </c>
      <c r="F31" s="1373">
        <f>F27+F30</f>
        <v>1828572.3399999999</v>
      </c>
      <c r="G31" s="1374">
        <f>G27+G30</f>
        <v>11041</v>
      </c>
      <c r="H31" s="1985"/>
      <c r="I31" s="1985"/>
      <c r="J31" s="1985"/>
      <c r="K31" s="1985"/>
      <c r="L31" s="1985"/>
    </row>
    <row r="32" spans="1:19">
      <c r="A32" s="1985"/>
      <c r="B32" s="2364" t="s">
        <v>2324</v>
      </c>
      <c r="C32" s="2673"/>
      <c r="D32" s="1201"/>
      <c r="E32" s="1201">
        <f>SUMIF(C19:C26,"*住宅*",E19:E26)</f>
        <v>1299666.67</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6" sqref="J2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43077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2836</v>
      </c>
      <c r="O5" s="163" t="s">
        <v>246</v>
      </c>
      <c r="P5" s="165" t="s">
        <v>247</v>
      </c>
      <c r="Q5" s="166" t="s">
        <v>248</v>
      </c>
      <c r="R5" s="167" t="s">
        <v>249</v>
      </c>
      <c r="S5" s="2646" t="s">
        <v>2578</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416" t="s">
        <v>2377</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68558</v>
      </c>
      <c r="F6" s="174">
        <f>SUMIF(项目基本情况!D$15:I$15,C6,项目基本情况!D$19:I$19)</f>
        <v>69.81</v>
      </c>
      <c r="G6" s="175">
        <f>IF(ISERROR(ROUND(POWER(1+H6,D6-F6)*(POWER(1+H6,F6)-1)/(POWER(1+H6,D6)-1),3)),0,ROUND(POWER(1+H6,D6-F6)*(POWER(1+H6,F6)-1)/(POWER(1+H6,D6)-1),3))</f>
        <v>1</v>
      </c>
      <c r="H6" s="3053">
        <v>4.4999999999999998E-2</v>
      </c>
      <c r="I6" s="3053">
        <v>5.5E-2</v>
      </c>
      <c r="J6" s="176">
        <v>0.08</v>
      </c>
      <c r="K6" s="179">
        <f>SUMIF('数据-汇总表'!C$19:C$33,'数据-取费表'!A6,'数据-汇总表'!E$19:E$33)</f>
        <v>1299666.67</v>
      </c>
      <c r="L6" s="3054">
        <v>2300</v>
      </c>
      <c r="M6" s="177">
        <f t="shared" ref="M6:M14" si="0">ROUND(K6*L6/10000,0)</f>
        <v>298923</v>
      </c>
      <c r="N6" s="3055">
        <v>0</v>
      </c>
      <c r="O6" s="177">
        <f>IF($N$5="成新度","——",ROUND(M6*N6,0))</f>
        <v>0</v>
      </c>
      <c r="P6" s="178">
        <f>IF($N$5="成新度","——",M6-O6)</f>
        <v>298923</v>
      </c>
      <c r="Q6" s="3171">
        <v>0.2</v>
      </c>
      <c r="R6" s="179">
        <f>SUMIF('数据-汇总表'!C$19:C$33,A6,'数据-汇总表'!R$19:R$33)</f>
        <v>631315.49</v>
      </c>
      <c r="S6" s="132">
        <f>IF('数据-汇总表'!$I$17="按面积比例",SUMIF('数据-汇总表'!C$19:C$33,A6,'数据-汇总表'!K$19:K$33),SUMIF('数据-汇总表'!C$19:C$33,A6,'数据-汇总表'!N$19:N$33))</f>
        <v>438079.65</v>
      </c>
      <c r="T6" s="2235">
        <f>IF($T$4="按面积比例",IF(ISERROR(ROUND($M$14*S6/S$16,0)),"0",ROUND($M$14*S6/S$16,0)),"需自行计算录入")</f>
        <v>78854</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1.4999999999999999E-2</v>
      </c>
      <c r="AL6" s="190">
        <v>2E-3</v>
      </c>
      <c r="AM6" s="3067">
        <v>0.03</v>
      </c>
      <c r="AN6" s="2417"/>
      <c r="AO6" s="2001"/>
      <c r="AP6" s="1204">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地上商业</v>
      </c>
      <c r="B7" s="2338" t="str">
        <f t="shared" ref="B7:B13" si="1">IF(A7=0,"","经营性")</f>
        <v>经营性</v>
      </c>
      <c r="C7" s="173" t="s">
        <v>3100</v>
      </c>
      <c r="D7" s="2309">
        <f>SUMIF(项目基本情况!D$15:I$15,C7,项目基本情况!D$18:I$18)</f>
        <v>40</v>
      </c>
      <c r="E7" s="2310">
        <f>IF(B7="","",SUMIF(项目基本情况!D$15:I$15,C7,项目基本情况!D$17:I$17))</f>
        <v>57601</v>
      </c>
      <c r="F7" s="174">
        <f>SUMIF(项目基本情况!D$15:I$15,C7,项目基本情况!D$19:I$19)</f>
        <v>39.79</v>
      </c>
      <c r="G7" s="175">
        <f t="shared" ref="G7:G11" si="2">IF(ISERROR(ROUND(POWER(1+H7,D7-F7)*(POWER(1+H7,F7)-1)/(POWER(1+H7,D7)-1),3)),0,ROUND(POWER(1+H7,D7-F7)*(POWER(1+H7,F7)-1)/(POWER(1+H7,D7)-1),3))</f>
        <v>0.998</v>
      </c>
      <c r="H7" s="3053">
        <v>0.05</v>
      </c>
      <c r="I7" s="3053">
        <v>0.06</v>
      </c>
      <c r="J7" s="176">
        <v>8.5000000000000006E-2</v>
      </c>
      <c r="K7" s="179">
        <f>SUMIF('数据-汇总表'!C$19:C$33,'数据-取费表'!A7,'数据-汇总表'!E$19:E$33)</f>
        <v>57666.67</v>
      </c>
      <c r="L7" s="3054">
        <v>2500</v>
      </c>
      <c r="M7" s="177">
        <f t="shared" si="0"/>
        <v>14417</v>
      </c>
      <c r="N7" s="3055">
        <v>0</v>
      </c>
      <c r="O7" s="177">
        <f t="shared" ref="O7:O14" si="3">IF($N$5="成新度","——",ROUND(M7*N7,0))</f>
        <v>0</v>
      </c>
      <c r="P7" s="178">
        <f t="shared" ref="P7:P14" si="4">IF($N$5="成新度","——",M7-O7)</f>
        <v>14417</v>
      </c>
      <c r="Q7" s="3056">
        <v>0.2</v>
      </c>
      <c r="R7" s="179">
        <f>SUMIF('数据-汇总表'!C$19:C$33,A7,'数据-汇总表'!R$19:R$33)</f>
        <v>27851.409999999996</v>
      </c>
      <c r="S7" s="132">
        <f>IF('数据-汇总表'!$I$17="按面积比例",SUMIF('数据-汇总表'!C$19:C$33,A7,'数据-汇总表'!K$19:K$33),SUMIF('数据-汇总表'!C$19:C$33,A7,'数据-汇总表'!N$19:N$33))</f>
        <v>19437.75</v>
      </c>
      <c r="T7" s="2235">
        <f t="shared" ref="T7:T13" si="5">IF($T$4="按面积比例",IF(ISERROR(ROUND($M$14*S7/S$16,0)),"0",ROUND($M$14*S7/S$16,0)),"需自行计算录入")</f>
        <v>3499</v>
      </c>
      <c r="U7" s="180">
        <v>2</v>
      </c>
      <c r="V7" s="181">
        <v>0.02</v>
      </c>
      <c r="W7" s="181">
        <v>0.1</v>
      </c>
      <c r="X7" s="2322"/>
      <c r="Y7" s="182">
        <v>1</v>
      </c>
      <c r="Z7" s="183"/>
      <c r="AA7" s="176"/>
      <c r="AB7" s="176"/>
      <c r="AC7" s="2325"/>
      <c r="AD7" s="184"/>
      <c r="AE7" s="972">
        <f t="shared" ref="AE7:AE13" ca="1" si="6">IF(AN7="",0,SUMIF(INDIRECT("'"&amp;AN7&amp;"'"&amp;"!E:E"),$AE$5,INDIRECT("'"&amp;AN7&amp;"'"&amp;"!F:F")))</f>
        <v>39.79</v>
      </c>
      <c r="AF7" s="141"/>
      <c r="AG7" s="1213">
        <f t="shared" ref="AG7:AG13" si="7">IF(AF7="",0,AE7-AF7)</f>
        <v>0</v>
      </c>
      <c r="AH7" s="141">
        <f>面积!E10</f>
        <v>53666.67</v>
      </c>
      <c r="AI7" s="187">
        <v>365</v>
      </c>
      <c r="AJ7" s="188"/>
      <c r="AK7" s="189">
        <v>1.4999999999999999E-2</v>
      </c>
      <c r="AL7" s="190">
        <v>2E-3</v>
      </c>
      <c r="AM7" s="3067">
        <v>0.03</v>
      </c>
      <c r="AN7" s="2417" t="s">
        <v>3106</v>
      </c>
      <c r="AO7" s="2001"/>
      <c r="AP7" s="1204">
        <f t="shared" ref="AP7:AP13" si="8">ROUND(1-1/(1+H7)^F7,3)</f>
        <v>0.85599999999999998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3102</v>
      </c>
      <c r="D8" s="2309">
        <f>SUMIF(项目基本情况!D$15:I$15,C8,项目基本情况!D$18:I$18)</f>
        <v>50</v>
      </c>
      <c r="E8" s="2310">
        <f>IF(B8="","",SUMIF(项目基本情况!D$15:I$15,C8,项目基本情况!D$17:I$17))</f>
        <v>61253</v>
      </c>
      <c r="F8" s="174">
        <f>SUMIF(项目基本情况!D$15:I$15,C8,项目基本情况!D$19:I$19)</f>
        <v>49.79</v>
      </c>
      <c r="G8" s="175">
        <f t="shared" si="2"/>
        <v>0.999</v>
      </c>
      <c r="H8" s="3053">
        <v>4.4999999999999998E-2</v>
      </c>
      <c r="I8" s="3053">
        <v>5.5E-2</v>
      </c>
      <c r="J8" s="176">
        <v>0.08</v>
      </c>
      <c r="K8" s="179">
        <f>SUMIF('数据-汇总表'!C$19:C$33,'数据-取费表'!A8,'数据-汇总表'!E$19:E$33)</f>
        <v>11041</v>
      </c>
      <c r="L8" s="3054">
        <v>1800</v>
      </c>
      <c r="M8" s="177">
        <f>ROUND(K8*L8/10000,0)</f>
        <v>1987</v>
      </c>
      <c r="N8" s="3055">
        <v>0</v>
      </c>
      <c r="O8" s="177">
        <f t="shared" si="3"/>
        <v>0</v>
      </c>
      <c r="P8" s="178">
        <f t="shared" si="4"/>
        <v>1987</v>
      </c>
      <c r="Q8" s="3056">
        <v>0.1</v>
      </c>
      <c r="R8" s="179">
        <f>SUMIF('数据-汇总表'!C$19:C$33,A8,'数据-汇总表'!R$19:R$33)</f>
        <v>5332.5</v>
      </c>
      <c r="S8" s="132">
        <f>IF('数据-汇总表'!$I$17="按面积比例",SUMIF('数据-汇总表'!C$19:C$33,A8,'数据-汇总表'!K$19:K$33),SUMIF('数据-汇总表'!C$19:C$33,A8,'数据-汇总表'!N$19:N$33))</f>
        <v>3721.6</v>
      </c>
      <c r="T8" s="2235">
        <f t="shared" si="5"/>
        <v>670</v>
      </c>
      <c r="U8" s="180"/>
      <c r="V8" s="181"/>
      <c r="W8" s="181"/>
      <c r="X8" s="2322"/>
      <c r="Y8" s="182"/>
      <c r="Z8" s="183"/>
      <c r="AA8" s="176"/>
      <c r="AB8" s="176"/>
      <c r="AC8" s="2325"/>
      <c r="AD8" s="184"/>
      <c r="AE8" s="972">
        <f t="shared" ca="1" si="6"/>
        <v>0</v>
      </c>
      <c r="AF8" s="141"/>
      <c r="AG8" s="1213">
        <f t="shared" si="7"/>
        <v>0</v>
      </c>
      <c r="AH8" s="141"/>
      <c r="AI8" s="187"/>
      <c r="AJ8" s="188"/>
      <c r="AK8" s="189">
        <v>1.4999999999999999E-2</v>
      </c>
      <c r="AL8" s="190">
        <v>2E-3</v>
      </c>
      <c r="AM8" s="3067">
        <v>0.03</v>
      </c>
      <c r="AN8" s="2417"/>
      <c r="AO8" s="2001"/>
      <c r="AP8" s="1204">
        <f t="shared" si="8"/>
        <v>0.88800000000000001</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461239</v>
      </c>
      <c r="L14" s="193">
        <v>1800</v>
      </c>
      <c r="M14" s="177">
        <f t="shared" si="0"/>
        <v>83023</v>
      </c>
      <c r="N14" s="194"/>
      <c r="O14" s="177">
        <f t="shared" si="3"/>
        <v>0</v>
      </c>
      <c r="P14" s="178">
        <f t="shared" si="4"/>
        <v>83023</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10000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1839613.3399999999</v>
      </c>
      <c r="L16" s="206">
        <f>ROUND(M16*10000/SUM(K6:K14),0)</f>
        <v>2177</v>
      </c>
      <c r="M16" s="206">
        <f>SUM(M6:M14)</f>
        <v>398350</v>
      </c>
      <c r="N16" s="207">
        <f>ROUND(SUMPRODUCT(M6:M14,N6:N14)/M16,3)</f>
        <v>0</v>
      </c>
      <c r="O16" s="206">
        <f>SUM(O6:O14)</f>
        <v>0</v>
      </c>
      <c r="P16" s="206">
        <f>SUM(P6:P14)</f>
        <v>398350</v>
      </c>
      <c r="Q16" s="208">
        <f>ROUND(SUMPRODUCT(Q6:Q13,K6:K13)/SUMPRODUCT((Q6:Q13&gt;0)*(K6:K13)),2)</f>
        <v>0.2</v>
      </c>
      <c r="R16" s="2312">
        <f>SUM(R6:R13)</f>
        <v>664499.4</v>
      </c>
      <c r="S16" s="209">
        <f>SUM(S6:S13)</f>
        <v>461239</v>
      </c>
      <c r="T16" s="210">
        <f>IF(SUMIF(T6:T13,"&lt;9E307")=M14,SUMIF(T6:T13,"&lt;9E307"),"有误，请检查")</f>
        <v>83023</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0.94899999999999995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170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170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2902</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0.1</v>
      </c>
      <c r="C34" s="2366" t="s">
        <v>2903</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2904</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2905</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2906</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2906</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2461</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2462</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8">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2907</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2908</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2909</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2910</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3" t="s">
        <v>2911</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2912</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104" t="s">
        <v>2913</v>
      </c>
      <c r="D53" s="3105" t="s">
        <v>2914</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2915</v>
      </c>
      <c r="B54" s="186">
        <v>5</v>
      </c>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2916</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2917</v>
      </c>
      <c r="B56" s="186"/>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2918</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2919</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2920</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2921</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2922</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2923</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2924</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7" t="s">
        <v>1664</v>
      </c>
      <c r="B1" s="3268"/>
      <c r="C1" s="3268"/>
      <c r="D1" s="3268"/>
      <c r="E1" s="3268"/>
      <c r="F1" s="3268"/>
      <c r="G1" s="3268"/>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109" t="s">
        <v>2931</v>
      </c>
      <c r="D3" s="2010"/>
      <c r="E3" s="1229" t="s">
        <v>1667</v>
      </c>
      <c r="F3" s="1230" t="s">
        <v>1655</v>
      </c>
      <c r="G3" s="3113" t="s">
        <v>2930</v>
      </c>
      <c r="H3" s="2009"/>
      <c r="I3" s="2009"/>
      <c r="J3" s="2009"/>
      <c r="K3" s="2009"/>
      <c r="L3" s="2009"/>
      <c r="M3" s="2009"/>
      <c r="N3" s="2009"/>
      <c r="O3" s="2009"/>
      <c r="P3" s="2009"/>
      <c r="Q3" s="2009"/>
      <c r="R3" s="2009"/>
    </row>
    <row r="4" spans="1:18" ht="41.25">
      <c r="A4" s="1229"/>
      <c r="B4" s="1231" t="s">
        <v>1668</v>
      </c>
      <c r="C4" s="3110" t="s">
        <v>2932</v>
      </c>
      <c r="D4" s="2010"/>
      <c r="E4" s="1232"/>
      <c r="F4" s="1233" t="s">
        <v>1669</v>
      </c>
      <c r="G4" s="3111" t="s">
        <v>2927</v>
      </c>
      <c r="H4" s="2009"/>
      <c r="I4" s="2009"/>
      <c r="J4" s="2009"/>
      <c r="K4" s="2009"/>
      <c r="L4" s="2009"/>
      <c r="M4" s="2009"/>
      <c r="N4" s="2009"/>
      <c r="O4" s="2009"/>
      <c r="P4" s="2009"/>
      <c r="Q4" s="2009"/>
      <c r="R4" s="2009"/>
    </row>
    <row r="5" spans="1:18" ht="41.25">
      <c r="A5" s="1229"/>
      <c r="B5" s="1231" t="s">
        <v>1670</v>
      </c>
      <c r="C5" s="3110" t="s">
        <v>2933</v>
      </c>
      <c r="D5" s="2010"/>
      <c r="E5" s="1232"/>
      <c r="F5" s="1231" t="s">
        <v>2552</v>
      </c>
      <c r="G5" s="3111" t="s">
        <v>2928</v>
      </c>
      <c r="H5" s="2009"/>
      <c r="I5" s="2009"/>
      <c r="J5" s="2009"/>
      <c r="K5" s="2009"/>
      <c r="L5" s="2009"/>
      <c r="M5" s="2009"/>
      <c r="N5" s="2009"/>
      <c r="O5" s="2009"/>
      <c r="P5" s="2009"/>
      <c r="Q5" s="2009"/>
      <c r="R5" s="2009"/>
    </row>
    <row r="6" spans="1:18" ht="54">
      <c r="A6" s="1229"/>
      <c r="B6" s="1231" t="s">
        <v>1656</v>
      </c>
      <c r="C6" s="3111" t="s">
        <v>2927</v>
      </c>
      <c r="D6" s="2010"/>
      <c r="E6" s="1232"/>
      <c r="F6" s="1231" t="s">
        <v>2553</v>
      </c>
      <c r="G6" s="3111" t="s">
        <v>2925</v>
      </c>
      <c r="H6" s="2009"/>
      <c r="I6" s="2009"/>
      <c r="J6" s="2009"/>
      <c r="K6" s="2009"/>
      <c r="L6" s="2009"/>
      <c r="M6" s="2009"/>
      <c r="N6" s="2009"/>
      <c r="O6" s="2009"/>
      <c r="P6" s="2009"/>
      <c r="Q6" s="2009"/>
      <c r="R6" s="2009"/>
    </row>
    <row r="7" spans="1:18" ht="41.25" thickBot="1">
      <c r="A7" s="1229"/>
      <c r="B7" s="1231" t="s">
        <v>2552</v>
      </c>
      <c r="C7" s="3111" t="s">
        <v>2928</v>
      </c>
      <c r="D7" s="2011"/>
      <c r="E7" s="1234"/>
      <c r="F7" s="1235" t="s">
        <v>1671</v>
      </c>
      <c r="G7" s="3114" t="s">
        <v>2929</v>
      </c>
      <c r="H7" s="2009"/>
      <c r="I7" s="2009"/>
      <c r="J7" s="2009"/>
      <c r="K7" s="2009"/>
      <c r="L7" s="2009"/>
      <c r="M7" s="2009"/>
      <c r="N7" s="2009"/>
      <c r="O7" s="2009"/>
      <c r="P7" s="2009"/>
      <c r="Q7" s="2009"/>
      <c r="R7" s="2009"/>
    </row>
    <row r="8" spans="1:18" ht="27">
      <c r="A8" s="1229"/>
      <c r="B8" s="1231" t="s">
        <v>2553</v>
      </c>
      <c r="C8" s="3111" t="s">
        <v>2925</v>
      </c>
      <c r="D8" s="2011"/>
      <c r="E8" s="2011"/>
      <c r="F8" s="1554"/>
      <c r="G8" s="1554"/>
      <c r="H8" s="2009"/>
      <c r="I8" s="2009"/>
      <c r="J8" s="2009"/>
      <c r="K8" s="2009"/>
      <c r="L8" s="2009"/>
      <c r="M8" s="2009"/>
      <c r="N8" s="2009"/>
      <c r="O8" s="2009"/>
      <c r="P8" s="2009"/>
      <c r="Q8" s="2009"/>
      <c r="R8" s="2009"/>
    </row>
    <row r="9" spans="1:18" ht="40.5">
      <c r="A9" s="1229"/>
      <c r="B9" s="1231" t="s">
        <v>1657</v>
      </c>
      <c r="C9" s="3110" t="s">
        <v>2926</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12"/>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54">
      <c r="A15" s="2613" t="s">
        <v>1658</v>
      </c>
      <c r="B15" s="1242" t="s">
        <v>1654</v>
      </c>
      <c r="C15" s="1243" t="str">
        <f>C3</f>
        <v>估价对象周边居住用地比例、居住小区规模和社区发展完善程度，综合评价居住社区成熟度一般</v>
      </c>
      <c r="D15" s="2010"/>
      <c r="E15" s="2610" t="s">
        <v>1659</v>
      </c>
      <c r="F15" s="1242" t="s">
        <v>1674</v>
      </c>
      <c r="G15" s="1244" t="str">
        <f>G3</f>
        <v>估价对象位于XX开发区，园区建设成熟度XX，产业集聚程度XX</v>
      </c>
    </row>
    <row r="16" spans="1:18" ht="40.5">
      <c r="A16" s="2614"/>
      <c r="B16" s="1245" t="s">
        <v>1668</v>
      </c>
      <c r="C16" s="1246" t="str">
        <f>C4</f>
        <v>估价对象位于XX商圈，周边商业氛围成熟，人流量大，商业繁华度好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21"/>
    </row>
    <row r="18" spans="1:7" ht="54">
      <c r="A18" s="2614"/>
      <c r="B18" s="1247" t="s">
        <v>1656</v>
      </c>
      <c r="C18" s="1005" t="str">
        <f>C6</f>
        <v>估价对象周边道路状况、公共交通通达情况、停车便捷程度，综合评价交通便捷度较好</v>
      </c>
      <c r="D18" s="2011"/>
      <c r="E18" s="2611"/>
      <c r="F18" s="1247" t="s">
        <v>1671</v>
      </c>
      <c r="G18" s="1005" t="str">
        <f>G7</f>
        <v>该园区内是否有污染型企业，绿化情况，卫生条件，整体环境状况判断</v>
      </c>
    </row>
    <row r="19" spans="1:7" ht="27">
      <c r="A19" s="2614"/>
      <c r="B19" s="1247" t="s">
        <v>1660</v>
      </c>
      <c r="C19" s="2821"/>
      <c r="D19" s="2010"/>
      <c r="E19" s="2611"/>
      <c r="F19" s="1231" t="s">
        <v>2552</v>
      </c>
      <c r="G19" s="1005" t="str">
        <f>G5</f>
        <v>估价对象所在区域公共配套设施齐备情况</v>
      </c>
    </row>
    <row r="20" spans="1:7" ht="40.5">
      <c r="A20" s="2614"/>
      <c r="B20" s="1247" t="s">
        <v>1661</v>
      </c>
      <c r="C20" s="1246" t="str">
        <f>C9</f>
        <v>区域自然环境：；人文环境；综合评价环境状况一般</v>
      </c>
      <c r="D20" s="2011"/>
      <c r="E20" s="2611"/>
      <c r="F20" s="1231" t="s">
        <v>2553</v>
      </c>
      <c r="G20" s="1005" t="str">
        <f>G6</f>
        <v>估价对象所在区域基础设施水平</v>
      </c>
    </row>
    <row r="21" spans="1:7" ht="27">
      <c r="A21" s="2614"/>
      <c r="B21" s="1231" t="s">
        <v>2552</v>
      </c>
      <c r="C21" s="1005" t="str">
        <f>C7</f>
        <v>估价对象所在区域公共配套设施齐备情况</v>
      </c>
      <c r="D21" s="2010"/>
      <c r="E21" s="2611"/>
      <c r="F21" s="1247" t="s">
        <v>1662</v>
      </c>
      <c r="G21" s="3115"/>
    </row>
    <row r="22" spans="1:7" ht="27">
      <c r="A22" s="2614"/>
      <c r="B22" s="1231" t="s">
        <v>2553</v>
      </c>
      <c r="C22" s="1005" t="str">
        <f>C8</f>
        <v>估价对象所在区域基础设施水平</v>
      </c>
      <c r="D22" s="2010"/>
      <c r="E22" s="2611"/>
      <c r="F22" s="1247" t="s">
        <v>1672</v>
      </c>
      <c r="G22" s="2821"/>
    </row>
    <row r="23" spans="1:7" ht="15" thickBot="1">
      <c r="A23" s="2614"/>
      <c r="B23" s="1247" t="s">
        <v>1662</v>
      </c>
      <c r="C23" s="3115"/>
      <c r="E23" s="2612"/>
      <c r="F23" s="1248" t="s">
        <v>1676</v>
      </c>
      <c r="G23" s="3116"/>
    </row>
    <row r="24" spans="1:7" ht="14.25" thickBot="1">
      <c r="A24" s="2615"/>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2852</v>
      </c>
      <c r="B1" s="3073">
        <f>SUM(B14:B23)</f>
        <v>1839613.3399999999</v>
      </c>
      <c r="C1" s="3074"/>
      <c r="D1" s="3074"/>
      <c r="E1" s="3074"/>
      <c r="F1" s="3074"/>
    </row>
    <row r="2" spans="1:9" ht="16.5">
      <c r="A2" s="3073" t="s">
        <v>2853</v>
      </c>
      <c r="B2" s="3073">
        <f>SUM(C14:C23)</f>
        <v>664499.4</v>
      </c>
      <c r="C2" s="3074"/>
      <c r="D2" s="3074"/>
      <c r="E2" s="3074"/>
      <c r="F2" s="3074"/>
    </row>
    <row r="3" spans="1:9" ht="16.5">
      <c r="A3" s="3073" t="s">
        <v>2854</v>
      </c>
      <c r="B3" s="3075">
        <f>项目基本情况!D3</f>
        <v>43077</v>
      </c>
      <c r="C3" s="3074"/>
      <c r="D3" s="3074"/>
      <c r="E3" s="3074"/>
      <c r="F3" s="3074"/>
    </row>
    <row r="4" spans="1:9" ht="33">
      <c r="A4" s="3073" t="s">
        <v>2855</v>
      </c>
      <c r="B4" s="3073" t="s">
        <v>2856</v>
      </c>
      <c r="C4" s="3073" t="s">
        <v>2857</v>
      </c>
      <c r="D4" s="3073" t="s">
        <v>2858</v>
      </c>
      <c r="E4" s="3074"/>
      <c r="F4" s="3074"/>
    </row>
    <row r="5" spans="1:9" ht="16.5">
      <c r="A5" s="3073" t="s">
        <v>2859</v>
      </c>
      <c r="B5" s="3073">
        <f ca="1">SUM(D14:D23)</f>
        <v>241604</v>
      </c>
      <c r="C5" s="3073">
        <f ca="1">ROUND(B5*10000/$B$1,0)</f>
        <v>1313</v>
      </c>
      <c r="D5" s="3073">
        <f ca="1">ROUND(B5*10000/$B$2,0)</f>
        <v>3636</v>
      </c>
      <c r="E5" s="3074"/>
      <c r="F5" s="3074"/>
    </row>
    <row r="6" spans="1:9" ht="16.5">
      <c r="A6" s="3073" t="s">
        <v>2860</v>
      </c>
      <c r="B6" s="3073">
        <f>SUM(G14:G23)</f>
        <v>0</v>
      </c>
      <c r="C6" s="3073">
        <f t="shared" ref="C6:C8" si="0">ROUND(B6*10000/$B$1,0)</f>
        <v>0</v>
      </c>
      <c r="D6" s="3073">
        <f t="shared" ref="D6:D8" si="1">ROUND(B6*10000/$B$2,0)</f>
        <v>0</v>
      </c>
      <c r="E6" s="3074"/>
      <c r="F6" s="3074"/>
    </row>
    <row r="7" spans="1:9" ht="16.5">
      <c r="A7" s="3073" t="s">
        <v>2861</v>
      </c>
      <c r="B7" s="3073">
        <f>SUM(H14:H23)</f>
        <v>0</v>
      </c>
      <c r="C7" s="3073">
        <f t="shared" si="0"/>
        <v>0</v>
      </c>
      <c r="D7" s="3073">
        <f t="shared" si="1"/>
        <v>0</v>
      </c>
      <c r="E7" s="3074"/>
      <c r="F7" s="3074"/>
    </row>
    <row r="8" spans="1:9" ht="16.5">
      <c r="A8" s="3073" t="s">
        <v>2862</v>
      </c>
      <c r="B8" s="3073">
        <f>SUM(I14:I23)</f>
        <v>0</v>
      </c>
      <c r="C8" s="3073">
        <f t="shared" si="0"/>
        <v>0</v>
      </c>
      <c r="D8" s="3073">
        <f t="shared" si="1"/>
        <v>0</v>
      </c>
      <c r="E8" s="3074"/>
      <c r="F8" s="3074"/>
    </row>
    <row r="9" spans="1:9" ht="16.5">
      <c r="A9" s="3073" t="s">
        <v>2863</v>
      </c>
      <c r="B9" s="3076"/>
      <c r="C9" s="3074"/>
      <c r="D9" s="3074"/>
      <c r="E9" s="3074"/>
      <c r="F9" s="3074"/>
    </row>
    <row r="10" spans="1:9" ht="16.5">
      <c r="A10" s="3073" t="s">
        <v>2864</v>
      </c>
      <c r="B10" s="3076"/>
      <c r="C10" s="3074"/>
      <c r="D10" s="3074"/>
      <c r="E10" s="3074"/>
      <c r="F10" s="3074"/>
    </row>
    <row r="11" spans="1:9" ht="16.5">
      <c r="A11" s="3073" t="s">
        <v>2881</v>
      </c>
      <c r="B11" s="3076"/>
      <c r="C11" s="3074"/>
      <c r="D11" s="3074"/>
      <c r="E11" s="3074"/>
      <c r="F11" s="3074"/>
    </row>
    <row r="12" spans="1:9" ht="16.5">
      <c r="A12" s="3074"/>
      <c r="B12" s="3074"/>
      <c r="C12" s="3074"/>
      <c r="D12" s="3074"/>
      <c r="E12" s="3074"/>
      <c r="F12" s="3074"/>
    </row>
    <row r="13" spans="1:9" ht="33">
      <c r="A13" s="3079" t="s">
        <v>2880</v>
      </c>
      <c r="B13" s="3077" t="s">
        <v>2852</v>
      </c>
      <c r="C13" s="3077" t="s">
        <v>2853</v>
      </c>
      <c r="D13" s="3077" t="s">
        <v>2865</v>
      </c>
      <c r="E13" s="3073" t="s">
        <v>2879</v>
      </c>
      <c r="F13" s="3073" t="s">
        <v>2858</v>
      </c>
      <c r="G13" s="3077" t="s">
        <v>2866</v>
      </c>
      <c r="H13" s="3077" t="s">
        <v>2867</v>
      </c>
      <c r="I13" s="3077" t="s">
        <v>2868</v>
      </c>
    </row>
    <row r="14" spans="1:9" ht="16.5">
      <c r="A14" s="3080" t="s">
        <v>2878</v>
      </c>
      <c r="B14" s="3077">
        <f>结果表!L38</f>
        <v>1839613.3399999999</v>
      </c>
      <c r="C14" s="3077">
        <f>结果表!K38</f>
        <v>664499.4</v>
      </c>
      <c r="D14" s="3077">
        <f ca="1">结果表!C42</f>
        <v>241604</v>
      </c>
      <c r="E14" s="3077">
        <f ca="1">ROUND(D14*10000/B14,0)</f>
        <v>1313</v>
      </c>
      <c r="F14" s="3077">
        <f ca="1">ROUND(D14*10000/C14,0)</f>
        <v>3636</v>
      </c>
      <c r="G14" s="3077" t="str">
        <f>结果表!C44</f>
        <v>——</v>
      </c>
      <c r="H14" s="3077" t="str">
        <f>结果表!C45</f>
        <v>——</v>
      </c>
      <c r="I14" s="3077" t="str">
        <f>结果表!C46</f>
        <v>——</v>
      </c>
    </row>
    <row r="15" spans="1:9" ht="16.5">
      <c r="A15" s="3080" t="s">
        <v>2869</v>
      </c>
      <c r="B15" s="3081"/>
      <c r="C15" s="3081"/>
      <c r="D15" s="3081"/>
      <c r="E15" s="3077" t="e">
        <f t="shared" ref="E15:E23" si="2">ROUND(D15*10000/B15,0)</f>
        <v>#DIV/0!</v>
      </c>
      <c r="F15" s="3077" t="e">
        <f t="shared" ref="F15:F23" si="3">ROUND(D15*10000/C15,0)</f>
        <v>#DIV/0!</v>
      </c>
      <c r="G15" s="3078"/>
      <c r="H15" s="3078"/>
      <c r="I15" s="3081"/>
    </row>
    <row r="16" spans="1:9" ht="16.5">
      <c r="A16" s="3080" t="s">
        <v>2870</v>
      </c>
      <c r="B16" s="3081"/>
      <c r="C16" s="3081"/>
      <c r="D16" s="3081"/>
      <c r="E16" s="3077" t="e">
        <f t="shared" si="2"/>
        <v>#DIV/0!</v>
      </c>
      <c r="F16" s="3077" t="e">
        <f t="shared" si="3"/>
        <v>#DIV/0!</v>
      </c>
      <c r="G16" s="3078"/>
      <c r="H16" s="3078"/>
      <c r="I16" s="3081"/>
    </row>
    <row r="17" spans="1:9" ht="16.5">
      <c r="A17" s="3080" t="s">
        <v>2871</v>
      </c>
      <c r="B17" s="3081"/>
      <c r="C17" s="3081"/>
      <c r="D17" s="3081"/>
      <c r="E17" s="3077" t="e">
        <f t="shared" si="2"/>
        <v>#DIV/0!</v>
      </c>
      <c r="F17" s="3077" t="e">
        <f t="shared" si="3"/>
        <v>#DIV/0!</v>
      </c>
      <c r="G17" s="3078"/>
      <c r="H17" s="3078"/>
      <c r="I17" s="3081"/>
    </row>
    <row r="18" spans="1:9" ht="16.5">
      <c r="A18" s="3080" t="s">
        <v>2872</v>
      </c>
      <c r="B18" s="3081"/>
      <c r="C18" s="3081"/>
      <c r="D18" s="3081"/>
      <c r="E18" s="3077" t="e">
        <f t="shared" si="2"/>
        <v>#DIV/0!</v>
      </c>
      <c r="F18" s="3077" t="e">
        <f t="shared" si="3"/>
        <v>#DIV/0!</v>
      </c>
      <c r="G18" s="3081"/>
      <c r="H18" s="3081"/>
      <c r="I18" s="3081"/>
    </row>
    <row r="19" spans="1:9" ht="16.5">
      <c r="A19" s="3080" t="s">
        <v>2873</v>
      </c>
      <c r="B19" s="3081"/>
      <c r="C19" s="3081"/>
      <c r="D19" s="3081"/>
      <c r="E19" s="3077" t="e">
        <f t="shared" si="2"/>
        <v>#DIV/0!</v>
      </c>
      <c r="F19" s="3077" t="e">
        <f t="shared" si="3"/>
        <v>#DIV/0!</v>
      </c>
      <c r="G19" s="3081"/>
      <c r="H19" s="3081"/>
      <c r="I19" s="3081"/>
    </row>
    <row r="20" spans="1:9" ht="16.5">
      <c r="A20" s="3080" t="s">
        <v>2874</v>
      </c>
      <c r="B20" s="3081"/>
      <c r="C20" s="3081"/>
      <c r="D20" s="3081"/>
      <c r="E20" s="3077" t="e">
        <f t="shared" si="2"/>
        <v>#DIV/0!</v>
      </c>
      <c r="F20" s="3077" t="e">
        <f t="shared" si="3"/>
        <v>#DIV/0!</v>
      </c>
      <c r="G20" s="3081"/>
      <c r="H20" s="3081"/>
      <c r="I20" s="3081"/>
    </row>
    <row r="21" spans="1:9" ht="16.5">
      <c r="A21" s="3080" t="s">
        <v>2875</v>
      </c>
      <c r="B21" s="3081"/>
      <c r="C21" s="3081"/>
      <c r="D21" s="3081"/>
      <c r="E21" s="3077" t="e">
        <f t="shared" si="2"/>
        <v>#DIV/0!</v>
      </c>
      <c r="F21" s="3077" t="e">
        <f t="shared" si="3"/>
        <v>#DIV/0!</v>
      </c>
      <c r="G21" s="3081"/>
      <c r="H21" s="3081"/>
      <c r="I21" s="3081"/>
    </row>
    <row r="22" spans="1:9" ht="16.5">
      <c r="A22" s="3080" t="s">
        <v>2876</v>
      </c>
      <c r="B22" s="3081"/>
      <c r="C22" s="3081"/>
      <c r="D22" s="3081"/>
      <c r="E22" s="3077" t="e">
        <f t="shared" si="2"/>
        <v>#DIV/0!</v>
      </c>
      <c r="F22" s="3077" t="e">
        <f t="shared" si="3"/>
        <v>#DIV/0!</v>
      </c>
      <c r="G22" s="3081"/>
      <c r="H22" s="3081"/>
      <c r="I22" s="3081"/>
    </row>
    <row r="23" spans="1:9" ht="16.5">
      <c r="A23" s="3080" t="s">
        <v>2877</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B13" zoomScaleNormal="100" zoomScaleSheetLayoutView="100" zoomScalePageLayoutView="80" workbookViewId="0">
      <selection activeCell="K18" sqref="K1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3085</v>
      </c>
      <c r="E1" s="1806" t="s">
        <v>2060</v>
      </c>
      <c r="F1" s="1808" t="s">
        <v>3086</v>
      </c>
      <c r="G1" s="311"/>
      <c r="H1" s="311"/>
      <c r="I1" s="311"/>
      <c r="J1" s="2030"/>
      <c r="K1" s="2030"/>
      <c r="L1" s="2030"/>
      <c r="M1" s="2030"/>
      <c r="N1" s="2030"/>
      <c r="O1" s="2030"/>
      <c r="P1" s="2030"/>
      <c r="Q1" s="2030"/>
      <c r="R1" s="2030"/>
      <c r="S1" s="2030"/>
      <c r="T1" s="2030"/>
      <c r="U1" s="2030"/>
      <c r="V1" s="2030"/>
    </row>
    <row r="2" spans="1:22" ht="21.75" customHeight="1" thickBot="1">
      <c r="A2" s="3314" t="str">
        <f>项目基本情况!K2</f>
        <v>郑州市荥阳市出让国有建设用地使用权</v>
      </c>
      <c r="B2" s="3315"/>
      <c r="C2" s="3316"/>
      <c r="D2" s="3316"/>
      <c r="E2" s="3316"/>
      <c r="F2" s="3316"/>
      <c r="G2" s="3315"/>
      <c r="H2" s="3315"/>
      <c r="I2" s="3317"/>
      <c r="J2" s="2031"/>
      <c r="K2" s="2030"/>
      <c r="L2" s="2030"/>
      <c r="M2" s="2030"/>
      <c r="N2" s="2030"/>
      <c r="O2" s="2030"/>
      <c r="P2" s="2030"/>
      <c r="Q2" s="2030"/>
      <c r="R2" s="2030"/>
      <c r="S2" s="2030"/>
      <c r="T2" s="2030"/>
      <c r="U2" s="2030"/>
      <c r="V2" s="2030"/>
    </row>
    <row r="3" spans="1:22" ht="14.25">
      <c r="A3" s="3325" t="s">
        <v>298</v>
      </c>
      <c r="B3" s="3326"/>
      <c r="C3" s="3326"/>
      <c r="D3" s="3326"/>
      <c r="E3" s="3326"/>
      <c r="F3" s="3326"/>
      <c r="G3" s="3326"/>
      <c r="H3" s="3326"/>
      <c r="I3" s="3326"/>
      <c r="J3" s="2031"/>
      <c r="K3" s="2030"/>
      <c r="L3" s="2030"/>
      <c r="M3" s="2030"/>
      <c r="N3" s="2030"/>
      <c r="O3" s="2030"/>
      <c r="P3" s="2030"/>
      <c r="Q3" s="2030"/>
      <c r="R3" s="2030"/>
      <c r="S3" s="2030"/>
      <c r="T3" s="2030"/>
      <c r="U3" s="2030"/>
      <c r="V3" s="2030"/>
    </row>
    <row r="4" spans="1:22" ht="14.25">
      <c r="A4" s="258" t="s">
        <v>299</v>
      </c>
      <c r="B4" s="259" t="s">
        <v>300</v>
      </c>
      <c r="C4" s="260" t="s">
        <v>3083</v>
      </c>
      <c r="D4" s="260" t="s">
        <v>3084</v>
      </c>
      <c r="E4" s="3289" t="s">
        <v>301</v>
      </c>
      <c r="F4" s="3331"/>
      <c r="G4" s="3331"/>
      <c r="H4" s="3331"/>
      <c r="I4" s="3290"/>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18" t="s">
        <v>302</v>
      </c>
      <c r="B5" s="3319">
        <v>25</v>
      </c>
      <c r="C5" s="3327"/>
      <c r="D5" s="3330"/>
      <c r="E5" s="261" t="s">
        <v>303</v>
      </c>
      <c r="F5" s="262"/>
      <c r="G5" s="262"/>
      <c r="H5" s="262"/>
      <c r="I5" s="263"/>
      <c r="J5" s="2031"/>
      <c r="K5" s="2030"/>
      <c r="L5" s="2030"/>
      <c r="M5" s="2030"/>
      <c r="N5" s="2030"/>
      <c r="O5" s="2030"/>
      <c r="P5" s="2030"/>
      <c r="Q5" s="2030"/>
      <c r="R5" s="2030"/>
      <c r="S5" s="2030"/>
      <c r="T5" s="2030"/>
      <c r="U5" s="2030"/>
      <c r="V5" s="2030"/>
    </row>
    <row r="6" spans="1:22" ht="14.25">
      <c r="A6" s="3318"/>
      <c r="B6" s="3319"/>
      <c r="C6" s="3328"/>
      <c r="D6" s="3330"/>
      <c r="E6" s="261" t="s">
        <v>304</v>
      </c>
      <c r="F6" s="262"/>
      <c r="G6" s="262"/>
      <c r="H6" s="262"/>
      <c r="I6" s="263"/>
      <c r="J6" s="2031"/>
      <c r="K6" s="2030"/>
      <c r="L6" s="2030"/>
      <c r="M6" s="2030"/>
      <c r="N6" s="2030"/>
      <c r="O6" s="2030"/>
      <c r="P6" s="2030"/>
      <c r="Q6" s="2030"/>
      <c r="R6" s="2030"/>
      <c r="S6" s="2030"/>
      <c r="T6" s="2030"/>
      <c r="U6" s="2030"/>
      <c r="V6" s="2030"/>
    </row>
    <row r="7" spans="1:22" ht="14.25">
      <c r="A7" s="3318"/>
      <c r="B7" s="3319"/>
      <c r="C7" s="3329"/>
      <c r="D7" s="3330"/>
      <c r="E7" s="261" t="s">
        <v>305</v>
      </c>
      <c r="F7" s="262"/>
      <c r="G7" s="262"/>
      <c r="H7" s="262"/>
      <c r="I7" s="263"/>
      <c r="J7" s="2031"/>
      <c r="K7" s="2030"/>
      <c r="L7" s="2030"/>
      <c r="M7" s="2030"/>
      <c r="N7" s="2030"/>
      <c r="O7" s="2030"/>
      <c r="P7" s="2030"/>
      <c r="Q7" s="2030"/>
      <c r="R7" s="2030"/>
      <c r="S7" s="2030"/>
      <c r="T7" s="2030"/>
      <c r="U7" s="2030"/>
      <c r="V7" s="2030"/>
    </row>
    <row r="8" spans="1:22" ht="14.25">
      <c r="A8" s="3318" t="s">
        <v>306</v>
      </c>
      <c r="B8" s="3319">
        <v>15</v>
      </c>
      <c r="C8" s="3327"/>
      <c r="D8" s="3330"/>
      <c r="E8" s="261" t="s">
        <v>307</v>
      </c>
      <c r="F8" s="262"/>
      <c r="G8" s="262"/>
      <c r="H8" s="262"/>
      <c r="I8" s="263"/>
      <c r="J8" s="2031"/>
      <c r="K8" s="2030"/>
      <c r="L8" s="2030"/>
      <c r="M8" s="2030"/>
      <c r="N8" s="2030"/>
      <c r="O8" s="2030"/>
      <c r="P8" s="2030"/>
      <c r="Q8" s="2030"/>
      <c r="R8" s="2030"/>
      <c r="S8" s="2030"/>
      <c r="T8" s="2030"/>
      <c r="U8" s="2030"/>
      <c r="V8" s="2030"/>
    </row>
    <row r="9" spans="1:22" ht="14.25">
      <c r="A9" s="3318"/>
      <c r="B9" s="3319"/>
      <c r="C9" s="3329"/>
      <c r="D9" s="3330"/>
      <c r="E9" s="261" t="s">
        <v>308</v>
      </c>
      <c r="F9" s="262"/>
      <c r="G9" s="262"/>
      <c r="H9" s="262"/>
      <c r="I9" s="263"/>
      <c r="J9" s="2031"/>
      <c r="K9" s="2030"/>
      <c r="L9" s="2030"/>
      <c r="M9" s="2030"/>
      <c r="N9" s="2030"/>
      <c r="O9" s="2030"/>
      <c r="P9" s="2030"/>
      <c r="Q9" s="2030"/>
      <c r="R9" s="2030"/>
      <c r="S9" s="2030"/>
      <c r="T9" s="2030"/>
      <c r="U9" s="2030"/>
      <c r="V9" s="2030"/>
    </row>
    <row r="10" spans="1:22" ht="14.25">
      <c r="A10" s="3318" t="s">
        <v>309</v>
      </c>
      <c r="B10" s="3319">
        <v>15</v>
      </c>
      <c r="C10" s="3327"/>
      <c r="D10" s="3330"/>
      <c r="E10" s="261" t="s">
        <v>310</v>
      </c>
      <c r="F10" s="262"/>
      <c r="G10" s="262"/>
      <c r="H10" s="262"/>
      <c r="I10" s="263"/>
      <c r="J10" s="2031"/>
      <c r="K10" s="2030"/>
      <c r="L10" s="2030"/>
      <c r="M10" s="2030"/>
      <c r="N10" s="2030"/>
      <c r="O10" s="2030"/>
      <c r="P10" s="2030"/>
      <c r="Q10" s="2030"/>
      <c r="R10" s="2030"/>
      <c r="S10" s="2030"/>
      <c r="T10" s="2030"/>
      <c r="U10" s="2030"/>
      <c r="V10" s="2030"/>
    </row>
    <row r="11" spans="1:22" ht="14.25">
      <c r="A11" s="3318"/>
      <c r="B11" s="3319"/>
      <c r="C11" s="3329"/>
      <c r="D11" s="3330"/>
      <c r="E11" s="261" t="s">
        <v>311</v>
      </c>
      <c r="F11" s="262"/>
      <c r="G11" s="262"/>
      <c r="H11" s="262"/>
      <c r="I11" s="263"/>
      <c r="J11" s="2031"/>
      <c r="K11" s="2030"/>
      <c r="L11" s="2030"/>
      <c r="M11" s="2030">
        <f ca="1">G19*10000/(面积!E8+面积!C17)</f>
        <v>1506.3036392017611</v>
      </c>
      <c r="N11" s="2030"/>
      <c r="O11" s="2030"/>
      <c r="P11" s="2030"/>
      <c r="Q11" s="2030"/>
      <c r="R11" s="2030"/>
      <c r="S11" s="2030"/>
      <c r="T11" s="2030"/>
      <c r="U11" s="2030"/>
      <c r="V11" s="2030"/>
    </row>
    <row r="12" spans="1:22" ht="14.25">
      <c r="A12" s="3318" t="s">
        <v>312</v>
      </c>
      <c r="B12" s="3319">
        <v>15</v>
      </c>
      <c r="C12" s="3327"/>
      <c r="D12" s="3330"/>
      <c r="E12" s="261" t="s">
        <v>313</v>
      </c>
      <c r="F12" s="262"/>
      <c r="G12" s="262"/>
      <c r="H12" s="262"/>
      <c r="I12" s="263"/>
      <c r="J12" s="2031"/>
      <c r="K12" s="2030"/>
      <c r="L12" s="2030"/>
      <c r="M12" s="2030"/>
      <c r="N12" s="2030"/>
      <c r="O12" s="2030"/>
      <c r="P12" s="2030"/>
      <c r="Q12" s="2030"/>
      <c r="R12" s="2030"/>
      <c r="S12" s="2030"/>
      <c r="T12" s="2030"/>
      <c r="U12" s="2030"/>
      <c r="V12" s="2030"/>
    </row>
    <row r="13" spans="1:22" ht="14.25">
      <c r="A13" s="3318"/>
      <c r="B13" s="3319"/>
      <c r="C13" s="3329"/>
      <c r="D13" s="3330"/>
      <c r="E13" s="261" t="s">
        <v>314</v>
      </c>
      <c r="F13" s="262"/>
      <c r="G13" s="262"/>
      <c r="H13" s="262"/>
      <c r="I13" s="263"/>
      <c r="J13" s="2031"/>
      <c r="K13" s="2030"/>
      <c r="L13" s="2030"/>
      <c r="M13" s="2030"/>
      <c r="N13" s="2030"/>
      <c r="O13" s="2030"/>
      <c r="P13" s="2030"/>
      <c r="Q13" s="2030"/>
      <c r="R13" s="2030"/>
      <c r="S13" s="2030"/>
      <c r="T13" s="2030"/>
      <c r="U13" s="2030"/>
      <c r="V13" s="2030"/>
    </row>
    <row r="14" spans="1:22" ht="14.25">
      <c r="A14" s="3318" t="s">
        <v>315</v>
      </c>
      <c r="B14" s="3319">
        <v>30</v>
      </c>
      <c r="C14" s="3327">
        <v>7</v>
      </c>
      <c r="D14" s="3330">
        <v>3</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18"/>
      <c r="B15" s="3319"/>
      <c r="C15" s="3328"/>
      <c r="D15" s="3330"/>
      <c r="E15" s="261" t="s">
        <v>317</v>
      </c>
      <c r="F15" s="262"/>
      <c r="G15" s="262"/>
      <c r="H15" s="262"/>
      <c r="I15" s="263"/>
      <c r="J15" s="2031"/>
      <c r="K15" s="2030"/>
      <c r="L15" s="2030"/>
      <c r="M15" s="2030"/>
      <c r="N15" s="2030"/>
      <c r="O15" s="2030"/>
      <c r="P15" s="2030"/>
      <c r="Q15" s="2030"/>
      <c r="R15" s="2030"/>
      <c r="S15" s="2030"/>
      <c r="T15" s="2030"/>
      <c r="U15" s="2030"/>
      <c r="V15" s="2030"/>
    </row>
    <row r="16" spans="1:22" ht="14.25">
      <c r="A16" s="3318"/>
      <c r="B16" s="3319"/>
      <c r="C16" s="3329"/>
      <c r="D16" s="333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7</v>
      </c>
      <c r="D17" s="265">
        <f>SUM(D5:D16)</f>
        <v>3</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0.7</v>
      </c>
      <c r="D18" s="267">
        <f>1-C18</f>
        <v>0.30000000000000004</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279163</v>
      </c>
      <c r="D19" s="271">
        <f ca="1">SUMIF(INDIRECT("'"&amp;D4&amp;"'"&amp;"!A:A"),结果表!B19,INDIRECT("'"&amp;D4&amp;"'"&amp;"!B:B"))</f>
        <v>153965</v>
      </c>
      <c r="E19" s="268" t="s">
        <v>323</v>
      </c>
      <c r="F19" s="269" t="s">
        <v>322</v>
      </c>
      <c r="G19" s="272">
        <f ca="1">ROUND(C19*$C$18+D19*$D$18,0)</f>
        <v>241604</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1518</v>
      </c>
      <c r="D20" s="277">
        <f ca="1">SUMIF(INDIRECT("'"&amp;D4&amp;"'"&amp;"!A:A"),结果表!B20,INDIRECT("'"&amp;D4&amp;"'"&amp;"!B:B"))</f>
        <v>837</v>
      </c>
      <c r="E20" s="274"/>
      <c r="F20" s="275" t="s">
        <v>325</v>
      </c>
      <c r="G20" s="278">
        <f ca="1">ROUND(C20*$C$18+D20*$D$18,0)</f>
        <v>1314</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4201</v>
      </c>
      <c r="D21" s="151">
        <f ca="1">SUMIF(INDIRECT("'"&amp;D4&amp;"'"&amp;"!A:A"),结果表!B21,INDIRECT("'"&amp;D4&amp;"'"&amp;"!B:B"))</f>
        <v>2317</v>
      </c>
      <c r="E21" s="274"/>
      <c r="F21" s="280" t="s">
        <v>327</v>
      </c>
      <c r="G21" s="282">
        <f ca="1">ROUND(C21*$C$18+D21*$D$18,0)</f>
        <v>3636</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0.81315883480011686</v>
      </c>
      <c r="E22" s="284"/>
      <c r="F22" s="285"/>
      <c r="G22" s="286">
        <f ca="1">ROUND(G19/('数据-汇总表'!D3/666.67),0)</f>
        <v>242</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1"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3"/>
      <c r="B25" s="1321" t="s">
        <v>2993</v>
      </c>
      <c r="C25" s="290">
        <f>IF(B30=0,0,C30)</f>
        <v>0</v>
      </c>
      <c r="D25" s="291"/>
      <c r="E25" s="311"/>
      <c r="F25" s="311"/>
      <c r="G25" s="311"/>
      <c r="H25" s="311"/>
      <c r="I25" s="311"/>
      <c r="J25" s="2030"/>
      <c r="K25" s="1255" t="str">
        <f ca="1">项目基本情况!B16&amp;"国有建设用地使用权价格："&amp;O38&amp;"万元"</f>
        <v>出让国有建设用地使用权价格：241604万元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大写金额：人民币贰拾肆亿壹仟陆佰零肆万元整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单位面积地价：3636元/平方米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楼面地价：1313元/平方米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8" t="s">
        <v>335</v>
      </c>
      <c r="B30" s="309"/>
      <c r="C30" s="309"/>
      <c r="D30" s="310"/>
      <c r="E30" s="3169" t="s">
        <v>2982</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336</v>
      </c>
      <c r="B32" s="1382" t="s">
        <v>1689</v>
      </c>
      <c r="C32" s="1383">
        <f ca="1">G19-C24</f>
        <v>241604</v>
      </c>
      <c r="D32" s="1384" t="s">
        <v>1690</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339</v>
      </c>
      <c r="B33" s="1385" t="s">
        <v>1691</v>
      </c>
      <c r="C33" s="264">
        <f ca="1">ROUND(C32*10000/'数据-汇总表'!E3,0)</f>
        <v>1313</v>
      </c>
      <c r="D33" s="1386" t="s">
        <v>1692</v>
      </c>
      <c r="E33" s="3291"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3636</v>
      </c>
      <c r="D34" s="1388" t="s">
        <v>1692</v>
      </c>
      <c r="E34" s="3292"/>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242</v>
      </c>
      <c r="D35" s="1391" t="s">
        <v>1694</v>
      </c>
      <c r="E35" s="3293"/>
      <c r="F35" s="301" t="s">
        <v>341</v>
      </c>
      <c r="G35" s="982"/>
      <c r="H35" s="981" t="s">
        <v>342</v>
      </c>
      <c r="I35" s="311"/>
      <c r="J35" s="2030"/>
      <c r="K35" s="3297" t="s">
        <v>349</v>
      </c>
      <c r="L35" s="3297" t="s">
        <v>350</v>
      </c>
      <c r="M35" s="1264" t="s">
        <v>351</v>
      </c>
      <c r="N35" s="3297" t="s">
        <v>352</v>
      </c>
      <c r="O35" s="3297" t="s">
        <v>353</v>
      </c>
      <c r="P35" s="2030"/>
      <c r="V35" s="2030"/>
    </row>
    <row r="36" spans="1:26" ht="16.5" customHeight="1">
      <c r="A36" s="303" t="s">
        <v>343</v>
      </c>
      <c r="B36" s="304" t="s">
        <v>332</v>
      </c>
      <c r="C36" s="305" t="s">
        <v>344</v>
      </c>
      <c r="D36" s="305" t="s">
        <v>345</v>
      </c>
      <c r="E36" s="306" t="s">
        <v>346</v>
      </c>
      <c r="F36" s="311"/>
      <c r="G36" s="311"/>
      <c r="H36" s="311"/>
      <c r="I36" s="311"/>
      <c r="J36" s="2032"/>
      <c r="K36" s="3298"/>
      <c r="L36" s="3298"/>
      <c r="M36" s="1266" t="s">
        <v>354</v>
      </c>
      <c r="N36" s="3298"/>
      <c r="O36" s="3298"/>
      <c r="P36" s="2030"/>
      <c r="V36" s="2030"/>
    </row>
    <row r="37" spans="1:26" ht="16.5" customHeight="1" thickBot="1">
      <c r="A37" s="1260" t="s">
        <v>347</v>
      </c>
      <c r="B37" s="307"/>
      <c r="C37" s="294"/>
      <c r="D37" s="294"/>
      <c r="E37" s="295"/>
      <c r="F37" s="311"/>
      <c r="G37" s="311"/>
      <c r="H37" s="311"/>
      <c r="I37" s="311"/>
      <c r="J37" s="2032"/>
      <c r="K37" s="3299"/>
      <c r="L37" s="3299"/>
      <c r="M37" s="1267"/>
      <c r="N37" s="3299"/>
      <c r="O37" s="3299"/>
      <c r="P37" s="2030"/>
      <c r="V37" s="2030"/>
    </row>
    <row r="38" spans="1:26" ht="16.5" customHeight="1" thickBot="1">
      <c r="A38" s="1260" t="s">
        <v>348</v>
      </c>
      <c r="B38" s="307"/>
      <c r="C38" s="294"/>
      <c r="D38" s="294"/>
      <c r="E38" s="295"/>
      <c r="F38" s="311"/>
      <c r="G38" s="311"/>
      <c r="H38" s="311"/>
      <c r="I38" s="311"/>
      <c r="J38" s="2032"/>
      <c r="K38" s="1268">
        <f>'数据-汇总表'!D3</f>
        <v>664499.4</v>
      </c>
      <c r="L38" s="1269">
        <f>'数据-汇总表'!E3</f>
        <v>1839613.3399999999</v>
      </c>
      <c r="M38" s="1269">
        <f ca="1">C34</f>
        <v>3636</v>
      </c>
      <c r="N38" s="1269">
        <f ca="1">C33</f>
        <v>1313</v>
      </c>
      <c r="O38" s="1270">
        <f ca="1">C32</f>
        <v>241604</v>
      </c>
      <c r="P38" s="2030"/>
      <c r="V38" s="2030"/>
    </row>
    <row r="39" spans="1:26" ht="16.5" customHeight="1" thickBot="1">
      <c r="A39" s="1265"/>
      <c r="B39" s="308"/>
      <c r="C39" s="309"/>
      <c r="D39" s="309"/>
      <c r="E39" s="310"/>
      <c r="F39" s="311"/>
      <c r="G39" s="311"/>
      <c r="H39" s="311"/>
      <c r="I39" s="311"/>
      <c r="J39" s="2032"/>
      <c r="K39" s="3274" t="str">
        <f>MID(A44,3,LEN(A44)-2)</f>
        <v/>
      </c>
      <c r="L39" s="3275"/>
      <c r="M39" s="3275"/>
      <c r="N39" s="3276"/>
      <c r="O39" s="1393" t="str">
        <f>C44</f>
        <v>——</v>
      </c>
      <c r="P39" s="2030"/>
      <c r="V39" s="2030"/>
    </row>
    <row r="40" spans="1:26" ht="19.5" thickBot="1">
      <c r="A40" s="104" t="s">
        <v>873</v>
      </c>
      <c r="B40" s="311"/>
      <c r="C40" s="311"/>
      <c r="D40" s="311"/>
      <c r="E40" s="311"/>
      <c r="F40" s="311"/>
      <c r="G40" s="311"/>
      <c r="H40" s="311"/>
      <c r="I40" s="311"/>
      <c r="J40" s="2032"/>
      <c r="K40" s="3274" t="str">
        <f t="shared" ref="K40:K41" si="0">MID(A45,3,LEN(A45)-2)</f>
        <v/>
      </c>
      <c r="L40" s="3275"/>
      <c r="M40" s="3275"/>
      <c r="N40" s="3276"/>
      <c r="O40" s="1393" t="str">
        <f>C45</f>
        <v>——</v>
      </c>
      <c r="P40" s="2030"/>
      <c r="V40" s="2030"/>
    </row>
    <row r="41" spans="1:26" ht="16.5" thickBot="1">
      <c r="A41" s="312" t="s">
        <v>355</v>
      </c>
      <c r="B41" s="313"/>
      <c r="C41" s="314" t="s">
        <v>356</v>
      </c>
      <c r="D41" s="315" t="s">
        <v>357</v>
      </c>
      <c r="E41" s="315" t="s">
        <v>358</v>
      </c>
      <c r="F41" s="316" t="s">
        <v>359</v>
      </c>
      <c r="G41" s="311"/>
      <c r="H41" s="311"/>
      <c r="I41" s="311"/>
      <c r="J41" s="2032"/>
      <c r="K41" s="3274" t="str">
        <f t="shared" si="0"/>
        <v/>
      </c>
      <c r="L41" s="3275"/>
      <c r="M41" s="3275"/>
      <c r="N41" s="3276"/>
      <c r="O41" s="1393" t="str">
        <f>C46</f>
        <v>——</v>
      </c>
      <c r="P41" s="2030"/>
      <c r="V41" s="2030"/>
    </row>
    <row r="42" spans="1:26" ht="29.25">
      <c r="A42" s="3334" t="s">
        <v>2070</v>
      </c>
      <c r="B42" s="3335"/>
      <c r="C42" s="264">
        <f ca="1">C32</f>
        <v>241604</v>
      </c>
      <c r="D42" s="317">
        <f ca="1">C33</f>
        <v>1313</v>
      </c>
      <c r="E42" s="317">
        <f ca="1">C34</f>
        <v>3636</v>
      </c>
      <c r="F42" s="318">
        <f ca="1">C35</f>
        <v>242</v>
      </c>
      <c r="G42" s="311"/>
      <c r="H42" s="311"/>
      <c r="I42" s="319"/>
      <c r="J42" s="2032"/>
      <c r="K42" s="1271" t="s">
        <v>360</v>
      </c>
      <c r="L42" s="2049" t="s">
        <v>361</v>
      </c>
      <c r="M42" s="1272" t="s">
        <v>362</v>
      </c>
      <c r="N42" s="2050" t="s">
        <v>363</v>
      </c>
      <c r="O42" s="2051" t="s">
        <v>364</v>
      </c>
      <c r="P42" s="2030"/>
      <c r="V42" s="2030"/>
    </row>
    <row r="43" spans="1:26" ht="30">
      <c r="A43" s="3344" t="s">
        <v>2738</v>
      </c>
      <c r="B43" s="3345"/>
      <c r="C43" s="264">
        <f>IF(H33="正常操作",G33+G34+G35,G34+G35)</f>
        <v>0</v>
      </c>
      <c r="D43" s="317" t="s">
        <v>43</v>
      </c>
      <c r="E43" s="317" t="s">
        <v>44</v>
      </c>
      <c r="F43" s="318" t="s">
        <v>44</v>
      </c>
      <c r="G43" s="2894" t="s">
        <v>952</v>
      </c>
      <c r="H43" s="311"/>
      <c r="I43" s="319"/>
      <c r="J43" s="2032"/>
      <c r="K43" s="1273" t="str">
        <f>C4</f>
        <v>剩余法-待开发</v>
      </c>
      <c r="L43" s="1274">
        <f ca="1">IF(L42="估价结果/万元",C19,C20)</f>
        <v>279163</v>
      </c>
      <c r="M43" s="1275">
        <f>C18</f>
        <v>0.7</v>
      </c>
      <c r="N43" s="1276">
        <f ca="1">IF(N42="测算结果/万元",G19,G20)</f>
        <v>241604</v>
      </c>
      <c r="O43" s="1277">
        <f ca="1">IF(O42="最终结果/万元",C32,C33)</f>
        <v>241604</v>
      </c>
      <c r="P43" s="2030"/>
      <c r="V43" s="2030"/>
    </row>
    <row r="44" spans="1:26" ht="30.75" thickBot="1">
      <c r="A44" s="3334" t="str">
        <f>IF(OR(项目基本情况!E8="抵押价格",项目基本情况!E8="已注销及未注销"),"3.抵押价格","——")</f>
        <v>——</v>
      </c>
      <c r="B44" s="3335"/>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比较法-住宅、综合</v>
      </c>
      <c r="L44" s="1279">
        <f ca="1">IF(L42="估价结果/万元",D19,D20)</f>
        <v>153965</v>
      </c>
      <c r="M44" s="1280">
        <f>D18</f>
        <v>0.30000000000000004</v>
      </c>
      <c r="N44" s="1281"/>
      <c r="O44" s="1282"/>
      <c r="P44" s="2030"/>
      <c r="V44" s="2030"/>
    </row>
    <row r="45" spans="1:26" ht="15">
      <c r="A45" s="3339" t="str">
        <f>IF(项目基本情况!E8="已注销及未注销","4.抵押担保权已注销时的抵押价格",IF(项目基本情况!E8="已注销","3.抵押担保权已注销时的抵押价格","——"))</f>
        <v>——</v>
      </c>
      <c r="B45" s="334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02" t="s">
        <v>373</v>
      </c>
      <c r="B63" s="3303"/>
      <c r="C63" s="3304"/>
      <c r="D63" s="341">
        <f ca="1">ROUND(C42*F63,0)</f>
        <v>144962</v>
      </c>
      <c r="E63" s="302" t="s">
        <v>374</v>
      </c>
      <c r="F63" s="342">
        <v>0.6</v>
      </c>
      <c r="G63" s="343" t="s">
        <v>375</v>
      </c>
      <c r="H63" s="311"/>
      <c r="I63" s="311"/>
      <c r="J63" s="2030"/>
      <c r="K63" s="2030"/>
      <c r="L63" s="2030"/>
      <c r="M63" s="2030"/>
      <c r="N63" s="2030"/>
      <c r="O63" s="2030"/>
      <c r="P63" s="311"/>
      <c r="Q63" s="2030"/>
      <c r="R63" s="2030"/>
      <c r="S63" s="2030"/>
      <c r="T63" s="2030"/>
      <c r="U63" s="2030"/>
      <c r="V63" s="2030"/>
    </row>
    <row r="64" spans="1:22" ht="14.25" customHeight="1">
      <c r="A64" s="3341" t="s">
        <v>377</v>
      </c>
      <c r="B64" s="3342"/>
      <c r="C64" s="3342"/>
      <c r="D64" s="3342"/>
      <c r="E64" s="3342"/>
      <c r="F64" s="3342"/>
      <c r="G64" s="3343"/>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38" t="s">
        <v>385</v>
      </c>
      <c r="B66" s="3309"/>
      <c r="C66" s="3309"/>
      <c r="D66" s="261">
        <f ca="1">IF(H66="情况1",0,IF(H66="情况2",D70,IF(H66="情况3",D71,IF(H66="情况4",D72))))</f>
        <v>7731</v>
      </c>
      <c r="E66" s="993" t="str">
        <f>IF(H66="情况4","(销售额-原购置价)×税（费）率","销售额×税（费）率")</f>
        <v>销售额×税（费）率</v>
      </c>
      <c r="F66" s="350">
        <f>IF(H66="情况1","免征",'数据-取费表'!B41)</f>
        <v>5.6000000000000001E-2</v>
      </c>
      <c r="G66" s="351" t="s">
        <v>386</v>
      </c>
      <c r="H66" s="191" t="s">
        <v>387</v>
      </c>
      <c r="I66" s="1288"/>
      <c r="J66" s="2036"/>
      <c r="K66" s="1291">
        <v>1</v>
      </c>
      <c r="L66" s="3278" t="s">
        <v>384</v>
      </c>
      <c r="M66" s="3279"/>
      <c r="N66" s="2484"/>
      <c r="O66" s="2485"/>
      <c r="P66" s="2486"/>
      <c r="Q66" s="2030"/>
      <c r="R66" s="2030"/>
      <c r="S66" s="2030"/>
      <c r="T66" s="2030"/>
      <c r="U66" s="2030"/>
      <c r="V66" s="2030"/>
    </row>
    <row r="67" spans="1:22" ht="25.5" customHeight="1">
      <c r="A67" s="352" t="s">
        <v>389</v>
      </c>
      <c r="B67" s="3321" t="s">
        <v>390</v>
      </c>
      <c r="C67" s="3321"/>
      <c r="D67" s="353">
        <v>0</v>
      </c>
      <c r="E67" s="41" t="s">
        <v>391</v>
      </c>
      <c r="F67" s="62" t="s">
        <v>21</v>
      </c>
      <c r="G67" s="3305"/>
      <c r="H67" s="311"/>
      <c r="I67" s="1292"/>
      <c r="J67" s="2037"/>
      <c r="K67" s="1978">
        <v>2</v>
      </c>
      <c r="L67" s="3277" t="s">
        <v>388</v>
      </c>
      <c r="M67" s="3277"/>
      <c r="N67" s="1325">
        <f>'数据-取费表'!B2</f>
        <v>43077</v>
      </c>
      <c r="O67" s="1325"/>
      <c r="P67" s="1325"/>
      <c r="Q67" s="2030"/>
      <c r="R67" s="2030"/>
      <c r="S67" s="2030"/>
      <c r="T67" s="2030"/>
      <c r="U67" s="2030"/>
      <c r="V67" s="2030"/>
    </row>
    <row r="68" spans="1:22" ht="25.5" customHeight="1">
      <c r="A68" s="354"/>
      <c r="B68" s="3321" t="s">
        <v>393</v>
      </c>
      <c r="C68" s="3321"/>
      <c r="D68" s="355"/>
      <c r="E68" s="77"/>
      <c r="F68" s="356"/>
      <c r="G68" s="3306"/>
      <c r="H68" s="311"/>
      <c r="I68" s="1292"/>
      <c r="J68" s="2037"/>
      <c r="K68" s="1978">
        <v>3</v>
      </c>
      <c r="L68" s="3277" t="s">
        <v>392</v>
      </c>
      <c r="M68" s="3277"/>
      <c r="N68" s="1293">
        <f ca="1">C42</f>
        <v>241604</v>
      </c>
      <c r="O68" s="1293"/>
      <c r="P68" s="1293"/>
      <c r="Q68" s="2030"/>
      <c r="R68" s="2030"/>
      <c r="S68" s="2030"/>
      <c r="T68" s="2030"/>
      <c r="U68" s="2030"/>
      <c r="V68" s="2030"/>
    </row>
    <row r="69" spans="1:22" ht="12" customHeight="1">
      <c r="A69" s="357"/>
      <c r="B69" s="3321" t="s">
        <v>394</v>
      </c>
      <c r="C69" s="3321"/>
      <c r="D69" s="358"/>
      <c r="E69" s="73"/>
      <c r="F69" s="356"/>
      <c r="G69" s="3307"/>
      <c r="H69" s="311"/>
      <c r="I69" s="1292"/>
      <c r="J69" s="2037"/>
      <c r="K69" s="1294">
        <v>4</v>
      </c>
      <c r="L69" s="3283" t="s">
        <v>2891</v>
      </c>
      <c r="M69" s="3284"/>
      <c r="N69" s="1295" t="str">
        <f>C44</f>
        <v>——</v>
      </c>
      <c r="O69" s="1295"/>
      <c r="P69" s="1295"/>
      <c r="Q69" s="2030"/>
      <c r="R69" s="2030"/>
      <c r="S69" s="2030"/>
      <c r="T69" s="2030"/>
      <c r="U69" s="2030"/>
      <c r="V69" s="2030"/>
    </row>
    <row r="70" spans="1:22" ht="24" customHeight="1">
      <c r="A70" s="359" t="s">
        <v>395</v>
      </c>
      <c r="B70" s="3321" t="s">
        <v>396</v>
      </c>
      <c r="C70" s="3321"/>
      <c r="D70" s="358">
        <f ca="1">ROUND(D63*'数据-取费表'!B41/(1+'数据-取费表'!C42),0)</f>
        <v>7731</v>
      </c>
      <c r="E70" s="17" t="s">
        <v>397</v>
      </c>
      <c r="F70" s="360">
        <f>'数据-取费表'!B41</f>
        <v>5.6000000000000001E-2</v>
      </c>
      <c r="G70" s="361"/>
      <c r="H70" s="311"/>
      <c r="I70" s="1292"/>
      <c r="J70" s="2037"/>
      <c r="K70" s="3090"/>
      <c r="L70" s="3091"/>
      <c r="M70" s="3091"/>
      <c r="N70" s="3092" t="s">
        <v>2896</v>
      </c>
      <c r="O70" s="3091"/>
      <c r="P70" s="3093"/>
      <c r="Q70" s="2030"/>
      <c r="R70" s="2030"/>
      <c r="S70" s="2030"/>
      <c r="T70" s="2030"/>
      <c r="U70" s="2030"/>
      <c r="V70" s="2030"/>
    </row>
    <row r="71" spans="1:22" ht="12" customHeight="1">
      <c r="A71" s="359" t="s">
        <v>403</v>
      </c>
      <c r="B71" s="3320" t="s">
        <v>404</v>
      </c>
      <c r="C71" s="3332"/>
      <c r="D71" s="358">
        <f ca="1">ROUND(D63*'数据-取费表'!B41/(1+'数据-取费表'!C42),0)</f>
        <v>7731</v>
      </c>
      <c r="E71" s="17" t="s">
        <v>397</v>
      </c>
      <c r="F71" s="360">
        <f>'数据-取费表'!B41</f>
        <v>5.6000000000000001E-2</v>
      </c>
      <c r="G71" s="361"/>
      <c r="H71" s="311"/>
      <c r="I71" s="1292"/>
      <c r="J71" s="2037"/>
      <c r="K71" s="3089" t="s">
        <v>398</v>
      </c>
      <c r="L71" s="3285" t="s">
        <v>399</v>
      </c>
      <c r="M71" s="3285"/>
      <c r="N71" s="3089" t="s">
        <v>400</v>
      </c>
      <c r="O71" s="3089" t="s">
        <v>401</v>
      </c>
      <c r="P71" s="3089" t="s">
        <v>402</v>
      </c>
      <c r="Q71" s="2030"/>
      <c r="R71" s="2030"/>
      <c r="S71" s="2030"/>
      <c r="T71" s="2030"/>
      <c r="U71" s="2030"/>
      <c r="V71" s="2030"/>
    </row>
    <row r="72" spans="1:22" ht="12" customHeight="1">
      <c r="A72" s="359" t="s">
        <v>406</v>
      </c>
      <c r="B72" s="3320" t="s">
        <v>407</v>
      </c>
      <c r="C72" s="3332"/>
      <c r="D72" s="358">
        <f ca="1">C86</f>
        <v>7619</v>
      </c>
      <c r="E72" s="73" t="s">
        <v>408</v>
      </c>
      <c r="F72" s="360">
        <f>'数据-取费表'!B41</f>
        <v>5.6000000000000001E-2</v>
      </c>
      <c r="G72" s="361"/>
      <c r="H72" s="1298"/>
      <c r="I72" s="1292"/>
      <c r="J72" s="2037"/>
      <c r="K72" s="1978">
        <v>1</v>
      </c>
      <c r="L72" s="3282" t="s">
        <v>405</v>
      </c>
      <c r="M72" s="3282"/>
      <c r="N72" s="1296">
        <f ca="1">D66</f>
        <v>7731</v>
      </c>
      <c r="O72" s="1861" t="str">
        <f>E66</f>
        <v>销售额×税（费）率</v>
      </c>
      <c r="P72" s="1297">
        <f>F66</f>
        <v>5.6000000000000001E-2</v>
      </c>
      <c r="Q72" s="2030"/>
      <c r="R72" s="2030"/>
      <c r="S72" s="2030"/>
      <c r="T72" s="2030"/>
      <c r="U72" s="2030"/>
      <c r="V72" s="2030"/>
    </row>
    <row r="73" spans="1:22" ht="24" customHeight="1">
      <c r="A73" s="3308" t="s">
        <v>410</v>
      </c>
      <c r="B73" s="3309"/>
      <c r="C73" s="3309"/>
      <c r="D73" s="362">
        <f>IF(H73="个人住宅",0,ROUND(D63*I73,0))</f>
        <v>0</v>
      </c>
      <c r="E73" s="17" t="s">
        <v>411</v>
      </c>
      <c r="F73" s="360" t="str">
        <f>IF(H73="正常",I73,"免征")</f>
        <v>免征</v>
      </c>
      <c r="G73" s="361"/>
      <c r="H73" s="191" t="s">
        <v>2460</v>
      </c>
      <c r="I73" s="360">
        <f>'数据-取费表'!B49</f>
        <v>5.0000000000000001E-4</v>
      </c>
      <c r="J73" s="2037"/>
      <c r="K73" s="1978">
        <v>2</v>
      </c>
      <c r="L73" s="3282" t="s">
        <v>409</v>
      </c>
      <c r="M73" s="3282"/>
      <c r="N73" s="1296">
        <f t="shared" ref="N73:P74" si="1">D73</f>
        <v>0</v>
      </c>
      <c r="O73" s="1861" t="str">
        <f t="shared" si="1"/>
        <v>销售额×税（费）率</v>
      </c>
      <c r="P73" s="1297" t="str">
        <f t="shared" si="1"/>
        <v>免征</v>
      </c>
      <c r="Q73" s="2030"/>
      <c r="R73" s="2030"/>
      <c r="S73" s="2030"/>
      <c r="T73" s="2030"/>
      <c r="U73" s="2030"/>
      <c r="V73" s="2030"/>
    </row>
    <row r="74" spans="1:22" ht="24.75">
      <c r="A74" s="3308" t="s">
        <v>414</v>
      </c>
      <c r="B74" s="3309"/>
      <c r="C74" s="3309"/>
      <c r="D74" s="362">
        <f ca="1">IF(H74="个人住宅",D75,D76)</f>
        <v>81389</v>
      </c>
      <c r="E74" s="17" t="s">
        <v>415</v>
      </c>
      <c r="F74" s="360" t="str">
        <f>IF(H74="正常",F76,"免征")</f>
        <v>——</v>
      </c>
      <c r="G74" s="983" t="s">
        <v>416</v>
      </c>
      <c r="H74" s="363" t="s">
        <v>412</v>
      </c>
      <c r="I74" s="42"/>
      <c r="J74" s="2037"/>
      <c r="K74" s="1978">
        <v>3</v>
      </c>
      <c r="L74" s="3282" t="s">
        <v>413</v>
      </c>
      <c r="M74" s="3282"/>
      <c r="N74" s="1296">
        <f t="shared" ca="1" si="1"/>
        <v>81389</v>
      </c>
      <c r="O74" s="1861" t="str">
        <f t="shared" si="1"/>
        <v>增值额×税（费）率</v>
      </c>
      <c r="P74" s="1299" t="str">
        <f t="shared" si="1"/>
        <v>——</v>
      </c>
      <c r="Q74" s="2030"/>
      <c r="R74" s="2030"/>
      <c r="S74" s="2030"/>
      <c r="T74" s="2030"/>
      <c r="U74" s="2030"/>
      <c r="V74" s="2030"/>
    </row>
    <row r="75" spans="1:22" ht="24">
      <c r="A75" s="359" t="s">
        <v>417</v>
      </c>
      <c r="B75" s="3289" t="s">
        <v>418</v>
      </c>
      <c r="C75" s="3290"/>
      <c r="D75" s="364">
        <v>0</v>
      </c>
      <c r="E75" s="41" t="s">
        <v>419</v>
      </c>
      <c r="F75" s="365"/>
      <c r="G75" s="361"/>
      <c r="H75" s="42"/>
      <c r="I75" s="42"/>
      <c r="J75" s="2037"/>
      <c r="K75" s="3082">
        <f>IF(H77="非个人房产","",4)</f>
        <v>4</v>
      </c>
      <c r="L75" s="3282" t="str">
        <f>IF(H77="非个人房产","——","个人所得税")</f>
        <v>个人所得税</v>
      </c>
      <c r="M75" s="3282"/>
      <c r="N75" s="1300">
        <f ca="1">D77</f>
        <v>1450</v>
      </c>
      <c r="O75" s="1874" t="str">
        <f>E77</f>
        <v>销售额×税（费）率</v>
      </c>
      <c r="P75" s="1301">
        <f>F77</f>
        <v>0.01</v>
      </c>
      <c r="Q75" s="2030"/>
      <c r="R75" s="2030"/>
      <c r="S75" s="2030"/>
      <c r="T75" s="2030"/>
      <c r="U75" s="2030"/>
      <c r="V75" s="2030"/>
    </row>
    <row r="76" spans="1:22" ht="24.75">
      <c r="A76" s="359" t="s">
        <v>395</v>
      </c>
      <c r="B76" s="3289" t="s">
        <v>421</v>
      </c>
      <c r="C76" s="3331"/>
      <c r="D76" s="362">
        <f ca="1">IF(H76="转让取得",C99,C115)</f>
        <v>81389</v>
      </c>
      <c r="E76" s="17" t="s">
        <v>422</v>
      </c>
      <c r="F76" s="53" t="s">
        <v>21</v>
      </c>
      <c r="G76" s="361"/>
      <c r="H76" s="363" t="s">
        <v>423</v>
      </c>
      <c r="I76" s="42"/>
      <c r="J76" s="2037"/>
      <c r="K76" s="3082" t="str">
        <f>IF(项目基本情况!K6="上海银行",IF(K75="",4,K75+1),"")</f>
        <v/>
      </c>
      <c r="L76" s="3270" t="str">
        <f>IF(项目基本情况!K6="上海银行","其他处置费用","")</f>
        <v/>
      </c>
      <c r="M76" s="3271"/>
      <c r="N76" s="1296" t="str">
        <f>IF(项目基本情况!K6="上海银行",N89,"")</f>
        <v/>
      </c>
      <c r="O76" s="3272" t="str">
        <f>IF(项目基本情况!K6="上海银行","包含处置中涉及的律师、诉讼、拍卖、评估等费用","")</f>
        <v/>
      </c>
      <c r="P76" s="3273"/>
      <c r="Q76" s="2030"/>
      <c r="R76" s="2030"/>
      <c r="S76" s="2030"/>
      <c r="T76" s="2030"/>
      <c r="U76" s="2030"/>
      <c r="V76" s="2030"/>
    </row>
    <row r="77" spans="1:22" ht="26.25" thickBot="1">
      <c r="A77" s="3300" t="s">
        <v>425</v>
      </c>
      <c r="B77" s="3301"/>
      <c r="C77" s="3301"/>
      <c r="D77" s="366">
        <f ca="1">IF(H77="非个人房产","——",IF(H77="个人住宅",0,ROUND(D63*I77,0)))</f>
        <v>1450</v>
      </c>
      <c r="E77" s="367" t="str">
        <f>IF(H77="非个人房产","——","销售额×税（费）率")</f>
        <v>销售额×税（费）率</v>
      </c>
      <c r="F77" s="368">
        <f>IF(H77="非个人房产","——",IF(H77="个人住宅","免征",I77))</f>
        <v>0.01</v>
      </c>
      <c r="G77" s="984" t="s">
        <v>416</v>
      </c>
      <c r="H77" s="363" t="s">
        <v>2892</v>
      </c>
      <c r="I77" s="369">
        <v>0.01</v>
      </c>
      <c r="J77" s="2037"/>
      <c r="K77" s="3296">
        <f>IF(AND(K75="",K76=""),4,IF(项目基本情况!K6="上海银行",K76+1,K75+1))</f>
        <v>5</v>
      </c>
      <c r="L77" s="3282" t="s">
        <v>2893</v>
      </c>
      <c r="M77" s="3088" t="s">
        <v>420</v>
      </c>
      <c r="N77" s="1302"/>
      <c r="O77" s="1303">
        <f ca="1">SUMIF(N72:N76,"&lt;9e307")</f>
        <v>90570</v>
      </c>
      <c r="P77" s="1304"/>
      <c r="Q77" s="3086" t="e">
        <f ca="1">O77/N69</f>
        <v>#VALUE!</v>
      </c>
      <c r="R77" s="2030"/>
      <c r="S77" s="2030"/>
      <c r="T77" s="2030"/>
      <c r="U77" s="2030"/>
      <c r="V77" s="2030"/>
    </row>
    <row r="78" spans="1:22" ht="12" customHeight="1">
      <c r="A78" s="1305"/>
      <c r="B78" s="311"/>
      <c r="C78" s="311"/>
      <c r="D78" s="311"/>
      <c r="E78" s="42"/>
      <c r="F78" s="42"/>
      <c r="G78" s="42"/>
      <c r="H78" s="1003"/>
      <c r="I78" s="311"/>
      <c r="J78" s="2037"/>
      <c r="K78" s="3296"/>
      <c r="L78" s="3282"/>
      <c r="M78" s="3088" t="s">
        <v>424</v>
      </c>
      <c r="N78" s="1302"/>
      <c r="O78" s="1303" t="str">
        <f ca="1">NUMBERSTRING(INT(O77*10000),2)&amp;"元整"</f>
        <v>玖亿零伍佰柒拾万元整</v>
      </c>
      <c r="P78" s="1304"/>
      <c r="Q78" s="2030"/>
      <c r="R78" s="2030"/>
      <c r="S78" s="2030"/>
      <c r="T78" s="2030"/>
      <c r="U78" s="2030"/>
      <c r="V78" s="2030"/>
    </row>
    <row r="79" spans="1:22" ht="13.5" thickBot="1">
      <c r="A79" s="3286" t="s">
        <v>426</v>
      </c>
      <c r="B79" s="3286"/>
      <c r="C79" s="3286"/>
      <c r="D79" s="3286"/>
      <c r="E79" s="3286"/>
      <c r="F79" s="42"/>
      <c r="G79" s="42"/>
      <c r="H79" s="1003"/>
      <c r="I79" s="311"/>
      <c r="J79" s="2037"/>
      <c r="K79" s="3280">
        <f>K77+1</f>
        <v>6</v>
      </c>
      <c r="L79" s="3282" t="s">
        <v>2894</v>
      </c>
      <c r="M79" s="3088" t="s">
        <v>420</v>
      </c>
      <c r="N79" s="1302"/>
      <c r="O79" s="1303" t="e">
        <f ca="1">N69-O77</f>
        <v>#VALUE!</v>
      </c>
      <c r="P79" s="1304"/>
      <c r="Q79" s="2030"/>
      <c r="R79" s="2030"/>
      <c r="S79" s="2030"/>
      <c r="T79" s="2030"/>
      <c r="U79" s="2030"/>
      <c r="V79" s="2030"/>
    </row>
    <row r="80" spans="1:22" ht="12.75">
      <c r="A80" s="3287" t="s">
        <v>427</v>
      </c>
      <c r="B80" s="3288"/>
      <c r="C80" s="994"/>
      <c r="D80" s="994" t="s">
        <v>428</v>
      </c>
      <c r="E80" s="370" t="s">
        <v>429</v>
      </c>
      <c r="F80" s="42"/>
      <c r="G80" s="42"/>
      <c r="H80" s="1003"/>
      <c r="I80" s="311"/>
      <c r="J80" s="2030"/>
      <c r="K80" s="3281"/>
      <c r="L80" s="3282"/>
      <c r="M80" s="3088" t="s">
        <v>424</v>
      </c>
      <c r="N80" s="1302"/>
      <c r="O80" s="1303" t="e">
        <f ca="1">NUMBERSTRING(INT(O79*10000),2)&amp;"元整"</f>
        <v>#VALUE!</v>
      </c>
      <c r="P80" s="1304"/>
      <c r="Q80" s="2030"/>
      <c r="R80" s="2030"/>
      <c r="S80" s="2030"/>
      <c r="T80" s="2030"/>
      <c r="U80" s="2030"/>
      <c r="V80" s="2030"/>
    </row>
    <row r="81" spans="1:26" ht="13.5" thickBot="1">
      <c r="A81" s="381" t="s">
        <v>1824</v>
      </c>
      <c r="B81" s="371" t="s">
        <v>430</v>
      </c>
      <c r="C81" s="372">
        <f ca="1">ROUND((C82+C83)/(1+'数据-取费表'!C42),0)</f>
        <v>138059</v>
      </c>
      <c r="D81" s="373"/>
      <c r="E81" s="374"/>
      <c r="F81" s="42"/>
      <c r="G81" s="42"/>
      <c r="H81" s="1003"/>
      <c r="I81" s="311"/>
      <c r="J81" s="2030"/>
      <c r="K81" s="3082">
        <f>K79+1</f>
        <v>7</v>
      </c>
      <c r="L81" s="3294" t="s">
        <v>2895</v>
      </c>
      <c r="M81" s="3295"/>
      <c r="N81" s="1306"/>
      <c r="O81" s="1307" t="e">
        <f ca="1">ROUND(O79*10000/'数据-汇总表'!E3,0)</f>
        <v>#VALUE!</v>
      </c>
      <c r="P81" s="1308"/>
      <c r="Q81" s="2030"/>
      <c r="R81" s="2030"/>
      <c r="S81" s="2030"/>
      <c r="T81" s="2030"/>
      <c r="U81" s="2030"/>
      <c r="V81" s="2030"/>
    </row>
    <row r="82" spans="1:26" ht="13.5" thickTop="1">
      <c r="A82" s="375" t="s">
        <v>1825</v>
      </c>
      <c r="B82" s="376" t="s">
        <v>431</v>
      </c>
      <c r="C82" s="377">
        <f ca="1">D63</f>
        <v>144962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432</v>
      </c>
      <c r="C83" s="380">
        <v>0</v>
      </c>
      <c r="D83" s="378"/>
      <c r="E83" s="379"/>
      <c r="F83" s="42"/>
      <c r="G83" s="42"/>
      <c r="H83" s="1003"/>
      <c r="I83" s="311"/>
      <c r="J83" s="2030"/>
      <c r="K83" s="3269" t="s">
        <v>2882</v>
      </c>
      <c r="L83" s="3094" t="s">
        <v>2883</v>
      </c>
      <c r="M83" s="3084" t="e">
        <f>IF(N69&gt;10000,N69*0.5%,IF(AND(N69&gt;1000,N69&lt;=10000),N69*1%,IF(AND(N69&gt;100,N69&lt;=1000),N69*3%,IF(AND(N69&gt;10,N69&lt;=100),N69*5%,N69*8%))))</f>
        <v>#VALUE!</v>
      </c>
      <c r="N83" s="53" t="e">
        <f>ROUND(M83,1)</f>
        <v>#VALUE!</v>
      </c>
      <c r="O83" s="3087"/>
      <c r="P83" s="2030"/>
      <c r="Q83" s="2030"/>
      <c r="R83" s="2030"/>
      <c r="S83" s="2030"/>
      <c r="T83" s="2030"/>
      <c r="U83" s="2030"/>
      <c r="V83" s="2030"/>
    </row>
    <row r="84" spans="1:26" ht="12.75">
      <c r="A84" s="381" t="s">
        <v>1827</v>
      </c>
      <c r="B84" s="382" t="s">
        <v>433</v>
      </c>
      <c r="C84" s="383">
        <v>2000</v>
      </c>
      <c r="D84" s="384" t="s">
        <v>19</v>
      </c>
      <c r="E84" s="3129" t="s">
        <v>2952</v>
      </c>
      <c r="F84" s="42"/>
      <c r="G84" s="42"/>
      <c r="H84" s="1003"/>
      <c r="I84" s="311"/>
      <c r="J84" s="2030"/>
      <c r="K84" s="3269"/>
      <c r="L84" s="3094" t="s">
        <v>2884</v>
      </c>
      <c r="M84" s="30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2885</v>
      </c>
      <c r="P84" s="2030"/>
      <c r="Q84" s="2030"/>
      <c r="R84" s="2030"/>
      <c r="S84" s="2030"/>
      <c r="T84" s="2030"/>
      <c r="U84" s="2030"/>
      <c r="V84" s="2030"/>
    </row>
    <row r="85" spans="1:26" ht="12.75">
      <c r="A85" s="381" t="s">
        <v>1828</v>
      </c>
      <c r="B85" s="382" t="s">
        <v>434</v>
      </c>
      <c r="C85" s="385">
        <f ca="1">C81-C84</f>
        <v>136059</v>
      </c>
      <c r="D85" s="378" t="s">
        <v>19</v>
      </c>
      <c r="E85" s="379"/>
      <c r="F85" s="42"/>
      <c r="G85" s="42"/>
      <c r="H85" s="1003"/>
      <c r="I85" s="311"/>
      <c r="J85" s="2030"/>
      <c r="K85" s="3269"/>
      <c r="L85" s="3094" t="s">
        <v>2886</v>
      </c>
      <c r="M85" s="3084" t="e">
        <f>IF(N69&gt;1000,N69*0.1%,IF(AND(N69&gt;500,N69&lt;=1000),N69*0.5%,IF(AND(N69&gt;50,N69&lt;=500),N69*1%,IF(AND(N69&gt;1,N69&lt;=50),N69*1.5%))))</f>
        <v>#VALUE!</v>
      </c>
      <c r="N85" s="53" t="e">
        <f t="shared" si="2"/>
        <v>#VALUE!</v>
      </c>
      <c r="O85" s="2030" t="s">
        <v>2885</v>
      </c>
      <c r="P85" s="2030"/>
      <c r="Q85" s="2030"/>
      <c r="R85" s="2030"/>
      <c r="S85" s="2030"/>
      <c r="T85" s="2030"/>
      <c r="U85" s="2030"/>
      <c r="V85" s="2030"/>
    </row>
    <row r="86" spans="1:26" ht="13.5" thickBot="1">
      <c r="A86" s="386" t="s">
        <v>1829</v>
      </c>
      <c r="B86" s="387" t="s">
        <v>435</v>
      </c>
      <c r="C86" s="388">
        <f ca="1">IF(C85&lt;=0,0,ROUND(C85*D86,0))</f>
        <v>7619</v>
      </c>
      <c r="D86" s="389">
        <f>'数据-取费表'!B41</f>
        <v>5.6000000000000001E-2</v>
      </c>
      <c r="E86" s="390"/>
      <c r="F86" s="42"/>
      <c r="G86" s="42"/>
      <c r="H86" s="1003"/>
      <c r="I86" s="311"/>
      <c r="J86" s="2030"/>
      <c r="K86" s="3269"/>
      <c r="L86" s="3094" t="s">
        <v>2887</v>
      </c>
      <c r="M86" s="3084" t="e">
        <f>N69*0.5%</f>
        <v>#VALUE!</v>
      </c>
      <c r="N86" s="53" t="e">
        <f>IF(M86&gt;0.5,0.5,ROUND(M86,0))</f>
        <v>#VALUE!</v>
      </c>
      <c r="O86" s="2030" t="s">
        <v>2888</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69"/>
      <c r="L87" s="3094" t="s">
        <v>2889</v>
      </c>
      <c r="M87" s="30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7"/>
      <c r="P87" s="311"/>
      <c r="Q87" s="2030"/>
      <c r="R87" s="2030"/>
      <c r="S87" s="2030"/>
      <c r="T87" s="2030"/>
      <c r="U87" s="2030"/>
      <c r="V87" s="2030"/>
      <c r="W87" s="292"/>
      <c r="X87" s="292"/>
      <c r="Y87" s="292"/>
      <c r="Z87" s="292"/>
    </row>
    <row r="88" spans="1:26" s="1314" customFormat="1" ht="15" thickBot="1">
      <c r="A88" s="3323" t="s">
        <v>436</v>
      </c>
      <c r="B88" s="3324"/>
      <c r="C88" s="3324"/>
      <c r="D88" s="3324"/>
      <c r="E88" s="3324"/>
      <c r="F88" s="3324"/>
      <c r="G88" s="3324"/>
      <c r="H88" s="3324"/>
      <c r="I88" s="1315"/>
      <c r="J88" s="2038"/>
      <c r="K88" s="3269"/>
      <c r="L88" s="3094" t="s">
        <v>2890</v>
      </c>
      <c r="M88" s="3084" t="e">
        <f>IF(N69&gt;10000,N69*0.5%,IF(AND(N69&gt;5000,N69&lt;=10000),N69*1%,IF(AND(N69&gt;1000,N69&lt;=5000),N69*2%,IF(AND(N69&gt;200,N69&lt;=1000),N69*3%,N69*5%))))</f>
        <v>#VALUE!</v>
      </c>
      <c r="N88" s="53" t="e">
        <f>ROUND(M88,1)</f>
        <v>#VALUE!</v>
      </c>
      <c r="O88" s="3087"/>
      <c r="P88" s="11"/>
      <c r="Q88" s="2035"/>
      <c r="R88" s="2035"/>
      <c r="S88" s="2035"/>
      <c r="T88" s="2035"/>
      <c r="U88" s="2035"/>
      <c r="V88" s="2035"/>
      <c r="W88" s="2039"/>
      <c r="X88" s="2039"/>
      <c r="Y88" s="2039"/>
      <c r="Z88" s="2039"/>
    </row>
    <row r="89" spans="1:26" s="1314" customFormat="1" ht="14.25">
      <c r="A89" s="3287" t="s">
        <v>427</v>
      </c>
      <c r="B89" s="3288"/>
      <c r="C89" s="994"/>
      <c r="D89" s="994" t="s">
        <v>428</v>
      </c>
      <c r="E89" s="391" t="s">
        <v>437</v>
      </c>
      <c r="F89" s="392"/>
      <c r="G89" s="392"/>
      <c r="H89" s="393"/>
      <c r="I89" s="1316"/>
      <c r="J89" s="2040"/>
      <c r="K89" s="3269"/>
      <c r="L89" s="3094" t="s">
        <v>27</v>
      </c>
      <c r="M89" s="3085"/>
      <c r="N89" s="53" t="e">
        <f>ROUND(SUM(N83:N88),0)</f>
        <v>#VALUE!</v>
      </c>
      <c r="O89" s="3095" t="e">
        <f>N89/N69</f>
        <v>#VALUE!</v>
      </c>
      <c r="P89" s="2035"/>
      <c r="Q89" s="2035"/>
      <c r="R89" s="2035"/>
      <c r="S89" s="2035"/>
      <c r="T89" s="2035"/>
      <c r="U89" s="2035"/>
      <c r="V89" s="2035"/>
      <c r="W89" s="2039"/>
      <c r="X89" s="2039"/>
      <c r="Y89" s="2039"/>
      <c r="Z89" s="2039"/>
    </row>
    <row r="90" spans="1:26" s="1314" customFormat="1" ht="14.25">
      <c r="A90" s="381" t="s">
        <v>1824</v>
      </c>
      <c r="B90" s="382" t="s">
        <v>438</v>
      </c>
      <c r="C90" s="385">
        <f ca="1">ROUND(D63/(1+'数据-取费表'!C42),0)</f>
        <v>138059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439</v>
      </c>
      <c r="C91" s="385">
        <f ca="1">C92+C96</f>
        <v>3409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440</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445</v>
      </c>
      <c r="C94" s="378">
        <f>IF(F93="购房发票",ROUND(C93*H93*5%,0),0)</f>
        <v>500</v>
      </c>
      <c r="D94" s="401">
        <v>0.05</v>
      </c>
      <c r="E94" s="3320" t="s">
        <v>446</v>
      </c>
      <c r="F94" s="3321"/>
      <c r="G94" s="3321"/>
      <c r="H94" s="332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447</v>
      </c>
      <c r="C95" s="378">
        <f>ROUND(IF(G95="个人买卖住房",0,IF(G95="2016年5月1日前购买",C93*D95,C93*D95/(1+'数据-取费表'!C42))),0)</f>
        <v>81</v>
      </c>
      <c r="D95" s="402">
        <f>'数据-取费表'!B48+'数据-取费表'!B49</f>
        <v>4.0500000000000001E-2</v>
      </c>
      <c r="E95" s="26" t="s">
        <v>448</v>
      </c>
      <c r="F95" s="403"/>
      <c r="G95" s="404" t="s">
        <v>2433</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449</v>
      </c>
      <c r="C96" s="405">
        <f ca="1">ROUND(D63*D96/(1+'数据-取费表'!C42),0)</f>
        <v>828</v>
      </c>
      <c r="D96" s="406">
        <f>'数据-取费表'!B43</f>
        <v>6.000000000000001E-3</v>
      </c>
      <c r="E96" s="3310" t="s">
        <v>2432</v>
      </c>
      <c r="F96" s="3311"/>
      <c r="G96" s="3311"/>
      <c r="H96" s="331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450</v>
      </c>
      <c r="C97" s="385">
        <f ca="1">C90-C91</f>
        <v>134650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451</v>
      </c>
      <c r="C98" s="407">
        <f ca="1">IF(C97&lt;=0,0,C97/C91)</f>
        <v>39.498386623643299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452</v>
      </c>
      <c r="C99" s="408">
        <f ca="1">ROUND(IF(C97&lt;=0,0,IF(C98&gt;=200%,C97*60%-C91*35%,IF(C98&gt;=100%,C97*50%-C91*15%,IF(C98&gt;=50%,C97*40%-C91*5%,IF(C98&lt;50%,C97*30%,0))))),0)</f>
        <v>79597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3" t="s">
        <v>453</v>
      </c>
      <c r="B101" s="3324"/>
      <c r="C101" s="3324"/>
      <c r="D101" s="3324"/>
      <c r="E101" s="3324"/>
      <c r="F101" s="3324"/>
      <c r="G101" s="3324"/>
      <c r="H101" s="332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87" t="s">
        <v>427</v>
      </c>
      <c r="B102" s="3288"/>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438</v>
      </c>
      <c r="C103" s="385">
        <f ca="1">ROUND(D63/(1+'数据-取费表'!C42),0)</f>
        <v>138059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439</v>
      </c>
      <c r="C104" s="385">
        <f ca="1">IF(H106="仅含出让金",C105+C108+C109+C110+C111+C112,C105+C109+C110+C111+C112)</f>
        <v>1523</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454</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455</v>
      </c>
      <c r="C106" s="416">
        <v>555</v>
      </c>
      <c r="D106" s="406"/>
      <c r="E106" s="417" t="s">
        <v>456</v>
      </c>
      <c r="F106" s="986"/>
      <c r="G106" s="418" t="s">
        <v>457</v>
      </c>
      <c r="H106" s="419" t="s">
        <v>2443</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447</v>
      </c>
      <c r="C107" s="405">
        <f>ROUND(C106*D107,0)</f>
        <v>22</v>
      </c>
      <c r="D107" s="406">
        <f>'数据-取费表'!B48+'数据-取费表'!B49</f>
        <v>4.0500000000000001E-2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460</v>
      </c>
      <c r="C109" s="405">
        <f>IF(H109="——",IF(F1="现房",'剩余法-现房'!C18,'剩余法-待开发'!C18),I109)</f>
        <v>55</v>
      </c>
      <c r="D109" s="406"/>
      <c r="E109" s="3313" t="s">
        <v>461</v>
      </c>
      <c r="F109" s="3311"/>
      <c r="G109" s="3311"/>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462</v>
      </c>
      <c r="C110" s="405">
        <f>ROUND((C105+C108+C109)*D110,0)</f>
        <v>63</v>
      </c>
      <c r="D110" s="406">
        <v>0.1</v>
      </c>
      <c r="E110" s="3313" t="s">
        <v>463</v>
      </c>
      <c r="F110" s="3311"/>
      <c r="G110" s="3311"/>
      <c r="H110" s="331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449</v>
      </c>
      <c r="C111" s="405">
        <f ca="1">ROUND(D63*D111/(1+'数据-取费表'!C42),0)</f>
        <v>828</v>
      </c>
      <c r="D111" s="406">
        <f>'数据-取费表'!B43</f>
        <v>6.000000000000001E-3</v>
      </c>
      <c r="E111" s="3310" t="s">
        <v>2432</v>
      </c>
      <c r="F111" s="3311"/>
      <c r="G111" s="3311"/>
      <c r="H111" s="331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464</v>
      </c>
      <c r="C112" s="405">
        <f>ROUND(C108*D112,0)</f>
        <v>0</v>
      </c>
      <c r="D112" s="406">
        <v>0.2</v>
      </c>
      <c r="E112" s="3313" t="s">
        <v>2457</v>
      </c>
      <c r="F112" s="3311"/>
      <c r="G112" s="3311"/>
      <c r="H112" s="331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450</v>
      </c>
      <c r="C113" s="385">
        <f ca="1">ROUND(C103-C104,0)</f>
        <v>136536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451</v>
      </c>
      <c r="C114" s="407">
        <f ca="1">IF(C113&lt;=0,0,C113/C104)</f>
        <v>89.649376231122787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452</v>
      </c>
      <c r="C115" s="408">
        <f ca="1">ROUND(IF(C113&lt;=0,0,IF(C114&gt;=200%,C113*60%-C104*35%,IF(C114&gt;=100%,C113*50%-C104*15%,IF(C114&gt;=50%,C113*40%-C104*5%,IF(C114&lt;50%,C113*30%,0))))),0)</f>
        <v>81389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D9" sqref="D9"/>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37"/>
      <c r="C1" s="2106"/>
      <c r="D1" s="2106"/>
      <c r="E1" s="2106"/>
      <c r="F1" s="2106"/>
      <c r="G1" s="2106"/>
      <c r="H1" s="2106"/>
      <c r="I1" s="2106"/>
      <c r="J1" s="2106"/>
      <c r="K1" s="422">
        <f>MATCH(B1,'数据-取费表'!A6:A16,0)+5</f>
        <v>9</v>
      </c>
    </row>
    <row r="2" spans="1:31" s="2043" customFormat="1" ht="18" customHeight="1">
      <c r="A2" s="2103" t="s">
        <v>466</v>
      </c>
      <c r="B2" s="2107">
        <f ca="1">C36</f>
        <v>279163</v>
      </c>
      <c r="C2" s="2106"/>
      <c r="D2" s="2106"/>
      <c r="E2" s="2106"/>
      <c r="F2" s="2106"/>
      <c r="G2" s="2106"/>
      <c r="H2" s="2106"/>
      <c r="I2" s="2106"/>
      <c r="J2" s="2106"/>
      <c r="K2" s="2106"/>
    </row>
    <row r="3" spans="1:31" s="2043" customFormat="1" ht="18" customHeight="1">
      <c r="A3" s="2108" t="s">
        <v>1685</v>
      </c>
      <c r="B3" s="2109">
        <f ca="1">ROUND(B2*10000/IF(B1="",'数据-汇总表'!E3,INDIRECT("'数据-取费表'!K"&amp;$K$1)),0)</f>
        <v>1518</v>
      </c>
      <c r="C3" s="2106"/>
      <c r="D3" s="2106"/>
      <c r="E3" s="2106"/>
      <c r="F3" s="2106"/>
      <c r="G3" s="2106"/>
      <c r="H3" s="2106"/>
      <c r="I3" s="2106"/>
      <c r="J3" s="2106"/>
      <c r="K3" s="2106"/>
    </row>
    <row r="4" spans="1:31" s="2043" customFormat="1" ht="18" customHeight="1">
      <c r="A4" s="426" t="s">
        <v>467</v>
      </c>
      <c r="B4" s="427">
        <f ca="1">ROUND(B2*10000/IF(B1="",'数据-汇总表'!D3,INDIRECT("'数据-取费表'!R"&amp;$K$1)),0)</f>
        <v>4201</v>
      </c>
      <c r="C4" s="428"/>
      <c r="D4" s="422"/>
      <c r="E4" s="422"/>
      <c r="F4" s="422"/>
      <c r="G4" s="422"/>
      <c r="H4" s="422"/>
      <c r="I4" s="422"/>
      <c r="J4" s="422"/>
      <c r="K4" s="422"/>
    </row>
    <row r="5" spans="1:31" s="2043" customFormat="1" ht="18" customHeight="1" thickBot="1">
      <c r="A5" s="429"/>
      <c r="B5" s="430">
        <f ca="1">ROUND(B2/(IF(B1="",'数据-汇总表'!D3,INDIRECT("'数据-取费表'!R"&amp;$K$1))/666.67),0)</f>
        <v>280</v>
      </c>
      <c r="C5" s="431" t="s">
        <v>468</v>
      </c>
      <c r="D5" s="422"/>
      <c r="E5" s="422"/>
      <c r="F5" s="422"/>
      <c r="G5" s="422"/>
      <c r="H5" s="422"/>
      <c r="I5" s="422"/>
      <c r="J5" s="422"/>
      <c r="K5" s="422"/>
    </row>
    <row r="6" spans="1:31" s="2113" customFormat="1" ht="16.5" customHeight="1">
      <c r="A6" s="2856" t="s">
        <v>1843</v>
      </c>
      <c r="B6" s="2857"/>
      <c r="C6" s="2858">
        <f>SUM(C10:K10)</f>
        <v>1172250.9493571429</v>
      </c>
      <c r="D6" s="2857"/>
      <c r="E6" s="2857"/>
      <c r="F6" s="2857"/>
      <c r="G6" s="2857"/>
      <c r="H6" s="2857"/>
      <c r="I6" s="2857"/>
      <c r="J6" s="2857"/>
      <c r="K6" s="2859"/>
    </row>
    <row r="7" spans="1:31" s="2115" customFormat="1" ht="15">
      <c r="A7" s="2860" t="s">
        <v>469</v>
      </c>
      <c r="B7" s="2861" t="s">
        <v>470</v>
      </c>
      <c r="C7" s="436" t="s">
        <v>923</v>
      </c>
      <c r="D7" s="436" t="s">
        <v>3099</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471</v>
      </c>
      <c r="C8" s="2862">
        <v>8500</v>
      </c>
      <c r="D8" s="2862">
        <v>11000</v>
      </c>
      <c r="E8" s="2862">
        <v>130000</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472</v>
      </c>
      <c r="C9" s="441">
        <f>SUMIF('数据-汇总表'!$C19:$C33,'剩余法-待开发'!C7,'数据-汇总表'!$E19:$E33)</f>
        <v>1299666.67</v>
      </c>
      <c r="D9" s="441">
        <f>SUMIF('数据-汇总表'!$C19:$C33,'剩余法-待开发'!D7,'数据-汇总表'!$E19:$E33)</f>
        <v>57666.67</v>
      </c>
      <c r="E9" s="441">
        <f>SUMIF('数据-汇总表'!$C19:$C33,'剩余法-待开发'!E7,'数据-汇总表'!$E19:$E33)</f>
        <v>11041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1848</v>
      </c>
      <c r="B10" s="2850" t="s">
        <v>473</v>
      </c>
      <c r="C10" s="3057">
        <f>C9*C8/10000</f>
        <v>1104716.6695000001</v>
      </c>
      <c r="D10" s="3057">
        <f>D9*D8/10000</f>
        <v>63433.337</v>
      </c>
      <c r="E10" s="3057">
        <f>11041/35*13</f>
        <v>4100.9428571428571</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1844</v>
      </c>
      <c r="B11" s="2857"/>
      <c r="C11" s="2857"/>
      <c r="D11" s="2857"/>
      <c r="E11" s="2857"/>
      <c r="F11" s="2857"/>
      <c r="G11" s="2857"/>
      <c r="H11" s="2857"/>
      <c r="I11" s="2857"/>
      <c r="J11" s="2857"/>
      <c r="K11" s="2859"/>
    </row>
    <row r="12" spans="1:31" s="2087" customFormat="1" ht="13.5" customHeight="1">
      <c r="A12" s="2868" t="s">
        <v>469</v>
      </c>
      <c r="B12" s="2840" t="s">
        <v>470</v>
      </c>
      <c r="C12" s="2869" t="s">
        <v>474</v>
      </c>
      <c r="D12" s="2836" t="s">
        <v>475</v>
      </c>
      <c r="E12" s="2836" t="s">
        <v>476</v>
      </c>
      <c r="F12" s="2836" t="s">
        <v>477</v>
      </c>
      <c r="G12" s="2840"/>
      <c r="H12" s="2841"/>
      <c r="I12" s="2841"/>
      <c r="J12" s="2841"/>
      <c r="K12" s="2842"/>
    </row>
    <row r="13" spans="1:31" s="2118" customFormat="1" ht="13.5" customHeight="1">
      <c r="A13" s="2870" t="s">
        <v>1849</v>
      </c>
      <c r="B13" s="2871" t="s">
        <v>478</v>
      </c>
      <c r="C13" s="450">
        <f ca="1">IF(B1="",'数据-取费表'!P16,INDIRECT("'数据-取费表'!p"&amp;$K$1)+INDIRECT("'数据-取费表'!t"&amp;$K$1))</f>
        <v>398350</v>
      </c>
      <c r="D13" s="2872"/>
      <c r="E13" s="2873"/>
      <c r="F13" s="2874"/>
      <c r="G13" s="2840"/>
      <c r="H13" s="2841"/>
      <c r="I13" s="2841"/>
      <c r="J13" s="2841"/>
      <c r="K13" s="2842"/>
    </row>
    <row r="14" spans="1:31" s="2118" customFormat="1" ht="13.5" customHeight="1">
      <c r="A14" s="2870" t="s">
        <v>1850</v>
      </c>
      <c r="B14" s="2871" t="s">
        <v>479</v>
      </c>
      <c r="C14" s="53">
        <f ca="1">ROUND(C13*F14,0)</f>
        <v>11951</v>
      </c>
      <c r="D14" s="2872"/>
      <c r="E14" s="2873"/>
      <c r="F14" s="2875">
        <f>'数据-取费表'!B33</f>
        <v>0.03</v>
      </c>
      <c r="G14" s="2840" t="s">
        <v>480</v>
      </c>
      <c r="H14" s="2841"/>
      <c r="I14" s="2841"/>
      <c r="J14" s="2841"/>
      <c r="K14" s="2842"/>
    </row>
    <row r="15" spans="1:31" s="2118" customFormat="1" ht="13.5" customHeight="1">
      <c r="A15" s="2870" t="s">
        <v>1851</v>
      </c>
      <c r="B15" s="2871" t="s">
        <v>481</v>
      </c>
      <c r="C15" s="53">
        <f ca="1">ROUND(IF(B1="",SUMIF('数据-取费表'!C:C,"住宅",'数据-取费表'!P:P)*F15,IF(INDIRECT("'数据-取费表'!c"&amp;$K$1)="住宅",INDIRECT("'数据-取费表'!P"&amp;$K$1)*F15,0)),0)</f>
        <v>29892</v>
      </c>
      <c r="D15" s="2872"/>
      <c r="E15" s="2873"/>
      <c r="F15" s="2875">
        <f>'数据-取费表'!B34</f>
        <v>0.1</v>
      </c>
      <c r="G15" s="2840" t="s">
        <v>482</v>
      </c>
      <c r="H15" s="2841"/>
      <c r="I15" s="2841"/>
      <c r="J15" s="2841"/>
      <c r="K15" s="2842"/>
    </row>
    <row r="16" spans="1:31" s="2119" customFormat="1" ht="13.5" customHeight="1">
      <c r="A16" s="2870" t="s">
        <v>1852</v>
      </c>
      <c r="B16" s="2871" t="s">
        <v>483</v>
      </c>
      <c r="C16" s="53">
        <f ca="1">ROUND(D16*E16/10000,0)</f>
        <v>36792</v>
      </c>
      <c r="D16" s="2872">
        <f ca="1">IF(B1="",'数据-汇总表'!E3,INDIRECT("'数据-取费表'!K"&amp;$K$1)+INDIRECT("'数据-取费表'!S"&amp;$K$1))</f>
        <v>1839613.3399999999</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1853</v>
      </c>
      <c r="B17" s="2871" t="s">
        <v>484</v>
      </c>
      <c r="C17" s="2876">
        <f ca="1">ROUND(C13*F17,0)</f>
        <v>5975</v>
      </c>
      <c r="D17" s="475"/>
      <c r="E17" s="2876"/>
      <c r="F17" s="2877">
        <f>'数据-取费表'!B36</f>
        <v>1.4999999999999999E-2</v>
      </c>
      <c r="G17" s="261" t="s">
        <v>485</v>
      </c>
      <c r="H17" s="2843"/>
      <c r="I17" s="2843"/>
      <c r="J17" s="2843"/>
      <c r="K17" s="279"/>
    </row>
    <row r="18" spans="1:14" s="2118" customFormat="1" ht="13.5" customHeight="1">
      <c r="A18" s="2878" t="s">
        <v>1854</v>
      </c>
      <c r="B18" s="2879" t="s">
        <v>486</v>
      </c>
      <c r="C18" s="2880">
        <f ca="1">SUM(C13:C17)</f>
        <v>482960</v>
      </c>
      <c r="D18" s="2881"/>
      <c r="E18" s="468"/>
      <c r="F18" s="468"/>
      <c r="G18" s="2844" t="s">
        <v>2434</v>
      </c>
      <c r="H18" s="2845"/>
      <c r="I18" s="2845"/>
      <c r="J18" s="2845"/>
      <c r="K18" s="2846"/>
    </row>
    <row r="19" spans="1:14" s="2118" customFormat="1" ht="13.5" customHeight="1">
      <c r="A19" s="2878" t="s">
        <v>1855</v>
      </c>
      <c r="B19" s="2879" t="s">
        <v>487</v>
      </c>
      <c r="C19" s="2836">
        <f ca="1">ROUND(D19*E19/10000,0)</f>
        <v>0</v>
      </c>
      <c r="D19" s="2882">
        <f ca="1">D16</f>
        <v>1839613.3399999999</v>
      </c>
      <c r="E19" s="2836">
        <f>'数据-取费表'!B32</f>
        <v>0</v>
      </c>
      <c r="F19" s="468"/>
      <c r="G19" s="2840" t="s">
        <v>488</v>
      </c>
      <c r="H19" s="2841"/>
      <c r="I19" s="2845"/>
      <c r="J19" s="2845"/>
      <c r="K19" s="2846"/>
    </row>
    <row r="20" spans="1:14" s="2118" customFormat="1" ht="13.5" customHeight="1">
      <c r="A20" s="2878" t="s">
        <v>1856</v>
      </c>
      <c r="B20" s="2879" t="s">
        <v>489</v>
      </c>
      <c r="C20" s="2836">
        <f ca="1">C21+C22-IF(B1="",'数据-取费表'!B29,IF(G20="已全部缴纳",C21+C22,H20))</f>
        <v>31273</v>
      </c>
      <c r="D20" s="2882"/>
      <c r="E20" s="2836"/>
      <c r="F20" s="2883"/>
      <c r="G20" s="3117"/>
      <c r="H20" s="2838"/>
      <c r="I20" s="2839" t="s">
        <v>2659</v>
      </c>
      <c r="J20" s="2845"/>
      <c r="K20" s="2846"/>
    </row>
    <row r="21" spans="1:14" s="2118" customFormat="1" ht="13.5" customHeight="1">
      <c r="A21" s="2870" t="s">
        <v>1857</v>
      </c>
      <c r="B21" s="2871" t="s">
        <v>490</v>
      </c>
      <c r="C21" s="53">
        <f ca="1">ROUND(D21*E21/10000,0)</f>
        <v>22094</v>
      </c>
      <c r="D21" s="2872">
        <f ca="1">IF(B1="",'数据-汇总表'!E5,IF(INDIRECT("'数据-取费表'!c"&amp;$K$1)="住宅",INDIRECT("'数据-取费表'!k"&amp;$K$1),0))</f>
        <v>1299666.67</v>
      </c>
      <c r="E21" s="53">
        <f>'数据-取费表'!B27</f>
        <v>170</v>
      </c>
      <c r="F21" s="2875"/>
      <c r="G21" s="26"/>
      <c r="H21" s="51"/>
      <c r="I21" s="51"/>
      <c r="J21" s="51"/>
      <c r="K21" s="2847"/>
    </row>
    <row r="22" spans="1:14" s="2118" customFormat="1" ht="13.5" customHeight="1">
      <c r="A22" s="2870" t="s">
        <v>1858</v>
      </c>
      <c r="B22" s="2871" t="s">
        <v>491</v>
      </c>
      <c r="C22" s="53">
        <f ca="1">ROUND(D22*E22/10000,0)</f>
        <v>9179</v>
      </c>
      <c r="D22" s="2872">
        <f ca="1">IF(B1="",'数据-汇总表'!E6,IF(INDIRECT("'数据-取费表'!c"&amp;$K$1)="住宅",INDIRECT("'数据-取费表'!s"&amp;$K$1),INDIRECT("'数据-取费表'!k"&amp;$K$1)+INDIRECT("'数据-取费表'!s"&amp;$K$1)))</f>
        <v>539946.66999999993</v>
      </c>
      <c r="E22" s="53">
        <f>'数据-取费表'!B28</f>
        <v>170</v>
      </c>
      <c r="F22" s="2875"/>
      <c r="G22" s="26"/>
      <c r="H22" s="51"/>
      <c r="I22" s="51"/>
      <c r="J22" s="51"/>
      <c r="K22" s="2847"/>
    </row>
    <row r="23" spans="1:14" s="2118" customFormat="1" ht="13.5" customHeight="1">
      <c r="A23" s="2878" t="s">
        <v>1859</v>
      </c>
      <c r="B23" s="3063" t="s">
        <v>2842</v>
      </c>
      <c r="C23" s="2880">
        <f ca="1">ROUND((C18+C19+C20)*F23,0)</f>
        <v>15427</v>
      </c>
      <c r="D23" s="468"/>
      <c r="E23" s="468"/>
      <c r="F23" s="2884">
        <f>'数据-取费表'!B37</f>
        <v>0.03</v>
      </c>
      <c r="G23" s="2840" t="s">
        <v>2435</v>
      </c>
      <c r="H23" s="2841"/>
      <c r="I23" s="2841"/>
      <c r="J23" s="2841"/>
      <c r="K23" s="2842"/>
      <c r="L23" s="2120"/>
      <c r="M23" s="2120"/>
      <c r="N23" s="2120"/>
    </row>
    <row r="24" spans="1:14" s="2118" customFormat="1" ht="13.5" customHeight="1">
      <c r="A24" s="2878" t="s">
        <v>1860</v>
      </c>
      <c r="B24" s="3063" t="s">
        <v>2845</v>
      </c>
      <c r="C24" s="2880">
        <f>ROUND(C6*F24,0)</f>
        <v>35168</v>
      </c>
      <c r="D24" s="475"/>
      <c r="E24" s="473"/>
      <c r="F24" s="2884">
        <f>'数据-取费表'!B38</f>
        <v>0.03</v>
      </c>
      <c r="G24" s="2849" t="s">
        <v>498</v>
      </c>
      <c r="H24" s="2843"/>
      <c r="I24" s="2843"/>
      <c r="J24" s="2843"/>
      <c r="K24" s="279"/>
      <c r="L24" s="2120"/>
      <c r="M24" s="2120"/>
      <c r="N24" s="2120"/>
    </row>
    <row r="25" spans="1:14" s="2121" customFormat="1" ht="13.5" customHeight="1">
      <c r="A25" s="2878" t="s">
        <v>1861</v>
      </c>
      <c r="B25" s="3063" t="s">
        <v>2843</v>
      </c>
      <c r="C25" s="467">
        <f>ROUND(F25/(1+'数据-取费表'!C42),4)</f>
        <v>3.8600000000000002E-2</v>
      </c>
      <c r="D25" s="462" t="s">
        <v>2837</v>
      </c>
      <c r="E25" s="469"/>
      <c r="F25" s="2884">
        <f>'数据-取费表'!B48+'数据-取费表'!B49</f>
        <v>4.0500000000000001E-2</v>
      </c>
      <c r="G25" s="2848" t="s">
        <v>2292</v>
      </c>
      <c r="H25" s="2841"/>
      <c r="I25" s="2841"/>
      <c r="J25" s="2841"/>
      <c r="K25" s="2842"/>
    </row>
    <row r="26" spans="1:14" s="2120" customFormat="1" ht="13.5" customHeight="1">
      <c r="A26" s="2878" t="s">
        <v>1862</v>
      </c>
      <c r="B26" s="3064" t="s">
        <v>2844</v>
      </c>
      <c r="C26" s="2885">
        <f ca="1">C28</f>
        <v>40718</v>
      </c>
      <c r="D26" s="467">
        <f ca="1">C27</f>
        <v>0.15509999999999999</v>
      </c>
      <c r="E26" s="469" t="s">
        <v>494</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1857</v>
      </c>
      <c r="B27" s="2886" t="s">
        <v>495</v>
      </c>
      <c r="C27" s="2887">
        <f ca="1">ROUND(IF('数据-取费表'!B22&lt;=1,(1+C25)*F26*'数据-取费表'!B24,(1+C25)*(POWER((1+F26),'数据-取费表'!B24)-1)),4)</f>
        <v>0.15509999999999999</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1858</v>
      </c>
      <c r="B28" s="2886" t="s">
        <v>2846</v>
      </c>
      <c r="C28" s="2888">
        <f ca="1">ROUND(IF('数据-取费表'!B22&lt;=1,(C18+C19+C20+C23+C24)*F26*'数据-取费表'!B24/2,(C18+C19+C20+C23+C24)*(POWER((1+F26),'数据-取费表'!B24/2)-1)),0)</f>
        <v>40718</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1863</v>
      </c>
      <c r="B29" s="2879" t="s">
        <v>496</v>
      </c>
      <c r="C29" s="2880">
        <f>ROUND(C6*F29/(1+'数据-取费表'!C42),0)</f>
        <v>62520</v>
      </c>
      <c r="D29" s="468"/>
      <c r="E29" s="468"/>
      <c r="F29" s="3065">
        <f>'数据-取费表'!B41</f>
        <v>5.6000000000000001E-2</v>
      </c>
      <c r="G29" s="2849" t="s">
        <v>497</v>
      </c>
      <c r="H29" s="2841"/>
      <c r="I29" s="2841"/>
      <c r="J29" s="2841"/>
      <c r="K29" s="2842"/>
    </row>
    <row r="30" spans="1:14" s="2123" customFormat="1" ht="13.5" customHeight="1">
      <c r="A30" s="1636" t="s">
        <v>1864</v>
      </c>
      <c r="B30" s="2890" t="s">
        <v>499</v>
      </c>
      <c r="C30" s="2885">
        <f ca="1">C31</f>
        <v>668066</v>
      </c>
      <c r="D30" s="477">
        <f ca="1">C32</f>
        <v>0.19370000000000001</v>
      </c>
      <c r="E30" s="469" t="s">
        <v>494</v>
      </c>
      <c r="F30" s="471"/>
      <c r="G30" s="2840" t="s">
        <v>500</v>
      </c>
      <c r="H30" s="2841"/>
      <c r="I30" s="2841"/>
      <c r="J30" s="2841"/>
      <c r="K30" s="2842"/>
    </row>
    <row r="31" spans="1:14" s="2122" customFormat="1" ht="13.5" customHeight="1">
      <c r="A31" s="803" t="s">
        <v>1857</v>
      </c>
      <c r="B31" s="2886"/>
      <c r="C31" s="450">
        <f ca="1">C18+C19+C20+C23+C24+C26+C29</f>
        <v>668066</v>
      </c>
      <c r="D31" s="472"/>
      <c r="E31" s="473"/>
      <c r="F31" s="474"/>
      <c r="G31" s="261"/>
      <c r="H31" s="2843"/>
      <c r="I31" s="2843"/>
      <c r="J31" s="2843"/>
      <c r="K31" s="279"/>
    </row>
    <row r="32" spans="1:14" s="2122" customFormat="1" ht="13.5" customHeight="1">
      <c r="A32" s="803" t="s">
        <v>1858</v>
      </c>
      <c r="B32" s="2886"/>
      <c r="C32" s="53">
        <f ca="1">ROUND(C25+D26,4)</f>
        <v>0.19370000000000001</v>
      </c>
      <c r="D32" s="472"/>
      <c r="E32" s="473"/>
      <c r="F32" s="474"/>
      <c r="G32" s="261"/>
      <c r="H32" s="2843"/>
      <c r="I32" s="2843"/>
      <c r="J32" s="2843"/>
      <c r="K32" s="279"/>
    </row>
    <row r="33" spans="1:11" s="2124" customFormat="1" ht="13.5" customHeight="1">
      <c r="A33" s="3062" t="s">
        <v>2841</v>
      </c>
      <c r="B33" s="3060" t="s">
        <v>2839</v>
      </c>
      <c r="C33" s="478">
        <f ca="1">C35</f>
        <v>112966</v>
      </c>
      <c r="D33" s="467">
        <f ca="1">C34</f>
        <v>0.2077</v>
      </c>
      <c r="E33" s="469" t="s">
        <v>494</v>
      </c>
      <c r="F33" s="479">
        <f ca="1">IF(B1="",'数据-取费表'!Q16,INDIRECT("'数据-取费表'!q"&amp;$K$1))</f>
        <v>0.2</v>
      </c>
      <c r="G33" s="2844"/>
      <c r="H33" s="2845"/>
      <c r="I33" s="2845"/>
      <c r="J33" s="2845"/>
      <c r="K33" s="2846"/>
    </row>
    <row r="34" spans="1:11" s="2125" customFormat="1" ht="13.5" customHeight="1">
      <c r="A34" s="375" t="s">
        <v>1857</v>
      </c>
      <c r="B34" s="2891" t="s">
        <v>501</v>
      </c>
      <c r="C34" s="472">
        <f ca="1">ROUND((1+C25)*F33,4)</f>
        <v>0.2077</v>
      </c>
      <c r="D34" s="472"/>
      <c r="E34" s="473"/>
      <c r="F34" s="480"/>
      <c r="G34" s="261" t="s">
        <v>2293</v>
      </c>
      <c r="H34" s="2843"/>
      <c r="I34" s="2843"/>
      <c r="J34" s="2843"/>
      <c r="K34" s="279"/>
    </row>
    <row r="35" spans="1:11" s="2125" customFormat="1" ht="13.5" customHeight="1" thickBot="1">
      <c r="A35" s="1637" t="s">
        <v>1858</v>
      </c>
      <c r="B35" s="3061" t="s">
        <v>2847</v>
      </c>
      <c r="C35" s="1629">
        <f ca="1">ROUND((C18+C19+C20+C23+C24)*F33,0)</f>
        <v>112966</v>
      </c>
      <c r="D35" s="1630"/>
      <c r="E35" s="2892"/>
      <c r="F35" s="1631"/>
      <c r="G35" s="2850"/>
      <c r="H35" s="2851"/>
      <c r="I35" s="2851"/>
      <c r="J35" s="2851"/>
      <c r="K35" s="2852"/>
    </row>
    <row r="36" spans="1:11" s="2087" customFormat="1" ht="13.5" customHeight="1" thickBot="1">
      <c r="A36" s="284" t="s">
        <v>1845</v>
      </c>
      <c r="B36" s="2854"/>
      <c r="C36" s="2893">
        <f ca="1">ROUND((C6-C30-C33)/(1+D30+D33),0)</f>
        <v>279163</v>
      </c>
      <c r="D36" s="2854"/>
      <c r="E36" s="2854"/>
      <c r="F36" s="2854"/>
      <c r="G36" s="2853" t="s">
        <v>2848</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37"/>
      <c r="C1" s="2106"/>
      <c r="D1" s="2106"/>
      <c r="E1" s="2106"/>
      <c r="F1" s="2106"/>
      <c r="G1" s="2106"/>
      <c r="H1" s="2106"/>
      <c r="I1" s="2106"/>
      <c r="J1" s="2106"/>
      <c r="K1" s="422">
        <f>MATCH(B1,'数据-取费表'!A6:A16,0)+5</f>
        <v>9</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2660</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1849</v>
      </c>
      <c r="B13" s="449" t="s">
        <v>478</v>
      </c>
      <c r="C13" s="450">
        <f ca="1">IF(B1="",'数据-取费表'!M16,INDIRECT("'数据-取费表'!M"&amp;$K$1)+INDIRECT("'数据-取费表'!t"&amp;$K$1))</f>
        <v>398350</v>
      </c>
      <c r="D13" s="451"/>
      <c r="E13" s="365"/>
      <c r="F13" s="452"/>
      <c r="G13" s="444"/>
      <c r="H13" s="447"/>
      <c r="I13" s="447"/>
      <c r="J13" s="447"/>
      <c r="K13" s="448"/>
    </row>
    <row r="14" spans="1:41" s="2118" customFormat="1" ht="13.5" customHeight="1">
      <c r="A14" s="1634" t="s">
        <v>1850</v>
      </c>
      <c r="B14" s="449" t="s">
        <v>479</v>
      </c>
      <c r="C14" s="53">
        <f ca="1">ROUND(C13*F14,0)</f>
        <v>11951</v>
      </c>
      <c r="D14" s="451"/>
      <c r="E14" s="365"/>
      <c r="F14" s="453">
        <f>'数据-取费表'!B33</f>
        <v>0.03</v>
      </c>
      <c r="G14" s="444" t="s">
        <v>502</v>
      </c>
      <c r="H14" s="447"/>
      <c r="I14" s="447"/>
      <c r="J14" s="447"/>
      <c r="K14" s="448"/>
    </row>
    <row r="15" spans="1:41" s="2118" customFormat="1" ht="13.5" customHeight="1">
      <c r="A15" s="1634" t="s">
        <v>1851</v>
      </c>
      <c r="B15" s="449" t="s">
        <v>481</v>
      </c>
      <c r="C15" s="53">
        <f ca="1">ROUND(IF(B1="",SUMIF('数据-取费表'!C:C,"住宅",'数据-取费表'!M:M)*F15,IF(INDIRECT("'数据-取费表'!c"&amp;$K$1)="住宅",INDIRECT("'数据-取费表'!M"&amp;$K$1)*F15,0)),0)</f>
        <v>29892</v>
      </c>
      <c r="D15" s="451"/>
      <c r="E15" s="365"/>
      <c r="F15" s="453">
        <f>'数据-取费表'!B34</f>
        <v>0.1</v>
      </c>
      <c r="G15" s="444" t="s">
        <v>502</v>
      </c>
      <c r="H15" s="447"/>
      <c r="I15" s="447"/>
      <c r="J15" s="447"/>
      <c r="K15" s="448"/>
    </row>
    <row r="16" spans="1:41" s="2119" customFormat="1" ht="13.5" customHeight="1">
      <c r="A16" s="1634" t="s">
        <v>1852</v>
      </c>
      <c r="B16" s="449" t="s">
        <v>483</v>
      </c>
      <c r="C16" s="53">
        <f ca="1">ROUND(D16*E16/10000,0)</f>
        <v>36792</v>
      </c>
      <c r="D16" s="451">
        <f ca="1">IF(B1="",'数据-汇总表'!E3,INDIRECT("'数据-取费表'!K"&amp;$K$1)+INDIRECT("'数据-取费表'!S"&amp;$K$1))</f>
        <v>1839613.3399999999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484</v>
      </c>
      <c r="C17" s="454">
        <f ca="1">ROUND(C13*F17,0)</f>
        <v>5975</v>
      </c>
      <c r="D17" s="455"/>
      <c r="E17" s="454"/>
      <c r="F17" s="456">
        <f>'数据-取费表'!B36</f>
        <v>1.4999999999999999E-2</v>
      </c>
      <c r="G17" s="444" t="s">
        <v>502</v>
      </c>
      <c r="H17" s="457"/>
      <c r="I17" s="457"/>
      <c r="J17" s="457"/>
      <c r="K17" s="458"/>
    </row>
    <row r="18" spans="1:14" s="2121" customFormat="1" ht="13.5" customHeight="1">
      <c r="A18" s="1635" t="s">
        <v>1854</v>
      </c>
      <c r="B18" s="459" t="s">
        <v>486</v>
      </c>
      <c r="C18" s="460">
        <f ca="1">SUM(C13:C17)</f>
        <v>482960</v>
      </c>
      <c r="D18" s="461"/>
      <c r="E18" s="462"/>
      <c r="F18" s="462"/>
      <c r="G18" s="1327" t="s">
        <v>2436</v>
      </c>
      <c r="H18" s="447"/>
      <c r="I18" s="447"/>
      <c r="J18" s="447"/>
      <c r="K18" s="448"/>
    </row>
    <row r="19" spans="1:14" s="2121" customFormat="1" ht="13.5" customHeight="1">
      <c r="A19" s="1635" t="s">
        <v>1855</v>
      </c>
      <c r="B19" s="459" t="s">
        <v>492</v>
      </c>
      <c r="C19" s="460">
        <f ca="1">ROUND(C18*F19,0)</f>
        <v>14489</v>
      </c>
      <c r="D19" s="462"/>
      <c r="E19" s="462"/>
      <c r="F19" s="466">
        <f>'数据-取费表'!B37</f>
        <v>0.03</v>
      </c>
      <c r="G19" s="444" t="s">
        <v>503</v>
      </c>
      <c r="H19" s="447"/>
      <c r="I19" s="447"/>
      <c r="J19" s="447"/>
      <c r="K19" s="448"/>
      <c r="L19" s="2123"/>
      <c r="M19" s="2123"/>
      <c r="N19" s="2123"/>
    </row>
    <row r="20" spans="1:14" s="2121" customFormat="1" ht="13.5" customHeight="1">
      <c r="A20" s="1635" t="s">
        <v>1856</v>
      </c>
      <c r="B20" s="459" t="s">
        <v>504</v>
      </c>
      <c r="C20" s="3058">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493</v>
      </c>
      <c r="C21" s="470">
        <f ca="1">C22</f>
        <v>35861</v>
      </c>
      <c r="D21" s="467">
        <f ca="1">C23</f>
        <v>2.2000000000000001E-3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2458</v>
      </c>
    </row>
    <row r="22" spans="1:14" s="2122" customFormat="1" ht="13.5" customHeight="1">
      <c r="A22" s="1634" t="s">
        <v>1849</v>
      </c>
      <c r="B22" s="1328" t="s">
        <v>2439</v>
      </c>
      <c r="C22" s="487">
        <f ca="1">ROUND(IF('数据-取费表'!B22&lt;=1,(C18+C19)*F21*'数据-取费表'!B20/2,(C18+C19)*(POWER((1+F21),'数据-取费表'!B20/2)-1)),0)</f>
        <v>35861</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2.2000000000000001E-3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60" t="s">
        <v>2840</v>
      </c>
      <c r="C24" s="478">
        <f ca="1">C25</f>
        <v>99490</v>
      </c>
      <c r="D24" s="489">
        <f ca="1">C26</f>
        <v>6.0000000000000001E-3</v>
      </c>
      <c r="E24" s="469" t="s">
        <v>507</v>
      </c>
      <c r="F24" s="479">
        <f ca="1">IF(B1="",'数据-取费表'!Q16,INDIRECT("'数据-取费表'!q"&amp;$K$1))</f>
        <v>0.2</v>
      </c>
      <c r="G24" s="444"/>
      <c r="H24" s="447"/>
      <c r="I24" s="447"/>
      <c r="J24" s="447"/>
      <c r="K24" s="448"/>
    </row>
    <row r="25" spans="1:14" s="2122" customFormat="1" ht="13.5" customHeight="1">
      <c r="A25" s="1634" t="s">
        <v>1849</v>
      </c>
      <c r="B25" s="1328" t="s">
        <v>2440</v>
      </c>
      <c r="C25" s="490">
        <f ca="1">ROUND((C18+C19)*F24,0)</f>
        <v>99490</v>
      </c>
      <c r="D25" s="472"/>
      <c r="E25" s="473"/>
      <c r="F25" s="480"/>
      <c r="G25" s="1326" t="s">
        <v>2437</v>
      </c>
      <c r="H25" s="457"/>
      <c r="I25" s="457"/>
      <c r="J25" s="457"/>
      <c r="K25" s="458"/>
    </row>
    <row r="26" spans="1:14" s="2122" customFormat="1" ht="13.5" customHeight="1">
      <c r="A26" s="1634" t="s">
        <v>1850</v>
      </c>
      <c r="B26" s="1328" t="s">
        <v>509</v>
      </c>
      <c r="C26" s="491">
        <f ca="1">ROUND(F20*F24,4)</f>
        <v>6.0000000000000001E-3</v>
      </c>
      <c r="D26" s="472"/>
      <c r="E26" s="481"/>
      <c r="F26" s="480"/>
      <c r="G26" s="1326" t="s">
        <v>510</v>
      </c>
      <c r="H26" s="457"/>
      <c r="I26" s="457"/>
      <c r="J26" s="457"/>
      <c r="K26" s="458"/>
    </row>
    <row r="27" spans="1:14" s="2122" customFormat="1" ht="13.5" customHeight="1">
      <c r="A27" s="1638" t="s">
        <v>1868</v>
      </c>
      <c r="B27" s="459" t="s">
        <v>511</v>
      </c>
      <c r="C27" s="3059">
        <f>ROUND(F27/(1+'数据-取费表'!C42),4)</f>
        <v>5.33E-2</v>
      </c>
      <c r="D27" s="462" t="s">
        <v>2838</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696533</v>
      </c>
      <c r="D28" s="477"/>
      <c r="E28" s="469"/>
      <c r="F28" s="471"/>
      <c r="G28" s="1327" t="s">
        <v>2438</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9" t="s">
        <v>2459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郑州市荥阳市出让国有建设用地使用权抵押价格预评估</v>
      </c>
      <c r="C37" s="3181"/>
      <c r="D37" s="3181"/>
      <c r="E37" s="3181"/>
      <c r="F37" s="3181"/>
      <c r="G37" s="3181"/>
      <c r="H37" s="3181"/>
      <c r="I37" s="3181"/>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7" zoomScale="80" zoomScaleNormal="95" zoomScaleSheetLayoutView="80" workbookViewId="0">
      <selection activeCell="K25" sqref="K25"/>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153965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837</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2317</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154</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68" t="s">
        <v>522</v>
      </c>
      <c r="D6" s="3369"/>
      <c r="E6" s="3368" t="s">
        <v>523</v>
      </c>
      <c r="F6" s="3369"/>
      <c r="G6" s="3368" t="s">
        <v>524</v>
      </c>
      <c r="H6" s="3369"/>
      <c r="I6" s="3368" t="s">
        <v>525</v>
      </c>
      <c r="J6" s="3369"/>
      <c r="K6" s="514" t="s">
        <v>526</v>
      </c>
      <c r="L6" s="2135"/>
      <c r="M6" s="2134"/>
      <c r="N6" s="2134"/>
      <c r="O6" s="2136"/>
      <c r="P6" s="3370" t="s">
        <v>527</v>
      </c>
      <c r="Q6" s="3371"/>
      <c r="R6" s="3356" t="s">
        <v>523</v>
      </c>
      <c r="S6" s="3357"/>
      <c r="T6" s="3356" t="s">
        <v>524</v>
      </c>
      <c r="U6" s="3357"/>
      <c r="V6" s="3376" t="s">
        <v>525</v>
      </c>
      <c r="W6" s="3376"/>
      <c r="X6" s="1568"/>
      <c r="Y6" s="3356" t="s">
        <v>527</v>
      </c>
      <c r="Z6" s="3357"/>
      <c r="AA6" s="3351" t="s">
        <v>523</v>
      </c>
      <c r="AB6" s="3352" t="s">
        <v>524</v>
      </c>
      <c r="AC6" s="3351" t="s">
        <v>525</v>
      </c>
    </row>
    <row r="7" spans="1:30" ht="20.25">
      <c r="A7" s="515"/>
      <c r="B7" s="516"/>
      <c r="C7" s="3379" t="s">
        <v>2939</v>
      </c>
      <c r="D7" s="3380"/>
      <c r="E7" s="3379" t="s">
        <v>2940</v>
      </c>
      <c r="F7" s="3380"/>
      <c r="G7" s="3379" t="s">
        <v>2941</v>
      </c>
      <c r="H7" s="3380"/>
      <c r="I7" s="3379" t="s">
        <v>2942</v>
      </c>
      <c r="J7" s="3380"/>
      <c r="K7" s="514"/>
      <c r="L7" s="2135"/>
      <c r="M7" s="2134"/>
      <c r="N7" s="2134"/>
      <c r="O7" s="2136"/>
      <c r="P7" s="3372"/>
      <c r="Q7" s="3373"/>
      <c r="R7" s="3358"/>
      <c r="S7" s="3359"/>
      <c r="T7" s="3358"/>
      <c r="U7" s="3359"/>
      <c r="V7" s="3376"/>
      <c r="W7" s="3376"/>
      <c r="X7" s="1568"/>
      <c r="Y7" s="3358"/>
      <c r="Z7" s="3359"/>
      <c r="AA7" s="3352"/>
      <c r="AB7" s="3352"/>
      <c r="AC7" s="3352"/>
    </row>
    <row r="8" spans="1:30" ht="21" thickBot="1">
      <c r="A8" s="515"/>
      <c r="B8" s="516"/>
      <c r="C8" s="3381" t="s">
        <v>2943</v>
      </c>
      <c r="D8" s="3382"/>
      <c r="E8" s="3383" t="s">
        <v>3109</v>
      </c>
      <c r="F8" s="3382"/>
      <c r="G8" s="3377" t="s">
        <v>3110</v>
      </c>
      <c r="H8" s="3378"/>
      <c r="I8" s="3377" t="s">
        <v>3111</v>
      </c>
      <c r="J8" s="3378"/>
      <c r="K8" s="514" t="s">
        <v>528</v>
      </c>
      <c r="L8" s="2135"/>
      <c r="M8" s="2134"/>
      <c r="N8" s="2134"/>
      <c r="O8" s="2136"/>
      <c r="P8" s="3374"/>
      <c r="Q8" s="3375"/>
      <c r="R8" s="3358"/>
      <c r="S8" s="3359"/>
      <c r="T8" s="3360"/>
      <c r="U8" s="3361"/>
      <c r="V8" s="3376"/>
      <c r="W8" s="3376"/>
      <c r="X8" s="1568"/>
      <c r="Y8" s="3360"/>
      <c r="Z8" s="3361"/>
      <c r="AA8" s="3353"/>
      <c r="AB8" s="3353"/>
      <c r="AC8" s="3353"/>
    </row>
    <row r="9" spans="1:30" s="1220" customFormat="1" ht="21" thickBot="1">
      <c r="A9" s="2940"/>
      <c r="B9" s="2947" t="s">
        <v>529</v>
      </c>
      <c r="C9" s="2939">
        <f>'数据-取费表'!B2</f>
        <v>43077</v>
      </c>
      <c r="D9" s="520">
        <v>100</v>
      </c>
      <c r="E9" s="521">
        <v>42856</v>
      </c>
      <c r="F9" s="522">
        <f>SUMIF(72:72,YEAR(E9)&amp;"-"&amp;INT((MONTH(E9)+2)/3),73:73)</f>
        <v>99</v>
      </c>
      <c r="G9" s="523">
        <v>42795</v>
      </c>
      <c r="H9" s="520">
        <f>SUMIF(72:72,YEAR(G9)&amp;"-"&amp;INT((MONTH(G9)+2)/3),73:73)</f>
        <v>98.5</v>
      </c>
      <c r="I9" s="523">
        <v>42736</v>
      </c>
      <c r="J9" s="520">
        <f>SUMIF(72:72,YEAR(I9)&amp;"-"&amp;INT((MONTH(I9)+2)/3),73:73)</f>
        <v>98.5</v>
      </c>
      <c r="K9" s="524"/>
      <c r="L9" s="2137"/>
      <c r="M9" s="2134"/>
      <c r="N9" s="2134"/>
      <c r="O9" s="2138"/>
      <c r="P9" s="3354" t="s">
        <v>530</v>
      </c>
      <c r="Q9" s="3363"/>
      <c r="R9" s="1569" t="s">
        <v>8</v>
      </c>
      <c r="S9" s="1570">
        <f t="shared" ref="S9:S17" si="0">F9</f>
        <v>99</v>
      </c>
      <c r="T9" s="1569" t="s">
        <v>8</v>
      </c>
      <c r="U9" s="1570">
        <f t="shared" ref="U9:U17" si="1">H9</f>
        <v>98.5</v>
      </c>
      <c r="V9" s="1569" t="s">
        <v>8</v>
      </c>
      <c r="W9" s="1570">
        <f t="shared" ref="W9:W17" si="2">J9</f>
        <v>98.5</v>
      </c>
      <c r="X9" s="1571"/>
      <c r="Y9" s="3354" t="s">
        <v>530</v>
      </c>
      <c r="Z9" s="3355"/>
      <c r="AA9" s="1572">
        <f>D9/F9</f>
        <v>1.0101010101010102</v>
      </c>
      <c r="AB9" s="1572">
        <f>D9/H9</f>
        <v>1.015228426395939</v>
      </c>
      <c r="AC9" s="1572">
        <f>D9/J9</f>
        <v>1.015228426395939</v>
      </c>
    </row>
    <row r="10" spans="1:30" s="1220" customFormat="1" ht="21" thickBot="1">
      <c r="A10" s="2941"/>
      <c r="B10" s="2948" t="s">
        <v>531</v>
      </c>
      <c r="C10" s="856" t="s">
        <v>532</v>
      </c>
      <c r="D10" s="520">
        <v>100</v>
      </c>
      <c r="E10" s="525" t="s">
        <v>2992</v>
      </c>
      <c r="F10" s="522">
        <f>SUMIF(75:75,E10,76:76)-SUMIF(75:75,C10,76:76)+100</f>
        <v>100</v>
      </c>
      <c r="G10" s="525" t="s">
        <v>2992</v>
      </c>
      <c r="H10" s="520">
        <f>SUMIF(75:75,G10,76:76)-SUMIF(75:75,C10,76:76)+100</f>
        <v>100</v>
      </c>
      <c r="I10" s="525" t="s">
        <v>2992</v>
      </c>
      <c r="J10" s="520">
        <f>SUMIF(75:75,I10,76:76)-SUMIF(75:75,C10,76:76)+100</f>
        <v>100</v>
      </c>
      <c r="K10" s="524"/>
      <c r="L10" s="2137"/>
      <c r="M10" s="2134"/>
      <c r="N10" s="2134"/>
      <c r="O10" s="2138"/>
      <c r="P10" s="3354" t="s">
        <v>533</v>
      </c>
      <c r="Q10" s="3355"/>
      <c r="R10" s="1569" t="s">
        <v>8</v>
      </c>
      <c r="S10" s="1570">
        <f t="shared" si="0"/>
        <v>100</v>
      </c>
      <c r="T10" s="1569" t="s">
        <v>8</v>
      </c>
      <c r="U10" s="1570">
        <f t="shared" si="1"/>
        <v>100</v>
      </c>
      <c r="V10" s="1569" t="s">
        <v>8</v>
      </c>
      <c r="W10" s="1570">
        <f t="shared" si="2"/>
        <v>100</v>
      </c>
      <c r="X10" s="1571"/>
      <c r="Y10" s="3354" t="s">
        <v>533</v>
      </c>
      <c r="Z10" s="3355"/>
      <c r="AA10" s="1572">
        <f t="shared" ref="AA10:AA47" si="3">D10/F10</f>
        <v>1</v>
      </c>
      <c r="AB10" s="1572">
        <f t="shared" ref="AB10:AB47" si="4">D10/H10</f>
        <v>1</v>
      </c>
      <c r="AC10" s="1572">
        <f t="shared" ref="AC10:AC47" si="5">D10/J10</f>
        <v>1</v>
      </c>
    </row>
    <row r="11" spans="1:30" s="1220" customFormat="1" ht="20.25">
      <c r="A11" s="2942"/>
      <c r="B11" s="2949" t="s">
        <v>2764</v>
      </c>
      <c r="C11" s="2936"/>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30" s="1338" customFormat="1" ht="27">
      <c r="A12" s="2943"/>
      <c r="B12" s="2948" t="s">
        <v>2765</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362"/>
      <c r="Q12" s="1151" t="str">
        <f t="shared" si="6"/>
        <v>土地使用年限（年）</v>
      </c>
      <c r="R12" s="1569" t="s">
        <v>8</v>
      </c>
      <c r="S12" s="1570">
        <f t="shared" si="0"/>
        <v>100</v>
      </c>
      <c r="T12" s="1569" t="s">
        <v>8</v>
      </c>
      <c r="U12" s="1570">
        <f t="shared" si="1"/>
        <v>100</v>
      </c>
      <c r="V12" s="1569" t="s">
        <v>8</v>
      </c>
      <c r="W12" s="1570">
        <f t="shared" si="2"/>
        <v>100</v>
      </c>
      <c r="X12" s="1571"/>
      <c r="Y12" s="3319"/>
      <c r="Z12" s="1150" t="str">
        <f t="shared" si="7"/>
        <v>土地使用年限（年）</v>
      </c>
      <c r="AA12" s="1572">
        <f t="shared" si="3"/>
        <v>1</v>
      </c>
      <c r="AB12" s="1572">
        <f t="shared" si="4"/>
        <v>1</v>
      </c>
      <c r="AC12" s="1572">
        <f t="shared" si="5"/>
        <v>1</v>
      </c>
    </row>
    <row r="13" spans="1:30" ht="20.25">
      <c r="A13" s="2944"/>
      <c r="B13" s="2948" t="s">
        <v>2766</v>
      </c>
      <c r="C13" s="534">
        <v>2.06</v>
      </c>
      <c r="D13" s="255">
        <v>100</v>
      </c>
      <c r="E13" s="533">
        <v>1.5</v>
      </c>
      <c r="F13" s="255">
        <f>LOOKUP(E13,82:82,83:83)-LOOKUP(C13,82:82,83:83)+100</f>
        <v>98</v>
      </c>
      <c r="G13" s="534">
        <v>3</v>
      </c>
      <c r="H13" s="255">
        <f>LOOKUP(G13,82:82,83:83)-LOOKUP(C13,82:82,83:83)+100</f>
        <v>100</v>
      </c>
      <c r="I13" s="533">
        <v>2.5</v>
      </c>
      <c r="J13" s="255">
        <f>LOOKUP(I13,82:82,83:83)-LOOKUP(C13,82:82,83:83)+100</f>
        <v>100</v>
      </c>
      <c r="K13" s="535">
        <v>2</v>
      </c>
      <c r="L13" s="2142"/>
      <c r="M13" s="2134"/>
      <c r="N13" s="2134"/>
      <c r="O13" s="2143"/>
      <c r="P13" s="3362"/>
      <c r="Q13" s="1151" t="str">
        <f t="shared" si="6"/>
        <v>容积率</v>
      </c>
      <c r="R13" s="1569" t="s">
        <v>8</v>
      </c>
      <c r="S13" s="1570">
        <f t="shared" si="0"/>
        <v>98</v>
      </c>
      <c r="T13" s="1569" t="s">
        <v>8</v>
      </c>
      <c r="U13" s="1570">
        <f t="shared" si="1"/>
        <v>100</v>
      </c>
      <c r="V13" s="1569" t="s">
        <v>8</v>
      </c>
      <c r="W13" s="1570">
        <f t="shared" si="2"/>
        <v>100</v>
      </c>
      <c r="X13" s="1571"/>
      <c r="Y13" s="3319"/>
      <c r="Z13" s="1150" t="str">
        <f t="shared" si="7"/>
        <v>容积率</v>
      </c>
      <c r="AA13" s="1572">
        <f t="shared" si="3"/>
        <v>1.0204081632653061</v>
      </c>
      <c r="AB13" s="1572">
        <f t="shared" si="4"/>
        <v>1</v>
      </c>
      <c r="AC13" s="1572">
        <f t="shared" si="5"/>
        <v>1</v>
      </c>
    </row>
    <row r="14" spans="1:30" s="1220" customFormat="1" ht="20.25">
      <c r="A14" s="2941"/>
      <c r="B14" s="2950" t="s">
        <v>2767</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2"/>
      <c r="Q14" s="1151" t="str">
        <f t="shared" si="6"/>
        <v>配建</v>
      </c>
      <c r="R14" s="1569" t="s">
        <v>8</v>
      </c>
      <c r="S14" s="1570">
        <f t="shared" si="0"/>
        <v>100</v>
      </c>
      <c r="T14" s="1569" t="s">
        <v>8</v>
      </c>
      <c r="U14" s="1570">
        <f t="shared" si="1"/>
        <v>100</v>
      </c>
      <c r="V14" s="1569" t="s">
        <v>8</v>
      </c>
      <c r="W14" s="1570">
        <f t="shared" si="2"/>
        <v>100</v>
      </c>
      <c r="X14" s="1571"/>
      <c r="Y14" s="3319"/>
      <c r="Z14" s="1150" t="str">
        <f t="shared" si="7"/>
        <v>配建</v>
      </c>
      <c r="AA14" s="1572">
        <f>D14/F14</f>
        <v>1</v>
      </c>
      <c r="AB14" s="1572">
        <f>D14/H14</f>
        <v>1</v>
      </c>
      <c r="AC14" s="1572">
        <f>D14/J14</f>
        <v>1</v>
      </c>
    </row>
    <row r="15" spans="1:30" ht="20.25">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D15/F15</f>
        <v>1</v>
      </c>
      <c r="AB15" s="1572">
        <f>D15/H15</f>
        <v>1</v>
      </c>
      <c r="AC15" s="1572">
        <f>D15/J15</f>
        <v>1</v>
      </c>
    </row>
    <row r="16" spans="1:30" ht="2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D16/F16</f>
        <v>1</v>
      </c>
      <c r="AB16" s="1572">
        <f>D16/H16</f>
        <v>1</v>
      </c>
      <c r="AC16" s="1572">
        <f>D16/J16</f>
        <v>1</v>
      </c>
    </row>
    <row r="17" spans="1:29" ht="99.75">
      <c r="A17" s="2938" t="s">
        <v>2762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106</v>
      </c>
      <c r="I17" s="552"/>
      <c r="J17" s="549">
        <f>SUMIF(90:90,I18,91:91)-SUMIF(90:90,C18,91:91)+100</f>
        <v>103</v>
      </c>
      <c r="K17" s="535">
        <v>3</v>
      </c>
      <c r="L17" s="2144"/>
      <c r="M17" s="2134"/>
      <c r="N17" s="2134"/>
      <c r="O17" s="2143"/>
      <c r="P17" s="3364" t="s">
        <v>540</v>
      </c>
      <c r="Q17" s="1573" t="str">
        <f t="shared" si="6"/>
        <v>居住社区成熟度</v>
      </c>
      <c r="R17" s="1574" t="s">
        <v>8</v>
      </c>
      <c r="S17" s="1575">
        <f t="shared" si="0"/>
        <v>103</v>
      </c>
      <c r="T17" s="1574" t="s">
        <v>8</v>
      </c>
      <c r="U17" s="1575">
        <f t="shared" si="1"/>
        <v>106</v>
      </c>
      <c r="V17" s="1574" t="s">
        <v>8</v>
      </c>
      <c r="W17" s="1575">
        <f t="shared" si="2"/>
        <v>103</v>
      </c>
      <c r="X17" s="1568"/>
      <c r="Y17" s="3364" t="s">
        <v>540</v>
      </c>
      <c r="Z17" s="1576" t="str">
        <f t="shared" si="7"/>
        <v>居住社区成熟度</v>
      </c>
      <c r="AA17" s="1577">
        <f t="shared" si="3"/>
        <v>0.970873786407767</v>
      </c>
      <c r="AB17" s="1577">
        <f t="shared" si="4"/>
        <v>0.94339622641509435</v>
      </c>
      <c r="AC17" s="1577">
        <f t="shared" si="5"/>
        <v>0.970873786407767</v>
      </c>
    </row>
    <row r="18" spans="1:29" ht="20.25">
      <c r="A18" s="532"/>
      <c r="B18" s="553"/>
      <c r="C18" s="554" t="s">
        <v>2994</v>
      </c>
      <c r="D18" s="557"/>
      <c r="E18" s="558" t="s">
        <v>2996</v>
      </c>
      <c r="F18" s="555"/>
      <c r="G18" s="556" t="s">
        <v>2995</v>
      </c>
      <c r="H18" s="559"/>
      <c r="I18" s="558" t="s">
        <v>2996</v>
      </c>
      <c r="J18" s="555"/>
      <c r="K18" s="531"/>
      <c r="L18" s="2144"/>
      <c r="M18" s="2134"/>
      <c r="N18" s="2134"/>
      <c r="O18" s="2143"/>
      <c r="P18" s="3365"/>
      <c r="Q18" s="1573"/>
      <c r="R18" s="1574"/>
      <c r="S18" s="1575"/>
      <c r="T18" s="1574"/>
      <c r="U18" s="1575"/>
      <c r="V18" s="1574"/>
      <c r="W18" s="1575"/>
      <c r="X18" s="1568"/>
      <c r="Y18" s="336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104</v>
      </c>
      <c r="G19" s="562"/>
      <c r="H19" s="565">
        <f>SUMIF(92:92,G20,93:93)-SUMIF(92:92,C20,93:93)+100</f>
        <v>104</v>
      </c>
      <c r="I19" s="564"/>
      <c r="J19" s="565">
        <f>SUMIF(92:92,I20,93:93)-SUMIF(92:92,C20,93:93)+100</f>
        <v>104</v>
      </c>
      <c r="K19" s="535">
        <v>2</v>
      </c>
      <c r="L19" s="2144"/>
      <c r="M19" s="2134"/>
      <c r="N19" s="2134"/>
      <c r="O19" s="2143"/>
      <c r="P19" s="3365"/>
      <c r="Q19" s="1573" t="str">
        <f>B19</f>
        <v>商业繁华度</v>
      </c>
      <c r="R19" s="1574" t="s">
        <v>8</v>
      </c>
      <c r="S19" s="1575">
        <f>F19</f>
        <v>104</v>
      </c>
      <c r="T19" s="1574" t="s">
        <v>8</v>
      </c>
      <c r="U19" s="1575">
        <f>H19</f>
        <v>104</v>
      </c>
      <c r="V19" s="1574" t="s">
        <v>8</v>
      </c>
      <c r="W19" s="1575">
        <f>J19</f>
        <v>104</v>
      </c>
      <c r="X19" s="1568"/>
      <c r="Y19" s="3365"/>
      <c r="Z19" s="1576" t="str">
        <f>Q19</f>
        <v>商业繁华度</v>
      </c>
      <c r="AA19" s="1577">
        <f t="shared" si="3"/>
        <v>0.96153846153846156</v>
      </c>
      <c r="AB19" s="1577">
        <f t="shared" si="4"/>
        <v>0.96153846153846156</v>
      </c>
      <c r="AC19" s="1577">
        <f t="shared" si="5"/>
        <v>0.96153846153846156</v>
      </c>
    </row>
    <row r="20" spans="1:29" ht="20.25">
      <c r="A20" s="532"/>
      <c r="B20" s="566"/>
      <c r="C20" s="567" t="s">
        <v>2994</v>
      </c>
      <c r="D20" s="563"/>
      <c r="E20" s="569" t="s">
        <v>2995</v>
      </c>
      <c r="F20" s="559"/>
      <c r="G20" s="568" t="s">
        <v>2995</v>
      </c>
      <c r="H20" s="555"/>
      <c r="I20" s="569" t="s">
        <v>2995</v>
      </c>
      <c r="J20" s="555"/>
      <c r="K20" s="531"/>
      <c r="L20" s="2144"/>
      <c r="M20" s="2134"/>
      <c r="N20" s="2134"/>
      <c r="O20" s="2143"/>
      <c r="P20" s="3365"/>
      <c r="Q20" s="1573"/>
      <c r="R20" s="1574"/>
      <c r="S20" s="1575"/>
      <c r="T20" s="1574"/>
      <c r="U20" s="1575"/>
      <c r="V20" s="1574"/>
      <c r="W20" s="1575"/>
      <c r="X20" s="1568"/>
      <c r="Y20" s="336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65"/>
      <c r="Q21" s="1573" t="str">
        <f>B21</f>
        <v>办公集聚程度</v>
      </c>
      <c r="R21" s="1574" t="s">
        <v>8</v>
      </c>
      <c r="S21" s="1575">
        <f>F21</f>
        <v>100</v>
      </c>
      <c r="T21" s="1574" t="s">
        <v>8</v>
      </c>
      <c r="U21" s="1575">
        <f>H21</f>
        <v>100</v>
      </c>
      <c r="V21" s="1574" t="s">
        <v>8</v>
      </c>
      <c r="W21" s="1575">
        <f>J21</f>
        <v>100</v>
      </c>
      <c r="X21" s="1568"/>
      <c r="Y21" s="3365"/>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65"/>
      <c r="Q22" s="1573"/>
      <c r="R22" s="1574"/>
      <c r="S22" s="1575"/>
      <c r="T22" s="1574"/>
      <c r="U22" s="1575"/>
      <c r="V22" s="1574"/>
      <c r="W22" s="1575"/>
      <c r="X22" s="1568"/>
      <c r="Y22" s="336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44"/>
      <c r="M23" s="2134"/>
      <c r="N23" s="2134"/>
      <c r="O23" s="2143"/>
      <c r="P23" s="3365"/>
      <c r="Q23" s="1573" t="str">
        <f>B23</f>
        <v>交通便捷度</v>
      </c>
      <c r="R23" s="1574" t="s">
        <v>8</v>
      </c>
      <c r="S23" s="1575">
        <f>F23</f>
        <v>102</v>
      </c>
      <c r="T23" s="1574" t="s">
        <v>8</v>
      </c>
      <c r="U23" s="1575">
        <f>H23</f>
        <v>102</v>
      </c>
      <c r="V23" s="1574" t="s">
        <v>8</v>
      </c>
      <c r="W23" s="1575">
        <f>J23</f>
        <v>102</v>
      </c>
      <c r="X23" s="1568"/>
      <c r="Y23" s="3365"/>
      <c r="Z23" s="1576" t="str">
        <f>Q23</f>
        <v>交通便捷度</v>
      </c>
      <c r="AA23" s="1577">
        <f t="shared" si="3"/>
        <v>0.98039215686274506</v>
      </c>
      <c r="AB23" s="1577">
        <f t="shared" si="4"/>
        <v>0.98039215686274506</v>
      </c>
      <c r="AC23" s="1577">
        <f t="shared" si="5"/>
        <v>0.98039215686274506</v>
      </c>
    </row>
    <row r="24" spans="1:29" ht="20.25">
      <c r="A24" s="532"/>
      <c r="B24" s="578"/>
      <c r="C24" s="554" t="s">
        <v>2994</v>
      </c>
      <c r="D24" s="557"/>
      <c r="E24" s="558" t="s">
        <v>2996</v>
      </c>
      <c r="F24" s="555"/>
      <c r="G24" s="556" t="s">
        <v>2996</v>
      </c>
      <c r="H24" s="555"/>
      <c r="I24" s="558" t="s">
        <v>2996</v>
      </c>
      <c r="J24" s="555"/>
      <c r="K24" s="531"/>
      <c r="L24" s="2144"/>
      <c r="M24" s="2134"/>
      <c r="N24" s="2134"/>
      <c r="O24" s="2143"/>
      <c r="P24" s="3365"/>
      <c r="Q24" s="1573"/>
      <c r="R24" s="1574"/>
      <c r="S24" s="1575"/>
      <c r="T24" s="1574"/>
      <c r="U24" s="1575"/>
      <c r="V24" s="1574"/>
      <c r="W24" s="1575"/>
      <c r="X24" s="1568"/>
      <c r="Y24" s="336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65"/>
      <c r="Q25" s="1573" t="str">
        <f t="shared" ref="Q25:Q39" si="8">B25</f>
        <v>区域土地利用方向</v>
      </c>
      <c r="R25" s="1574" t="s">
        <v>8</v>
      </c>
      <c r="S25" s="1575">
        <f>F25</f>
        <v>100</v>
      </c>
      <c r="T25" s="1574" t="s">
        <v>8</v>
      </c>
      <c r="U25" s="1575">
        <f>H25</f>
        <v>100</v>
      </c>
      <c r="V25" s="1574" t="s">
        <v>8</v>
      </c>
      <c r="W25" s="1575">
        <f>J25</f>
        <v>100</v>
      </c>
      <c r="X25" s="1568"/>
      <c r="Y25" s="3365"/>
      <c r="Z25" s="1576" t="str">
        <f>Q25</f>
        <v>区域土地利用方向</v>
      </c>
      <c r="AA25" s="1577">
        <f t="shared" si="3"/>
        <v>1</v>
      </c>
      <c r="AB25" s="1577">
        <f t="shared" si="4"/>
        <v>1</v>
      </c>
      <c r="AC25" s="1577">
        <f t="shared" si="5"/>
        <v>1</v>
      </c>
    </row>
    <row r="26" spans="1:29" ht="20.25">
      <c r="A26" s="515"/>
      <c r="B26" s="1007"/>
      <c r="C26" s="554" t="s">
        <v>2995</v>
      </c>
      <c r="D26" s="557"/>
      <c r="E26" s="558" t="s">
        <v>2995</v>
      </c>
      <c r="F26" s="555"/>
      <c r="G26" s="556" t="s">
        <v>2995</v>
      </c>
      <c r="H26" s="555"/>
      <c r="I26" s="558" t="s">
        <v>2995</v>
      </c>
      <c r="J26" s="555"/>
      <c r="K26" s="531"/>
      <c r="L26" s="2144"/>
      <c r="M26" s="2134"/>
      <c r="N26" s="2134"/>
      <c r="O26" s="2143"/>
      <c r="P26" s="3365"/>
      <c r="Q26" s="1573"/>
      <c r="R26" s="1574"/>
      <c r="S26" s="1575"/>
      <c r="T26" s="1574"/>
      <c r="U26" s="1575"/>
      <c r="V26" s="1574"/>
      <c r="W26" s="1575"/>
      <c r="X26" s="1568"/>
      <c r="Y26" s="336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98</v>
      </c>
      <c r="K27" s="535">
        <v>2</v>
      </c>
      <c r="L27" s="2144"/>
      <c r="M27" s="2134"/>
      <c r="N27" s="2134"/>
      <c r="O27" s="2143"/>
      <c r="P27" s="3365"/>
      <c r="Q27" s="1573" t="str">
        <f t="shared" si="8"/>
        <v>自然及人文环境状况</v>
      </c>
      <c r="R27" s="1574" t="s">
        <v>8</v>
      </c>
      <c r="S27" s="1575">
        <f>F27</f>
        <v>98</v>
      </c>
      <c r="T27" s="1574" t="s">
        <v>8</v>
      </c>
      <c r="U27" s="1575">
        <f>H27</f>
        <v>98</v>
      </c>
      <c r="V27" s="1574" t="s">
        <v>8</v>
      </c>
      <c r="W27" s="1575">
        <f>J27</f>
        <v>98</v>
      </c>
      <c r="X27" s="1568"/>
      <c r="Y27" s="3365"/>
      <c r="Z27" s="1576" t="str">
        <f>Q27</f>
        <v>自然及人文环境状况</v>
      </c>
      <c r="AA27" s="1577">
        <f t="shared" si="3"/>
        <v>1.0204081632653061</v>
      </c>
      <c r="AB27" s="1577">
        <f t="shared" si="4"/>
        <v>1.0204081632653061</v>
      </c>
      <c r="AC27" s="1577">
        <f t="shared" si="5"/>
        <v>1.0204081632653061</v>
      </c>
    </row>
    <row r="28" spans="1:29" ht="20.25">
      <c r="A28" s="515"/>
      <c r="B28" s="566"/>
      <c r="C28" s="554" t="s">
        <v>2995</v>
      </c>
      <c r="D28" s="557"/>
      <c r="E28" s="576" t="s">
        <v>2996</v>
      </c>
      <c r="F28" s="555"/>
      <c r="G28" s="554" t="s">
        <v>2996</v>
      </c>
      <c r="H28" s="555"/>
      <c r="I28" s="576" t="s">
        <v>2996</v>
      </c>
      <c r="J28" s="555"/>
      <c r="K28" s="531"/>
      <c r="L28" s="2144"/>
      <c r="M28" s="2134"/>
      <c r="N28" s="2134"/>
      <c r="O28" s="2143"/>
      <c r="P28" s="3365"/>
      <c r="Q28" s="1573"/>
      <c r="R28" s="1574"/>
      <c r="S28" s="1575"/>
      <c r="T28" s="1574"/>
      <c r="U28" s="1575"/>
      <c r="V28" s="1574"/>
      <c r="W28" s="1575"/>
      <c r="X28" s="1568"/>
      <c r="Y28" s="3365"/>
      <c r="Z28" s="1576"/>
      <c r="AA28" s="1577">
        <v>1</v>
      </c>
      <c r="AB28" s="1577">
        <v>1</v>
      </c>
      <c r="AC28" s="1577">
        <v>1</v>
      </c>
    </row>
    <row r="29" spans="1:29" s="1220" customFormat="1" ht="42.75">
      <c r="A29" s="577"/>
      <c r="B29" s="2617" t="s">
        <v>2554</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7"/>
      <c r="M29" s="2134"/>
      <c r="N29" s="2134"/>
      <c r="O29" s="2139"/>
      <c r="P29" s="3365"/>
      <c r="Q29" s="1151" t="str">
        <f t="shared" si="8"/>
        <v>公共配套设施</v>
      </c>
      <c r="R29" s="1569" t="s">
        <v>8</v>
      </c>
      <c r="S29" s="1570">
        <f>F29</f>
        <v>102</v>
      </c>
      <c r="T29" s="1569" t="s">
        <v>8</v>
      </c>
      <c r="U29" s="1570">
        <f>H29</f>
        <v>102</v>
      </c>
      <c r="V29" s="1569" t="s">
        <v>8</v>
      </c>
      <c r="W29" s="1570">
        <f>J29</f>
        <v>102</v>
      </c>
      <c r="X29" s="1571"/>
      <c r="Y29" s="3365"/>
      <c r="Z29" s="1150" t="str">
        <f>Q29</f>
        <v>公共配套设施</v>
      </c>
      <c r="AA29" s="1577">
        <f>D29/F29</f>
        <v>0.98039215686274506</v>
      </c>
      <c r="AB29" s="1577">
        <f>D29/H29</f>
        <v>0.98039215686274506</v>
      </c>
      <c r="AC29" s="1577">
        <f>D29/J29</f>
        <v>0.98039215686274506</v>
      </c>
    </row>
    <row r="30" spans="1:29" s="1220" customFormat="1" ht="20.25">
      <c r="A30" s="577"/>
      <c r="B30" s="566"/>
      <c r="C30" s="579" t="s">
        <v>2996</v>
      </c>
      <c r="D30" s="557"/>
      <c r="E30" s="576" t="s">
        <v>2995</v>
      </c>
      <c r="F30" s="555"/>
      <c r="G30" s="554" t="s">
        <v>2995</v>
      </c>
      <c r="H30" s="555"/>
      <c r="I30" s="576" t="s">
        <v>2995</v>
      </c>
      <c r="J30" s="555"/>
      <c r="K30" s="531"/>
      <c r="L30" s="2137"/>
      <c r="M30" s="2134"/>
      <c r="N30" s="2134"/>
      <c r="O30" s="2139"/>
      <c r="P30" s="3365"/>
      <c r="Q30" s="1151"/>
      <c r="R30" s="1569"/>
      <c r="S30" s="1570"/>
      <c r="T30" s="1569"/>
      <c r="U30" s="1570"/>
      <c r="V30" s="1569"/>
      <c r="W30" s="1570"/>
      <c r="X30" s="1571"/>
      <c r="Y30" s="3365"/>
      <c r="Z30" s="1150"/>
      <c r="AA30" s="1577">
        <v>1</v>
      </c>
      <c r="AB30" s="1577">
        <v>1</v>
      </c>
      <c r="AC30" s="1577">
        <v>1</v>
      </c>
    </row>
    <row r="31" spans="1:29" s="1220" customFormat="1" ht="28.5">
      <c r="A31" s="577"/>
      <c r="B31" s="2617" t="s">
        <v>2555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65"/>
      <c r="Q31" s="2604" t="str">
        <f t="shared" ref="Q31" si="9">B31</f>
        <v>基础设施水平</v>
      </c>
      <c r="R31" s="1569" t="s">
        <v>8</v>
      </c>
      <c r="S31" s="1570">
        <f>F31</f>
        <v>100</v>
      </c>
      <c r="T31" s="1569" t="s">
        <v>8</v>
      </c>
      <c r="U31" s="1570">
        <f>H31</f>
        <v>100</v>
      </c>
      <c r="V31" s="1569" t="s">
        <v>8</v>
      </c>
      <c r="W31" s="1570">
        <f>J31</f>
        <v>100</v>
      </c>
      <c r="X31" s="1571"/>
      <c r="Y31" s="3365"/>
      <c r="Z31" s="2601" t="str">
        <f>Q31</f>
        <v>基础设施水平</v>
      </c>
      <c r="AA31" s="1577">
        <f>D31/F31</f>
        <v>1</v>
      </c>
      <c r="AB31" s="1577">
        <f>D31/H31</f>
        <v>1</v>
      </c>
      <c r="AC31" s="1577">
        <f>D31/J31</f>
        <v>1</v>
      </c>
    </row>
    <row r="32" spans="1:29" s="1220" customFormat="1" ht="20.25">
      <c r="A32" s="577"/>
      <c r="B32" s="566"/>
      <c r="C32" s="579" t="s">
        <v>3112</v>
      </c>
      <c r="D32" s="557"/>
      <c r="E32" s="2618" t="s">
        <v>3112</v>
      </c>
      <c r="F32" s="555"/>
      <c r="G32" s="579" t="s">
        <v>3112</v>
      </c>
      <c r="H32" s="555"/>
      <c r="I32" s="579" t="s">
        <v>3112</v>
      </c>
      <c r="J32" s="555"/>
      <c r="K32" s="531"/>
      <c r="L32" s="2137"/>
      <c r="M32" s="2134"/>
      <c r="N32" s="2134"/>
      <c r="O32" s="2139"/>
      <c r="P32" s="3365"/>
      <c r="Q32" s="2604"/>
      <c r="R32" s="1569"/>
      <c r="S32" s="1570"/>
      <c r="T32" s="1569"/>
      <c r="U32" s="1570"/>
      <c r="V32" s="1569"/>
      <c r="W32" s="1570"/>
      <c r="X32" s="1571"/>
      <c r="Y32" s="3365"/>
      <c r="Z32" s="2601"/>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6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65"/>
      <c r="Q34" s="1573" t="str">
        <f t="shared" si="8"/>
        <v>毗邻道路的类型与等级</v>
      </c>
      <c r="R34" s="1574" t="s">
        <v>8</v>
      </c>
      <c r="S34" s="1575">
        <f t="shared" si="10"/>
        <v>100</v>
      </c>
      <c r="T34" s="1574" t="s">
        <v>8</v>
      </c>
      <c r="U34" s="1575">
        <f t="shared" si="11"/>
        <v>100</v>
      </c>
      <c r="V34" s="1574" t="s">
        <v>8</v>
      </c>
      <c r="W34" s="1575">
        <f t="shared" si="12"/>
        <v>100</v>
      </c>
      <c r="X34" s="1568"/>
      <c r="Y34" s="336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65"/>
      <c r="Q35" s="1573"/>
      <c r="R35" s="1574"/>
      <c r="S35" s="1575"/>
      <c r="T35" s="1574"/>
      <c r="U35" s="1575"/>
      <c r="V35" s="1574"/>
      <c r="W35" s="1575"/>
      <c r="X35" s="1568"/>
      <c r="Y35" s="336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65"/>
      <c r="Q36" s="1573" t="str">
        <f t="shared" si="8"/>
        <v>土地级别</v>
      </c>
      <c r="R36" s="1574" t="s">
        <v>8</v>
      </c>
      <c r="S36" s="1575">
        <f t="shared" si="10"/>
        <v>100</v>
      </c>
      <c r="T36" s="1574" t="s">
        <v>8</v>
      </c>
      <c r="U36" s="1575">
        <f t="shared" si="11"/>
        <v>100</v>
      </c>
      <c r="V36" s="1574" t="s">
        <v>8</v>
      </c>
      <c r="W36" s="1575">
        <f t="shared" si="12"/>
        <v>100</v>
      </c>
      <c r="X36" s="1568"/>
      <c r="Y36" s="336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65"/>
      <c r="Q37" s="1573">
        <f t="shared" si="8"/>
        <v>111</v>
      </c>
      <c r="R37" s="1574" t="s">
        <v>8</v>
      </c>
      <c r="S37" s="1575">
        <f t="shared" si="10"/>
        <v>100</v>
      </c>
      <c r="T37" s="1574" t="s">
        <v>8</v>
      </c>
      <c r="U37" s="1575">
        <f t="shared" si="11"/>
        <v>100</v>
      </c>
      <c r="V37" s="1574" t="s">
        <v>8</v>
      </c>
      <c r="W37" s="1575">
        <f t="shared" si="12"/>
        <v>100</v>
      </c>
      <c r="X37" s="1568"/>
      <c r="Y37" s="336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66" t="s">
        <v>550</v>
      </c>
      <c r="Q38" s="1573">
        <f t="shared" si="8"/>
        <v>111</v>
      </c>
      <c r="R38" s="1574" t="s">
        <v>8</v>
      </c>
      <c r="S38" s="1575">
        <f t="shared" si="10"/>
        <v>100</v>
      </c>
      <c r="T38" s="1574" t="s">
        <v>8</v>
      </c>
      <c r="U38" s="1575">
        <f t="shared" si="11"/>
        <v>100</v>
      </c>
      <c r="V38" s="1574" t="s">
        <v>8</v>
      </c>
      <c r="W38" s="1575">
        <f t="shared" si="12"/>
        <v>100</v>
      </c>
      <c r="X38" s="1568"/>
      <c r="Y38" s="336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67"/>
      <c r="Q39" s="1573">
        <f t="shared" si="8"/>
        <v>111</v>
      </c>
      <c r="R39" s="1578" t="s">
        <v>8</v>
      </c>
      <c r="S39" s="1579">
        <f t="shared" si="10"/>
        <v>100</v>
      </c>
      <c r="T39" s="1578" t="s">
        <v>8</v>
      </c>
      <c r="U39" s="1579">
        <f t="shared" si="11"/>
        <v>100</v>
      </c>
      <c r="V39" s="1578" t="s">
        <v>8</v>
      </c>
      <c r="W39" s="1579">
        <f t="shared" si="12"/>
        <v>100</v>
      </c>
      <c r="X39" s="1580"/>
      <c r="Y39" s="3367"/>
      <c r="Z39" s="1581">
        <f t="shared" si="13"/>
        <v>111</v>
      </c>
      <c r="AA39" s="1577">
        <f t="shared" si="3"/>
        <v>1</v>
      </c>
      <c r="AB39" s="1577">
        <f t="shared" si="4"/>
        <v>1</v>
      </c>
      <c r="AC39" s="1577">
        <f t="shared" si="5"/>
        <v>1</v>
      </c>
    </row>
    <row r="40" spans="1:29" ht="20.25">
      <c r="A40" s="2935" t="s">
        <v>2763</v>
      </c>
      <c r="B40" s="595" t="s">
        <v>552</v>
      </c>
      <c r="C40" s="596">
        <f>面积!E2/11</f>
        <v>60606.063636363629</v>
      </c>
      <c r="D40" s="597">
        <v>100</v>
      </c>
      <c r="E40" s="596">
        <f>Sheet4!G15</f>
        <v>5867.08</v>
      </c>
      <c r="F40" s="597">
        <f>LOOKUP(E40,119:119,120:120)-LOOKUP(C40,119:119,120:120)+100</f>
        <v>99</v>
      </c>
      <c r="G40" s="596">
        <f>Sheet4!G22</f>
        <v>43383.41</v>
      </c>
      <c r="H40" s="597">
        <f>LOOKUP(G40,119:119,120:120)-LOOKUP(C40,119:119,120:120)+100</f>
        <v>99</v>
      </c>
      <c r="I40" s="598">
        <f>Sheet4!G28</f>
        <v>44159.57</v>
      </c>
      <c r="J40" s="597">
        <f>LOOKUP(I40,119:119,120:120)-LOOKUP(C40,119:119,120:120)+100</f>
        <v>99</v>
      </c>
      <c r="K40" s="581"/>
      <c r="L40" s="2144"/>
      <c r="M40" s="2134"/>
      <c r="N40" s="2134"/>
      <c r="O40" s="2143"/>
      <c r="P40" s="3367"/>
      <c r="Q40" s="1573" t="str">
        <f>B40</f>
        <v>宗地面积</v>
      </c>
      <c r="R40" s="1574" t="s">
        <v>8</v>
      </c>
      <c r="S40" s="1575">
        <f t="shared" si="10"/>
        <v>99</v>
      </c>
      <c r="T40" s="1574" t="s">
        <v>8</v>
      </c>
      <c r="U40" s="1575">
        <f t="shared" si="11"/>
        <v>99</v>
      </c>
      <c r="V40" s="1574" t="s">
        <v>8</v>
      </c>
      <c r="W40" s="1575">
        <f t="shared" si="12"/>
        <v>99</v>
      </c>
      <c r="X40" s="1568"/>
      <c r="Y40" s="3367"/>
      <c r="Z40" s="1576" t="str">
        <f t="shared" si="13"/>
        <v>宗地面积</v>
      </c>
      <c r="AA40" s="1577">
        <f t="shared" si="3"/>
        <v>1.0101010101010102</v>
      </c>
      <c r="AB40" s="1577">
        <f t="shared" si="4"/>
        <v>1.0101010101010102</v>
      </c>
      <c r="AC40" s="1577">
        <f t="shared" si="5"/>
        <v>1.0101010101010102</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67"/>
      <c r="Q41" s="1573" t="str">
        <f t="shared" ref="Q41:Q47" si="14">B41</f>
        <v>宗地形状</v>
      </c>
      <c r="R41" s="1574" t="s">
        <v>8</v>
      </c>
      <c r="S41" s="1575">
        <f t="shared" si="10"/>
        <v>100</v>
      </c>
      <c r="T41" s="1574" t="s">
        <v>8</v>
      </c>
      <c r="U41" s="1575">
        <f t="shared" si="11"/>
        <v>100</v>
      </c>
      <c r="V41" s="1574" t="s">
        <v>8</v>
      </c>
      <c r="W41" s="1575">
        <f t="shared" si="12"/>
        <v>100</v>
      </c>
      <c r="X41" s="1568"/>
      <c r="Y41" s="336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67"/>
      <c r="Q42" s="1573" t="str">
        <f t="shared" si="14"/>
        <v>临街宽度及深度</v>
      </c>
      <c r="R42" s="1574" t="s">
        <v>8</v>
      </c>
      <c r="S42" s="1575">
        <f t="shared" si="10"/>
        <v>100</v>
      </c>
      <c r="T42" s="1574" t="s">
        <v>8</v>
      </c>
      <c r="U42" s="1575">
        <f t="shared" si="11"/>
        <v>100</v>
      </c>
      <c r="V42" s="1574" t="s">
        <v>8</v>
      </c>
      <c r="W42" s="1575">
        <f t="shared" si="12"/>
        <v>100</v>
      </c>
      <c r="X42" s="1568"/>
      <c r="Y42" s="3367"/>
      <c r="Z42" s="1576" t="str">
        <f t="shared" si="13"/>
        <v>临街宽度及深度</v>
      </c>
      <c r="AA42" s="1577">
        <f t="shared" si="3"/>
        <v>1</v>
      </c>
      <c r="AB42" s="1577">
        <f t="shared" si="4"/>
        <v>1</v>
      </c>
      <c r="AC42" s="1577">
        <f t="shared" si="5"/>
        <v>1</v>
      </c>
    </row>
    <row r="43" spans="1:29" s="1220" customFormat="1" ht="20.25">
      <c r="A43" s="600"/>
      <c r="B43" s="1897" t="s">
        <v>2428</v>
      </c>
      <c r="C43" s="601" t="s">
        <v>3116</v>
      </c>
      <c r="D43" s="255">
        <v>100</v>
      </c>
      <c r="E43" s="601" t="s">
        <v>3116</v>
      </c>
      <c r="F43" s="540">
        <f>SUMIF(125:125,E43,126:126)-SUMIF(125:125,C43,126:126)+100</f>
        <v>100</v>
      </c>
      <c r="G43" s="601" t="s">
        <v>3116</v>
      </c>
      <c r="H43" s="540">
        <f>SUMIF(125:125,G43,126:126)-SUMIF(125:125,C43,126:126)+100</f>
        <v>100</v>
      </c>
      <c r="I43" s="601" t="s">
        <v>3116</v>
      </c>
      <c r="J43" s="540">
        <f>SUMIF(125:125,I43,126:126)-SUMIF(125:125,C43,126:126)+100</f>
        <v>100</v>
      </c>
      <c r="K43" s="584">
        <v>2</v>
      </c>
      <c r="L43" s="2137"/>
      <c r="M43" s="2134"/>
      <c r="N43" s="2134"/>
      <c r="O43" s="2139"/>
      <c r="P43" s="3367"/>
      <c r="Q43" s="1573" t="str">
        <f t="shared" si="14"/>
        <v>宗地开发程度</v>
      </c>
      <c r="R43" s="1569" t="s">
        <v>8</v>
      </c>
      <c r="S43" s="1570">
        <f t="shared" si="10"/>
        <v>100</v>
      </c>
      <c r="T43" s="1569" t="s">
        <v>8</v>
      </c>
      <c r="U43" s="1570">
        <f t="shared" si="11"/>
        <v>100</v>
      </c>
      <c r="V43" s="1569" t="s">
        <v>8</v>
      </c>
      <c r="W43" s="1570">
        <f t="shared" si="12"/>
        <v>100</v>
      </c>
      <c r="X43" s="1571"/>
      <c r="Y43" s="3367"/>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67" t="s">
        <v>550</v>
      </c>
      <c r="Q44" s="1573" t="str">
        <f t="shared" si="14"/>
        <v>工程地质条件</v>
      </c>
      <c r="R44" s="1574" t="s">
        <v>8</v>
      </c>
      <c r="S44" s="1575">
        <f t="shared" si="10"/>
        <v>100</v>
      </c>
      <c r="T44" s="1574" t="s">
        <v>8</v>
      </c>
      <c r="U44" s="1575">
        <f t="shared" si="11"/>
        <v>100</v>
      </c>
      <c r="V44" s="1574" t="s">
        <v>8</v>
      </c>
      <c r="W44" s="1575">
        <f t="shared" si="12"/>
        <v>100</v>
      </c>
      <c r="X44" s="1568"/>
      <c r="Y44" s="336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67"/>
      <c r="Q45" s="1573">
        <f t="shared" si="14"/>
        <v>111</v>
      </c>
      <c r="R45" s="1574" t="s">
        <v>8</v>
      </c>
      <c r="S45" s="1575">
        <f t="shared" si="10"/>
        <v>100</v>
      </c>
      <c r="T45" s="1574" t="s">
        <v>8</v>
      </c>
      <c r="U45" s="1575">
        <f t="shared" si="11"/>
        <v>100</v>
      </c>
      <c r="V45" s="1574" t="s">
        <v>8</v>
      </c>
      <c r="W45" s="1575">
        <f t="shared" si="12"/>
        <v>100</v>
      </c>
      <c r="X45" s="1568"/>
      <c r="Y45" s="336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67"/>
      <c r="Q46" s="1573">
        <f t="shared" si="14"/>
        <v>111</v>
      </c>
      <c r="R46" s="1574" t="s">
        <v>8</v>
      </c>
      <c r="S46" s="1575">
        <f t="shared" si="10"/>
        <v>100</v>
      </c>
      <c r="T46" s="1574" t="s">
        <v>8</v>
      </c>
      <c r="U46" s="1575">
        <f t="shared" si="11"/>
        <v>100</v>
      </c>
      <c r="V46" s="1574" t="s">
        <v>8</v>
      </c>
      <c r="W46" s="1575">
        <f t="shared" si="12"/>
        <v>100</v>
      </c>
      <c r="X46" s="1568"/>
      <c r="Y46" s="336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67"/>
      <c r="Q47" s="1573">
        <f t="shared" si="14"/>
        <v>111</v>
      </c>
      <c r="R47" s="1578" t="s">
        <v>8</v>
      </c>
      <c r="S47" s="1579">
        <f t="shared" si="10"/>
        <v>100</v>
      </c>
      <c r="T47" s="1578" t="s">
        <v>8</v>
      </c>
      <c r="U47" s="1579">
        <f t="shared" si="11"/>
        <v>100</v>
      </c>
      <c r="V47" s="1578" t="s">
        <v>8</v>
      </c>
      <c r="W47" s="1579">
        <f t="shared" si="12"/>
        <v>100</v>
      </c>
      <c r="X47" s="1580"/>
      <c r="Y47" s="3367"/>
      <c r="Z47" s="1581">
        <f t="shared" si="13"/>
        <v>111</v>
      </c>
      <c r="AA47" s="1577">
        <f t="shared" si="3"/>
        <v>1</v>
      </c>
      <c r="AB47" s="1577">
        <f t="shared" si="4"/>
        <v>1</v>
      </c>
      <c r="AC47" s="1577">
        <f t="shared" si="5"/>
        <v>1</v>
      </c>
    </row>
    <row r="48" spans="1:29" ht="20.25">
      <c r="A48" s="607" t="s">
        <v>556</v>
      </c>
      <c r="B48" s="608" t="s">
        <v>2993</v>
      </c>
      <c r="C48" s="609" t="s">
        <v>1</v>
      </c>
      <c r="D48" s="610"/>
      <c r="E48" s="611">
        <f>ROUND(Sheet4!P15,0)</f>
        <v>2429</v>
      </c>
      <c r="F48" s="612"/>
      <c r="G48" s="613">
        <f>ROUND(Sheet4!P22,0)</f>
        <v>2457</v>
      </c>
      <c r="H48" s="614"/>
      <c r="I48" s="611">
        <f>ROUND(Sheet4!P28,0)</f>
        <v>2551</v>
      </c>
      <c r="J48" s="614"/>
      <c r="K48" s="1340"/>
      <c r="L48" s="2146"/>
      <c r="M48" s="2134"/>
      <c r="N48" s="2134"/>
      <c r="O48" s="2147"/>
      <c r="P48" s="3362" t="str">
        <f>A48</f>
        <v>成交单价</v>
      </c>
      <c r="Q48" s="3362"/>
      <c r="R48" s="3376">
        <f>E48</f>
        <v>2429</v>
      </c>
      <c r="S48" s="3376"/>
      <c r="T48" s="3376">
        <f>G48</f>
        <v>2457</v>
      </c>
      <c r="U48" s="3376"/>
      <c r="V48" s="3376">
        <f>I48</f>
        <v>2551</v>
      </c>
      <c r="W48" s="3376"/>
      <c r="X48" s="1560"/>
      <c r="Y48" s="1582"/>
      <c r="Z48" s="1560"/>
      <c r="AA48" s="1560"/>
      <c r="AB48" s="1560"/>
      <c r="AC48" s="1560"/>
    </row>
    <row r="49" spans="1:29" ht="21" thickBot="1">
      <c r="A49" s="615" t="s">
        <v>2701</v>
      </c>
      <c r="B49" s="616"/>
      <c r="C49" s="617">
        <f>R50</f>
        <v>2317</v>
      </c>
      <c r="D49" s="618"/>
      <c r="E49" s="617">
        <f>R49</f>
        <v>2315</v>
      </c>
      <c r="F49" s="619"/>
      <c r="G49" s="620">
        <f>T49</f>
        <v>2242</v>
      </c>
      <c r="H49" s="618"/>
      <c r="I49" s="617">
        <f>V49</f>
        <v>2395</v>
      </c>
      <c r="J49" s="618"/>
      <c r="K49" s="1341"/>
      <c r="L49" s="2146"/>
      <c r="M49" s="2134"/>
      <c r="N49" s="2134"/>
      <c r="O49" s="2147"/>
      <c r="P49" s="3362" t="str">
        <f>A49</f>
        <v>比较价格（元/平方米）</v>
      </c>
      <c r="Q49" s="3362"/>
      <c r="R49" s="3387">
        <f>ROUND(PRODUCT(R48,AA9:AA47),0)</f>
        <v>2315</v>
      </c>
      <c r="S49" s="3387"/>
      <c r="T49" s="3387">
        <f>ROUND(PRODUCT(T48,AB9:AB47),0)</f>
        <v>2242</v>
      </c>
      <c r="U49" s="3387"/>
      <c r="V49" s="3387">
        <f>ROUND(PRODUCT(V48,AC9:AC47),0)</f>
        <v>2395</v>
      </c>
      <c r="W49" s="3387"/>
      <c r="X49" s="1560"/>
      <c r="Y49" s="1560"/>
      <c r="Z49" s="1560"/>
      <c r="AA49" s="1560"/>
      <c r="AB49" s="1560"/>
      <c r="AC49" s="1560"/>
    </row>
    <row r="50" spans="1:29" ht="21" thickBot="1">
      <c r="A50" s="621" t="s">
        <v>2945</v>
      </c>
      <c r="B50" s="622"/>
      <c r="C50" s="623">
        <f>R50</f>
        <v>2317</v>
      </c>
      <c r="D50" s="623"/>
      <c r="E50" s="623"/>
      <c r="F50" s="623"/>
      <c r="G50" s="623"/>
      <c r="H50" s="623"/>
      <c r="I50" s="623"/>
      <c r="J50" s="623"/>
      <c r="K50" s="1342"/>
      <c r="L50" s="2146"/>
      <c r="M50" s="2134"/>
      <c r="N50" s="2134"/>
      <c r="O50" s="2147"/>
      <c r="P50" s="3384" t="str">
        <f>A50</f>
        <v>估价对象XX用房的比较价格（楼面单价，元/平方米）</v>
      </c>
      <c r="Q50" s="3385"/>
      <c r="R50" s="3386">
        <f>ROUND(AVERAGE(R49:V49),0)</f>
        <v>2317</v>
      </c>
      <c r="S50" s="3386"/>
      <c r="T50" s="3386"/>
      <c r="U50" s="3386"/>
      <c r="V50" s="3386"/>
      <c r="W50" s="338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4.9244060475162055E-2</v>
      </c>
      <c r="F53" s="627" t="str">
        <f>IF(OR(E53&gt;=0.3,E53&lt;=-0.3),"超过30%","")</f>
        <v/>
      </c>
      <c r="G53" s="626">
        <f>IF(G48&lt;G49,G49/G48-1,G48/G49-1)</f>
        <v>9.5896520963425491E-2</v>
      </c>
      <c r="H53" s="627" t="str">
        <f>IF(OR(G53&gt;=0.3,G53&lt;=-0.3),"超过30%","")</f>
        <v/>
      </c>
      <c r="I53" s="626">
        <f>IF(I48&lt;I49,I49/I48-1,I48/I49-1)</f>
        <v>6.5135699373695122E-2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3.2560214094558448E-2</v>
      </c>
      <c r="F54" s="627" t="str">
        <f>IF(OR(E54&gt;=0.2,E54&lt;=-0.2),"超过20%","")</f>
        <v/>
      </c>
      <c r="G54" s="626">
        <f>IF(G49&lt;I49,I49/G49-1,G49/I49-1)</f>
        <v>6.8242640499553975E-2</v>
      </c>
      <c r="H54" s="627" t="str">
        <f>IF(OR(G54&gt;=0.2,G54&lt;=-0.2),"超过20%","")</f>
        <v/>
      </c>
      <c r="I54" s="626">
        <f>IF(I49&lt;E49,E49/I49-1,I49/E49-1)</f>
        <v>3.4557235421166288E-2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1.1527377521613813E-2</v>
      </c>
      <c r="F55" s="627" t="str">
        <f>IF(OR(E55&gt;=0.3,E55&lt;=-0.3),"超过30%","")</f>
        <v/>
      </c>
      <c r="G55" s="626">
        <f>IF(G48&lt;I48,I48/G48-1,G48/I48-1)</f>
        <v>3.8258038258038196E-2</v>
      </c>
      <c r="H55" s="627" t="str">
        <f>IF(OR(G55&gt;=0.3,G55&lt;=-0.3),"超过30%","")</f>
        <v/>
      </c>
      <c r="I55" s="626">
        <f>IF(I48&lt;E48,E48/I48-1,I48/E48-1)</f>
        <v>5.0226430629888741E-2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46" t="s">
        <v>2284</v>
      </c>
      <c r="H57" s="3347"/>
      <c r="I57" s="1556" t="s">
        <v>1723</v>
      </c>
      <c r="J57" s="1556" t="str">
        <f>项目基本情况!F41</f>
        <v>郑州市荥阳市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2317</v>
      </c>
      <c r="C58" s="635">
        <v>1</v>
      </c>
      <c r="D58" s="2230">
        <v>1</v>
      </c>
      <c r="E58" s="635">
        <f>'数据-汇总表'!E8+'数据-汇总表'!E9</f>
        <v>1357333.3399999999</v>
      </c>
      <c r="F58" s="636">
        <f t="shared" ref="F58:F67" si="15">ROUND(B58*E58/10000,0)</f>
        <v>314494</v>
      </c>
      <c r="G58" s="3348"/>
      <c r="H58" s="334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50"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5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5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5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11041</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664499.4</v>
      </c>
      <c r="F68" s="644">
        <f>IF(B48="楼面地价",SUM(F58:F67),ROUND(C50*E68/10000,0))</f>
        <v>153965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2538</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2655</v>
      </c>
      <c r="B73" s="479" t="str">
        <f>"北京市平均增长率"&amp;TEXT(SUMIF(基准地价!N21:N25,A73,基准地价!P21:P25),"0.00%")</f>
        <v>北京市平均增长率2.49%</v>
      </c>
      <c r="C73" s="894">
        <v>100</v>
      </c>
      <c r="D73" s="730">
        <v>99.5</v>
      </c>
      <c r="E73" s="730">
        <v>99</v>
      </c>
      <c r="F73" s="730">
        <v>98.5</v>
      </c>
      <c r="G73" s="730"/>
      <c r="H73" s="730"/>
      <c r="I73" s="730"/>
      <c r="J73" s="730"/>
      <c r="K73" s="730"/>
      <c r="L73" s="730"/>
      <c r="M73" s="2820"/>
      <c r="N73" s="2821"/>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2654</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0（含）-2</v>
      </c>
      <c r="D81" s="682" t="str">
        <f t="shared" ref="D81:L81" si="20">D82&amp;"（含）"&amp;"-"&amp;E82</f>
        <v>2（含）-4</v>
      </c>
      <c r="E81" s="682" t="str">
        <f t="shared" si="20"/>
        <v>4（含）-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2</v>
      </c>
      <c r="E82" s="541">
        <v>4</v>
      </c>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2554</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2556</v>
      </c>
      <c r="C104" s="2624" t="s">
        <v>2557</v>
      </c>
      <c r="D104" s="2624" t="s">
        <v>2558</v>
      </c>
      <c r="E104" s="2624" t="s">
        <v>2559</v>
      </c>
      <c r="F104" s="2624" t="s">
        <v>2560</v>
      </c>
      <c r="G104" s="2624" t="s">
        <v>2561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v>
      </c>
      <c r="G118" s="704" t="str">
        <f t="shared" si="25"/>
        <v>(含)-</v>
      </c>
      <c r="H118" s="704" t="str">
        <f t="shared" si="25"/>
        <v>(含)-</v>
      </c>
      <c r="I118" s="704" t="str">
        <f t="shared" si="25"/>
        <v>(含)-</v>
      </c>
      <c r="J118" s="3121" t="str">
        <f t="shared" si="25"/>
        <v>(含)-</v>
      </c>
      <c r="K118" s="3121" t="str">
        <f t="shared" si="25"/>
        <v>(含)-</v>
      </c>
      <c r="L118" s="3122" t="str">
        <f t="shared" si="25"/>
        <v>(含)-</v>
      </c>
      <c r="M118" s="3123"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2429</v>
      </c>
      <c r="C125" s="1376" t="s">
        <v>3113</v>
      </c>
      <c r="D125" s="1376" t="s">
        <v>3114</v>
      </c>
      <c r="E125" s="1376" t="s">
        <v>3115</v>
      </c>
      <c r="F125" s="1376" t="s">
        <v>3117</v>
      </c>
      <c r="G125" s="1376" t="s">
        <v>3118</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68" t="s">
        <v>522</v>
      </c>
      <c r="D6" s="3369"/>
      <c r="E6" s="3393" t="s">
        <v>523</v>
      </c>
      <c r="F6" s="3394"/>
      <c r="G6" s="3368" t="s">
        <v>524</v>
      </c>
      <c r="H6" s="3369"/>
      <c r="I6" s="3368" t="s">
        <v>525</v>
      </c>
      <c r="J6" s="3369"/>
      <c r="K6" s="514" t="s">
        <v>526</v>
      </c>
      <c r="L6" s="2135"/>
      <c r="M6" s="2136"/>
      <c r="N6" s="2136"/>
      <c r="O6" s="2136"/>
      <c r="P6" s="3370" t="s">
        <v>527</v>
      </c>
      <c r="Q6" s="3371"/>
      <c r="R6" s="3356" t="s">
        <v>523</v>
      </c>
      <c r="S6" s="3357"/>
      <c r="T6" s="3356" t="s">
        <v>524</v>
      </c>
      <c r="U6" s="3357"/>
      <c r="V6" s="3376" t="s">
        <v>525</v>
      </c>
      <c r="W6" s="3376"/>
      <c r="X6" s="1568"/>
      <c r="Y6" s="3356" t="s">
        <v>527</v>
      </c>
      <c r="Z6" s="3357"/>
      <c r="AA6" s="3351" t="s">
        <v>523</v>
      </c>
      <c r="AB6" s="3352" t="s">
        <v>524</v>
      </c>
      <c r="AC6" s="3351" t="s">
        <v>525</v>
      </c>
    </row>
    <row r="7" spans="1:29" ht="15">
      <c r="A7" s="515"/>
      <c r="B7" s="516"/>
      <c r="C7" s="3379" t="s">
        <v>2939</v>
      </c>
      <c r="D7" s="3380"/>
      <c r="E7" s="3395" t="s">
        <v>2940</v>
      </c>
      <c r="F7" s="3396"/>
      <c r="G7" s="3379" t="s">
        <v>2941</v>
      </c>
      <c r="H7" s="3380"/>
      <c r="I7" s="3379" t="s">
        <v>2942</v>
      </c>
      <c r="J7" s="3380"/>
      <c r="K7" s="514"/>
      <c r="L7" s="2135"/>
      <c r="M7" s="2136"/>
      <c r="N7" s="2136"/>
      <c r="O7" s="2136"/>
      <c r="P7" s="3372"/>
      <c r="Q7" s="3373"/>
      <c r="R7" s="3358"/>
      <c r="S7" s="3359"/>
      <c r="T7" s="3358"/>
      <c r="U7" s="3359"/>
      <c r="V7" s="3376"/>
      <c r="W7" s="3376"/>
      <c r="X7" s="1568"/>
      <c r="Y7" s="3358"/>
      <c r="Z7" s="3359"/>
      <c r="AA7" s="3352"/>
      <c r="AB7" s="3352"/>
      <c r="AC7" s="3352"/>
    </row>
    <row r="8" spans="1:29" ht="15.75" thickBot="1">
      <c r="A8" s="517"/>
      <c r="B8" s="518"/>
      <c r="C8" s="3397" t="s">
        <v>2943</v>
      </c>
      <c r="D8" s="3378"/>
      <c r="E8" s="3398" t="s">
        <v>2943</v>
      </c>
      <c r="F8" s="3399"/>
      <c r="G8" s="3397" t="s">
        <v>2943</v>
      </c>
      <c r="H8" s="3378"/>
      <c r="I8" s="3397" t="s">
        <v>2943</v>
      </c>
      <c r="J8" s="3378"/>
      <c r="K8" s="514" t="s">
        <v>528</v>
      </c>
      <c r="L8" s="2135"/>
      <c r="M8" s="2136"/>
      <c r="N8" s="2136"/>
      <c r="O8" s="2136"/>
      <c r="P8" s="3374"/>
      <c r="Q8" s="3375"/>
      <c r="R8" s="3358"/>
      <c r="S8" s="3359"/>
      <c r="T8" s="3360"/>
      <c r="U8" s="3361"/>
      <c r="V8" s="3376"/>
      <c r="W8" s="3376"/>
      <c r="X8" s="1568"/>
      <c r="Y8" s="3360"/>
      <c r="Z8" s="3361"/>
      <c r="AA8" s="3353"/>
      <c r="AB8" s="3353"/>
      <c r="AC8" s="3353"/>
    </row>
    <row r="9" spans="1:29" s="1220" customFormat="1" ht="15.75" thickBot="1">
      <c r="A9" s="2940"/>
      <c r="B9" s="2947" t="s">
        <v>529</v>
      </c>
      <c r="C9" s="519">
        <f>'数据-取费表'!B2</f>
        <v>43077</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54" t="s">
        <v>530</v>
      </c>
      <c r="Q9" s="3363"/>
      <c r="R9" s="1569" t="s">
        <v>8</v>
      </c>
      <c r="S9" s="1570">
        <f t="shared" ref="S9:S17" si="0">F9</f>
        <v>0</v>
      </c>
      <c r="T9" s="1569" t="s">
        <v>8</v>
      </c>
      <c r="U9" s="1570">
        <f t="shared" ref="U9:U17" si="1">H9</f>
        <v>0</v>
      </c>
      <c r="V9" s="1569" t="s">
        <v>8</v>
      </c>
      <c r="W9" s="1570">
        <f t="shared" ref="W9:W17" si="2">J9</f>
        <v>0</v>
      </c>
      <c r="X9" s="1571"/>
      <c r="Y9" s="3354" t="s">
        <v>530</v>
      </c>
      <c r="Z9" s="3355"/>
      <c r="AA9" s="1572" t="e">
        <f>D9/F9</f>
        <v>#DIV/0!</v>
      </c>
      <c r="AB9" s="1572" t="e">
        <f>D9/H9</f>
        <v>#DIV/0!</v>
      </c>
      <c r="AC9" s="1572" t="e">
        <f>D9/J9</f>
        <v>#DIV/0!</v>
      </c>
    </row>
    <row r="10" spans="1:29" s="1220" customFormat="1" ht="15.75" thickBot="1">
      <c r="A10" s="2941"/>
      <c r="B10" s="294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54" t="s">
        <v>533</v>
      </c>
      <c r="Q10" s="3355"/>
      <c r="R10" s="1569" t="s">
        <v>8</v>
      </c>
      <c r="S10" s="1570">
        <f t="shared" si="0"/>
        <v>0</v>
      </c>
      <c r="T10" s="1569" t="s">
        <v>8</v>
      </c>
      <c r="U10" s="1570">
        <f t="shared" si="1"/>
        <v>0</v>
      </c>
      <c r="V10" s="1569" t="s">
        <v>8</v>
      </c>
      <c r="W10" s="1570">
        <f t="shared" si="2"/>
        <v>0</v>
      </c>
      <c r="X10" s="1571"/>
      <c r="Y10" s="3354" t="s">
        <v>533</v>
      </c>
      <c r="Z10" s="3355"/>
      <c r="AA10" s="1572" t="e">
        <f t="shared" ref="AA10:AA42" si="3">D10/F10</f>
        <v>#DIV/0!</v>
      </c>
      <c r="AB10" s="1572" t="e">
        <f t="shared" ref="AB10:AB42" si="4">D10/H10</f>
        <v>#DIV/0!</v>
      </c>
      <c r="AC10" s="1572" t="e">
        <f t="shared" ref="AC10:AC42" si="5">D10/J10</f>
        <v>#DIV/0!</v>
      </c>
    </row>
    <row r="11" spans="1:29" s="1220" customFormat="1" ht="15">
      <c r="A11" s="2942"/>
      <c r="B11" s="2949" t="s">
        <v>2764</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29" s="1338" customFormat="1" ht="27">
      <c r="A12" s="2943"/>
      <c r="B12" s="2948" t="s">
        <v>2765</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62"/>
      <c r="Q12" s="1151" t="str">
        <f t="shared" si="6"/>
        <v>土地使用年限（年）</v>
      </c>
      <c r="R12" s="1569" t="s">
        <v>8</v>
      </c>
      <c r="S12" s="1570">
        <f t="shared" si="0"/>
        <v>100</v>
      </c>
      <c r="T12" s="1569" t="s">
        <v>8</v>
      </c>
      <c r="U12" s="1570">
        <f t="shared" si="1"/>
        <v>100</v>
      </c>
      <c r="V12" s="1569" t="s">
        <v>8</v>
      </c>
      <c r="W12" s="1570">
        <f t="shared" si="2"/>
        <v>100</v>
      </c>
      <c r="X12" s="1571"/>
      <c r="Y12" s="3319"/>
      <c r="Z12" s="1150" t="str">
        <f t="shared" si="7"/>
        <v>土地使用年限（年）</v>
      </c>
      <c r="AA12" s="1572">
        <f t="shared" si="3"/>
        <v>1</v>
      </c>
      <c r="AB12" s="1572">
        <f t="shared" si="4"/>
        <v>1</v>
      </c>
      <c r="AC12" s="1572">
        <f t="shared" si="5"/>
        <v>1</v>
      </c>
    </row>
    <row r="13" spans="1:29" ht="15">
      <c r="A13" s="2944"/>
      <c r="B13" s="2948" t="s">
        <v>2766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2"/>
      <c r="Q13" s="1151" t="str">
        <f t="shared" si="6"/>
        <v>容积率</v>
      </c>
      <c r="R13" s="1569" t="s">
        <v>8</v>
      </c>
      <c r="S13" s="1570" t="e">
        <f t="shared" si="0"/>
        <v>#N/A</v>
      </c>
      <c r="T13" s="1569" t="s">
        <v>8</v>
      </c>
      <c r="U13" s="1570" t="e">
        <f t="shared" si="1"/>
        <v>#N/A</v>
      </c>
      <c r="V13" s="1569" t="s">
        <v>8</v>
      </c>
      <c r="W13" s="1570" t="e">
        <f t="shared" si="2"/>
        <v>#N/A</v>
      </c>
      <c r="X13" s="1571"/>
      <c r="Y13" s="3319"/>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 t="shared" si="3"/>
        <v>1</v>
      </c>
      <c r="AB16" s="1572">
        <f t="shared" si="4"/>
        <v>1</v>
      </c>
      <c r="AC16" s="1572">
        <f t="shared" si="5"/>
        <v>1</v>
      </c>
    </row>
    <row r="17" spans="1:29" ht="57">
      <c r="A17" s="2938" t="s">
        <v>2762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64" t="s">
        <v>540</v>
      </c>
      <c r="Q17" s="1573" t="str">
        <f t="shared" si="6"/>
        <v>产业集聚程度</v>
      </c>
      <c r="R17" s="1574" t="s">
        <v>8</v>
      </c>
      <c r="S17" s="1575">
        <f t="shared" si="0"/>
        <v>100</v>
      </c>
      <c r="T17" s="1574" t="s">
        <v>8</v>
      </c>
      <c r="U17" s="1575">
        <f t="shared" si="1"/>
        <v>100</v>
      </c>
      <c r="V17" s="1574" t="s">
        <v>8</v>
      </c>
      <c r="W17" s="1575">
        <f t="shared" si="2"/>
        <v>100</v>
      </c>
      <c r="X17" s="1568"/>
      <c r="Y17" s="336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65"/>
      <c r="Q18" s="1573"/>
      <c r="R18" s="1574"/>
      <c r="S18" s="1575"/>
      <c r="T18" s="1574"/>
      <c r="U18" s="1575"/>
      <c r="V18" s="1574"/>
      <c r="W18" s="1575"/>
      <c r="X18" s="1568"/>
      <c r="Y18" s="336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65"/>
      <c r="Q19" s="1573" t="str">
        <f>B19</f>
        <v>交通便捷度</v>
      </c>
      <c r="R19" s="1574" t="s">
        <v>8</v>
      </c>
      <c r="S19" s="1575">
        <f>F19</f>
        <v>100</v>
      </c>
      <c r="T19" s="1574" t="s">
        <v>8</v>
      </c>
      <c r="U19" s="1575">
        <f>H19</f>
        <v>100</v>
      </c>
      <c r="V19" s="1574" t="s">
        <v>8</v>
      </c>
      <c r="W19" s="1575">
        <f>J19</f>
        <v>100</v>
      </c>
      <c r="X19" s="1568"/>
      <c r="Y19" s="336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65"/>
      <c r="Q21" s="1573" t="str">
        <f t="shared" ref="Q21:Q35" si="8">B21</f>
        <v>区域土地利用方向</v>
      </c>
      <c r="R21" s="1574" t="s">
        <v>8</v>
      </c>
      <c r="S21" s="1575">
        <f>F21</f>
        <v>100</v>
      </c>
      <c r="T21" s="1574" t="s">
        <v>8</v>
      </c>
      <c r="U21" s="1575">
        <f>H21</f>
        <v>100</v>
      </c>
      <c r="V21" s="1574" t="s">
        <v>8</v>
      </c>
      <c r="W21" s="1575">
        <f>J21</f>
        <v>100</v>
      </c>
      <c r="X21" s="1568"/>
      <c r="Y21" s="336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65"/>
      <c r="Q22" s="1573"/>
      <c r="R22" s="1574"/>
      <c r="S22" s="1575"/>
      <c r="T22" s="1574"/>
      <c r="U22" s="1575"/>
      <c r="V22" s="1574"/>
      <c r="W22" s="1575"/>
      <c r="X22" s="1568"/>
      <c r="Y22" s="336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65"/>
      <c r="Q23" s="1573" t="str">
        <f t="shared" si="8"/>
        <v>环境状况</v>
      </c>
      <c r="R23" s="1574" t="s">
        <v>8</v>
      </c>
      <c r="S23" s="1575">
        <f>F23</f>
        <v>100</v>
      </c>
      <c r="T23" s="1574" t="s">
        <v>8</v>
      </c>
      <c r="U23" s="1575">
        <f>H23</f>
        <v>100</v>
      </c>
      <c r="V23" s="1574" t="s">
        <v>8</v>
      </c>
      <c r="W23" s="1575">
        <f>J23</f>
        <v>100</v>
      </c>
      <c r="X23" s="1568"/>
      <c r="Y23" s="336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65"/>
      <c r="Q24" s="1573"/>
      <c r="R24" s="1574"/>
      <c r="S24" s="1575"/>
      <c r="T24" s="1574"/>
      <c r="U24" s="1575"/>
      <c r="V24" s="1574"/>
      <c r="W24" s="1575"/>
      <c r="X24" s="1568"/>
      <c r="Y24" s="3365"/>
      <c r="Z24" s="1576"/>
      <c r="AA24" s="1577">
        <v>1</v>
      </c>
      <c r="AB24" s="1577">
        <v>1</v>
      </c>
      <c r="AC24" s="1577">
        <v>1</v>
      </c>
    </row>
    <row r="25" spans="1:29" s="1220" customFormat="1" ht="42.75">
      <c r="A25" s="577"/>
      <c r="B25" s="2619" t="s">
        <v>2554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65"/>
      <c r="Q25" s="1151" t="str">
        <f t="shared" si="8"/>
        <v>公共配套设施</v>
      </c>
      <c r="R25" s="1569" t="s">
        <v>8</v>
      </c>
      <c r="S25" s="1570">
        <f>F25</f>
        <v>100</v>
      </c>
      <c r="T25" s="1569" t="s">
        <v>8</v>
      </c>
      <c r="U25" s="1570">
        <f>H25</f>
        <v>100</v>
      </c>
      <c r="V25" s="1569" t="s">
        <v>8</v>
      </c>
      <c r="W25" s="1570">
        <f>J25</f>
        <v>100</v>
      </c>
      <c r="X25" s="1571"/>
      <c r="Y25" s="3365"/>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65"/>
      <c r="Q26" s="1151"/>
      <c r="R26" s="1569"/>
      <c r="S26" s="1570"/>
      <c r="T26" s="1569"/>
      <c r="U26" s="1570"/>
      <c r="V26" s="1569"/>
      <c r="W26" s="1570"/>
      <c r="X26" s="1571"/>
      <c r="Y26" s="3365"/>
      <c r="Z26" s="1150"/>
      <c r="AA26" s="1572">
        <v>1</v>
      </c>
      <c r="AB26" s="1572">
        <v>1</v>
      </c>
      <c r="AC26" s="1572">
        <v>1</v>
      </c>
    </row>
    <row r="27" spans="1:29" s="1220" customFormat="1" ht="28.5">
      <c r="A27" s="577"/>
      <c r="B27" s="2619" t="s">
        <v>2555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65"/>
      <c r="Q27" s="2604" t="str">
        <f t="shared" ref="Q27" si="9">B27</f>
        <v>基础设施水平</v>
      </c>
      <c r="R27" s="1569" t="s">
        <v>8</v>
      </c>
      <c r="S27" s="1570">
        <f>F27</f>
        <v>100</v>
      </c>
      <c r="T27" s="1569" t="s">
        <v>8</v>
      </c>
      <c r="U27" s="1570">
        <f>H27</f>
        <v>100</v>
      </c>
      <c r="V27" s="1569" t="s">
        <v>8</v>
      </c>
      <c r="W27" s="1570">
        <f>J27</f>
        <v>100</v>
      </c>
      <c r="X27" s="1571"/>
      <c r="Y27" s="3365"/>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65"/>
      <c r="Q28" s="2604"/>
      <c r="R28" s="1569"/>
      <c r="S28" s="1570"/>
      <c r="T28" s="1569"/>
      <c r="U28" s="1570"/>
      <c r="V28" s="1569"/>
      <c r="W28" s="1570"/>
      <c r="X28" s="1571"/>
      <c r="Y28" s="3365"/>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6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5"/>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65"/>
      <c r="Q30" s="1573" t="str">
        <f t="shared" si="8"/>
        <v>毗邻道路的类型与等级</v>
      </c>
      <c r="R30" s="1574" t="s">
        <v>8</v>
      </c>
      <c r="S30" s="1575">
        <f t="shared" si="10"/>
        <v>100</v>
      </c>
      <c r="T30" s="1574" t="s">
        <v>8</v>
      </c>
      <c r="U30" s="1575">
        <f t="shared" si="11"/>
        <v>100</v>
      </c>
      <c r="V30" s="1574" t="s">
        <v>8</v>
      </c>
      <c r="W30" s="1575">
        <f t="shared" si="12"/>
        <v>100</v>
      </c>
      <c r="X30" s="1568"/>
      <c r="Y30" s="3365"/>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65"/>
      <c r="Q31" s="1573"/>
      <c r="R31" s="1574"/>
      <c r="S31" s="1575"/>
      <c r="T31" s="1574"/>
      <c r="U31" s="1575"/>
      <c r="V31" s="1574"/>
      <c r="W31" s="1575"/>
      <c r="X31" s="1568"/>
      <c r="Y31" s="3365"/>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65"/>
      <c r="Q32" s="1573" t="str">
        <f t="shared" si="8"/>
        <v>土地级别</v>
      </c>
      <c r="R32" s="1574" t="s">
        <v>8</v>
      </c>
      <c r="S32" s="1575">
        <f t="shared" si="10"/>
        <v>100</v>
      </c>
      <c r="T32" s="1574" t="s">
        <v>8</v>
      </c>
      <c r="U32" s="1575">
        <f t="shared" si="11"/>
        <v>100</v>
      </c>
      <c r="V32" s="1574" t="s">
        <v>8</v>
      </c>
      <c r="W32" s="1575">
        <f t="shared" si="12"/>
        <v>100</v>
      </c>
      <c r="X32" s="1568"/>
      <c r="Y32" s="336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65"/>
      <c r="Q33" s="1573">
        <f t="shared" si="8"/>
        <v>111</v>
      </c>
      <c r="R33" s="1574" t="s">
        <v>8</v>
      </c>
      <c r="S33" s="1575">
        <f t="shared" si="10"/>
        <v>100</v>
      </c>
      <c r="T33" s="1574" t="s">
        <v>8</v>
      </c>
      <c r="U33" s="1575">
        <f t="shared" si="11"/>
        <v>100</v>
      </c>
      <c r="V33" s="1574" t="s">
        <v>8</v>
      </c>
      <c r="W33" s="1575">
        <f t="shared" si="12"/>
        <v>100</v>
      </c>
      <c r="X33" s="1568"/>
      <c r="Y33" s="336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66" t="s">
        <v>550</v>
      </c>
      <c r="Q34" s="1573">
        <f t="shared" si="8"/>
        <v>111</v>
      </c>
      <c r="R34" s="1574" t="s">
        <v>8</v>
      </c>
      <c r="S34" s="1575">
        <f t="shared" si="10"/>
        <v>100</v>
      </c>
      <c r="T34" s="1574" t="s">
        <v>8</v>
      </c>
      <c r="U34" s="1575">
        <f t="shared" si="11"/>
        <v>100</v>
      </c>
      <c r="V34" s="1574" t="s">
        <v>8</v>
      </c>
      <c r="W34" s="1575">
        <f t="shared" si="12"/>
        <v>100</v>
      </c>
      <c r="X34" s="1568"/>
      <c r="Y34" s="3367"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67"/>
      <c r="Q35" s="1573">
        <f t="shared" si="8"/>
        <v>111</v>
      </c>
      <c r="R35" s="1578" t="s">
        <v>8</v>
      </c>
      <c r="S35" s="1579">
        <f t="shared" si="10"/>
        <v>100</v>
      </c>
      <c r="T35" s="1578" t="s">
        <v>8</v>
      </c>
      <c r="U35" s="1579">
        <f t="shared" si="11"/>
        <v>100</v>
      </c>
      <c r="V35" s="1578" t="s">
        <v>8</v>
      </c>
      <c r="W35" s="1579">
        <f t="shared" si="12"/>
        <v>100</v>
      </c>
      <c r="X35" s="1580"/>
      <c r="Y35" s="3367"/>
      <c r="Z35" s="1581">
        <f t="shared" si="13"/>
        <v>111</v>
      </c>
      <c r="AA35" s="1577">
        <f t="shared" si="3"/>
        <v>1</v>
      </c>
      <c r="AB35" s="1577">
        <f t="shared" si="4"/>
        <v>1</v>
      </c>
      <c r="AC35" s="1577">
        <f t="shared" si="5"/>
        <v>1</v>
      </c>
    </row>
    <row r="36" spans="1:29" ht="15">
      <c r="A36" s="2935" t="s">
        <v>2763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67"/>
      <c r="Q36" s="1573" t="str">
        <f>B36</f>
        <v>宗地面积</v>
      </c>
      <c r="R36" s="1574" t="s">
        <v>8</v>
      </c>
      <c r="S36" s="1575" t="e">
        <f t="shared" si="10"/>
        <v>#N/A</v>
      </c>
      <c r="T36" s="1574" t="s">
        <v>8</v>
      </c>
      <c r="U36" s="1575" t="e">
        <f t="shared" si="11"/>
        <v>#N/A</v>
      </c>
      <c r="V36" s="1574" t="s">
        <v>8</v>
      </c>
      <c r="W36" s="1575" t="e">
        <f t="shared" si="12"/>
        <v>#N/A</v>
      </c>
      <c r="X36" s="1568"/>
      <c r="Y36" s="336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67"/>
      <c r="Q37" s="1573" t="str">
        <f t="shared" ref="Q37:Q42" si="14">B37</f>
        <v>宗地形状</v>
      </c>
      <c r="R37" s="1574" t="s">
        <v>8</v>
      </c>
      <c r="S37" s="1575">
        <f t="shared" si="10"/>
        <v>100</v>
      </c>
      <c r="T37" s="1574" t="s">
        <v>8</v>
      </c>
      <c r="U37" s="1575">
        <f t="shared" si="11"/>
        <v>100</v>
      </c>
      <c r="V37" s="1574" t="s">
        <v>8</v>
      </c>
      <c r="W37" s="1575">
        <f t="shared" si="12"/>
        <v>100</v>
      </c>
      <c r="X37" s="1568"/>
      <c r="Y37" s="3367"/>
      <c r="Z37" s="1576" t="str">
        <f t="shared" si="13"/>
        <v>宗地形状</v>
      </c>
      <c r="AA37" s="1577">
        <f t="shared" si="3"/>
        <v>1</v>
      </c>
      <c r="AB37" s="1577">
        <f t="shared" si="4"/>
        <v>1</v>
      </c>
      <c r="AC37" s="1577">
        <f t="shared" si="5"/>
        <v>1</v>
      </c>
    </row>
    <row r="38" spans="1:29" s="1220" customFormat="1" ht="15">
      <c r="A38" s="600"/>
      <c r="B38" s="1897"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67"/>
      <c r="Q38" s="1573" t="str">
        <f t="shared" si="14"/>
        <v>宗地开发程度</v>
      </c>
      <c r="R38" s="1569" t="s">
        <v>8</v>
      </c>
      <c r="S38" s="1570">
        <f t="shared" si="10"/>
        <v>100</v>
      </c>
      <c r="T38" s="1569" t="s">
        <v>8</v>
      </c>
      <c r="U38" s="1570">
        <f t="shared" si="11"/>
        <v>100</v>
      </c>
      <c r="V38" s="1569" t="s">
        <v>8</v>
      </c>
      <c r="W38" s="1570">
        <f t="shared" si="12"/>
        <v>100</v>
      </c>
      <c r="X38" s="1571"/>
      <c r="Y38" s="336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7" t="s">
        <v>601</v>
      </c>
      <c r="Q39" s="1573" t="str">
        <f t="shared" si="14"/>
        <v>工程地质条件</v>
      </c>
      <c r="R39" s="1574" t="s">
        <v>8</v>
      </c>
      <c r="S39" s="1575">
        <f t="shared" si="10"/>
        <v>100</v>
      </c>
      <c r="T39" s="1574" t="s">
        <v>8</v>
      </c>
      <c r="U39" s="1575">
        <f t="shared" si="11"/>
        <v>100</v>
      </c>
      <c r="V39" s="1574" t="s">
        <v>8</v>
      </c>
      <c r="W39" s="1575">
        <f t="shared" si="12"/>
        <v>100</v>
      </c>
      <c r="X39" s="1568"/>
      <c r="Y39" s="336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67"/>
      <c r="Q40" s="1573">
        <f t="shared" si="14"/>
        <v>111</v>
      </c>
      <c r="R40" s="1574" t="s">
        <v>8</v>
      </c>
      <c r="S40" s="1575">
        <f t="shared" si="10"/>
        <v>100</v>
      </c>
      <c r="T40" s="1574" t="s">
        <v>8</v>
      </c>
      <c r="U40" s="1575">
        <f t="shared" si="11"/>
        <v>100</v>
      </c>
      <c r="V40" s="1574" t="s">
        <v>8</v>
      </c>
      <c r="W40" s="1575">
        <f t="shared" si="12"/>
        <v>100</v>
      </c>
      <c r="X40" s="1568"/>
      <c r="Y40" s="336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67"/>
      <c r="Q41" s="1573">
        <f t="shared" si="14"/>
        <v>111</v>
      </c>
      <c r="R41" s="1574" t="s">
        <v>8</v>
      </c>
      <c r="S41" s="1575">
        <f t="shared" si="10"/>
        <v>100</v>
      </c>
      <c r="T41" s="1574" t="s">
        <v>8</v>
      </c>
      <c r="U41" s="1575">
        <f t="shared" si="11"/>
        <v>100</v>
      </c>
      <c r="V41" s="1574" t="s">
        <v>8</v>
      </c>
      <c r="W41" s="1575">
        <f t="shared" si="12"/>
        <v>100</v>
      </c>
      <c r="X41" s="1568"/>
      <c r="Y41" s="336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67"/>
      <c r="Q42" s="1573">
        <f t="shared" si="14"/>
        <v>111</v>
      </c>
      <c r="R42" s="1578" t="s">
        <v>8</v>
      </c>
      <c r="S42" s="1579">
        <f t="shared" si="10"/>
        <v>100</v>
      </c>
      <c r="T42" s="1578" t="s">
        <v>8</v>
      </c>
      <c r="U42" s="1579">
        <f t="shared" si="11"/>
        <v>100</v>
      </c>
      <c r="V42" s="1578" t="s">
        <v>8</v>
      </c>
      <c r="W42" s="1579">
        <f t="shared" si="12"/>
        <v>100</v>
      </c>
      <c r="X42" s="1580"/>
      <c r="Y42" s="3367"/>
      <c r="Z42" s="1581">
        <f t="shared" si="13"/>
        <v>111</v>
      </c>
      <c r="AA42" s="1577">
        <f t="shared" si="3"/>
        <v>1</v>
      </c>
      <c r="AB42" s="1577">
        <f t="shared" si="4"/>
        <v>1</v>
      </c>
      <c r="AC42" s="1577">
        <f t="shared" si="5"/>
        <v>1</v>
      </c>
    </row>
    <row r="43" spans="1:29" ht="15">
      <c r="A43" s="607" t="s">
        <v>556</v>
      </c>
      <c r="B43" s="608" t="s">
        <v>2944</v>
      </c>
      <c r="C43" s="609" t="s">
        <v>1</v>
      </c>
      <c r="D43" s="610"/>
      <c r="E43" s="611"/>
      <c r="F43" s="612"/>
      <c r="G43" s="613"/>
      <c r="H43" s="614"/>
      <c r="I43" s="611"/>
      <c r="J43" s="614"/>
      <c r="K43" s="1340"/>
      <c r="L43" s="2146"/>
      <c r="M43" s="2136"/>
      <c r="N43" s="2136"/>
      <c r="O43" s="2147"/>
      <c r="P43" s="3362" t="str">
        <f>A43</f>
        <v>成交单价</v>
      </c>
      <c r="Q43" s="3362"/>
      <c r="R43" s="3376">
        <f>E43</f>
        <v>0</v>
      </c>
      <c r="S43" s="3376"/>
      <c r="T43" s="3376">
        <f>G43</f>
        <v>0</v>
      </c>
      <c r="U43" s="3376"/>
      <c r="V43" s="3376">
        <f>I43</f>
        <v>0</v>
      </c>
      <c r="W43" s="3376"/>
      <c r="X43" s="1560"/>
      <c r="Y43" s="1582"/>
      <c r="Z43" s="1560"/>
      <c r="AA43" s="1560"/>
      <c r="AB43" s="1560"/>
      <c r="AC43" s="1560"/>
    </row>
    <row r="44" spans="1:29" ht="15.75" thickBot="1">
      <c r="A44" s="615" t="s">
        <v>2701</v>
      </c>
      <c r="B44" s="616"/>
      <c r="C44" s="617" t="e">
        <f>R45</f>
        <v>#DIV/0!</v>
      </c>
      <c r="D44" s="618"/>
      <c r="E44" s="617" t="e">
        <f>R44</f>
        <v>#DIV/0!</v>
      </c>
      <c r="F44" s="619"/>
      <c r="G44" s="620" t="e">
        <f>T44</f>
        <v>#DIV/0!</v>
      </c>
      <c r="H44" s="618"/>
      <c r="I44" s="617" t="e">
        <f>V44</f>
        <v>#DIV/0!</v>
      </c>
      <c r="J44" s="618"/>
      <c r="K44" s="1341"/>
      <c r="L44" s="2146"/>
      <c r="M44" s="2136"/>
      <c r="N44" s="2136"/>
      <c r="O44" s="2147"/>
      <c r="P44" s="3362" t="str">
        <f>A44</f>
        <v>比较价格（元/平方米）</v>
      </c>
      <c r="Q44" s="3362"/>
      <c r="R44" s="3387" t="e">
        <f>ROUND(PRODUCT(R43,AA9:AA42),0)</f>
        <v>#DIV/0!</v>
      </c>
      <c r="S44" s="3387"/>
      <c r="T44" s="3387" t="e">
        <f>ROUND(PRODUCT(T43,AB9:AB42),0)</f>
        <v>#DIV/0!</v>
      </c>
      <c r="U44" s="3387"/>
      <c r="V44" s="3387" t="e">
        <f>ROUND(PRODUCT(V43,AC9:AC42),0)</f>
        <v>#DIV/0!</v>
      </c>
      <c r="W44" s="3387"/>
      <c r="X44" s="1560"/>
      <c r="Y44" s="1560"/>
      <c r="Z44" s="1560"/>
      <c r="AA44" s="1560"/>
      <c r="AB44" s="1560"/>
      <c r="AC44" s="1560"/>
    </row>
    <row r="45" spans="1:29" ht="15.75" thickBot="1">
      <c r="A45" s="621" t="s">
        <v>2945</v>
      </c>
      <c r="B45" s="622"/>
      <c r="C45" s="623" t="e">
        <f>R45</f>
        <v>#DIV/0!</v>
      </c>
      <c r="D45" s="623"/>
      <c r="E45" s="623"/>
      <c r="F45" s="623"/>
      <c r="G45" s="623"/>
      <c r="H45" s="623"/>
      <c r="I45" s="623"/>
      <c r="J45" s="623"/>
      <c r="K45" s="1342"/>
      <c r="L45" s="2146"/>
      <c r="M45" s="2136"/>
      <c r="N45" s="2136"/>
      <c r="O45" s="2147"/>
      <c r="P45" s="3384" t="str">
        <f>A45</f>
        <v>估价对象XX用房的比较价格（楼面单价，元/平方米）</v>
      </c>
      <c r="Q45" s="3385"/>
      <c r="R45" s="3386" t="e">
        <f>ROUND(AVERAGE(R44:V44),0)</f>
        <v>#DIV/0!</v>
      </c>
      <c r="S45" s="3386"/>
      <c r="T45" s="3386"/>
      <c r="U45" s="3386"/>
      <c r="V45" s="3386"/>
      <c r="W45" s="338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388" t="s">
        <v>2287</v>
      </c>
      <c r="H52" s="3389"/>
      <c r="I52" s="1954" t="s">
        <v>1948</v>
      </c>
      <c r="J52" s="1556" t="str">
        <f>项目基本情况!F41</f>
        <v>郑州市荥阳市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1357333.3399999999</v>
      </c>
      <c r="F53" s="1952" t="e">
        <f t="shared" ref="F53:F62" si="15">ROUND(B53*E53/10000,0)</f>
        <v>#DIV/0!</v>
      </c>
      <c r="G53" s="3390"/>
      <c r="H53" s="3391"/>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392"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392"/>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392"/>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392"/>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11041</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664499.4</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2539</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2657</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2554</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2556</v>
      </c>
      <c r="C95" s="2624" t="s">
        <v>2557</v>
      </c>
      <c r="D95" s="2624" t="s">
        <v>2558</v>
      </c>
      <c r="E95" s="2624" t="s">
        <v>2559</v>
      </c>
      <c r="F95" s="2624" t="s">
        <v>2560</v>
      </c>
      <c r="G95" s="2624" t="s">
        <v>2561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1" t="str">
        <f t="shared" si="25"/>
        <v>(含)-</v>
      </c>
      <c r="L109" s="3122" t="str">
        <f t="shared" si="25"/>
        <v>(含)-</v>
      </c>
      <c r="M109" s="3123"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2429</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2430</v>
      </c>
      <c r="D1" s="1522">
        <f>SUM(D29:D30,D33:D39)</f>
        <v>0</v>
      </c>
      <c r="E1" s="1407" t="s">
        <v>2431</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4" t="s">
        <v>2770</v>
      </c>
      <c r="S1" s="2964" t="s">
        <v>2771</v>
      </c>
      <c r="T1" s="2964" t="s">
        <v>2792</v>
      </c>
      <c r="U1" s="2964" t="s">
        <v>2793</v>
      </c>
      <c r="V1" s="2964" t="s">
        <v>2794</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2946</v>
      </c>
      <c r="G3" s="1039">
        <f>IF(F3="宗地容积率",'数据-汇总表'!I4,IF(F3="估价对象容积率",'数据-汇总表'!I6,'数据-汇总表'!I7))</f>
        <v>2.75</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53">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01"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2773</v>
      </c>
      <c r="X7" s="2955">
        <f>G2</f>
        <v>0</v>
      </c>
      <c r="Y7" s="2955" t="s">
        <v>2774</v>
      </c>
      <c r="Z7" s="2956">
        <f>G3</f>
        <v>2.75</v>
      </c>
      <c r="AA7" s="2194"/>
      <c r="AB7" s="2194"/>
      <c r="AC7" s="2195"/>
      <c r="AD7" s="2957"/>
      <c r="AE7" s="2957"/>
      <c r="AF7" s="2957"/>
      <c r="AG7" s="2957"/>
      <c r="AH7" s="2957"/>
      <c r="AI7" s="2957"/>
      <c r="AJ7" s="2958"/>
    </row>
    <row r="8" spans="1:39" ht="15">
      <c r="A8" s="3402"/>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11" t="s">
        <v>2791</v>
      </c>
      <c r="X8" s="3412"/>
      <c r="Y8" s="1851" t="s">
        <v>2775</v>
      </c>
      <c r="Z8" s="1851" t="s">
        <v>2776</v>
      </c>
      <c r="AA8" s="1851" t="s">
        <v>2777</v>
      </c>
      <c r="AB8" s="1851" t="s">
        <v>2778</v>
      </c>
      <c r="AC8" s="1851" t="s">
        <v>2779</v>
      </c>
      <c r="AD8" s="1851" t="s">
        <v>2780</v>
      </c>
      <c r="AE8" s="1851" t="s">
        <v>2781</v>
      </c>
      <c r="AF8" s="1851" t="s">
        <v>2782</v>
      </c>
      <c r="AG8" s="1851" t="s">
        <v>2783</v>
      </c>
      <c r="AH8" s="1851" t="s">
        <v>2784</v>
      </c>
      <c r="AI8" s="1851" t="s">
        <v>2785</v>
      </c>
      <c r="AJ8" s="1851" t="s">
        <v>2786</v>
      </c>
    </row>
    <row r="9" spans="1:39" ht="15">
      <c r="A9" s="3402"/>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10" t="s">
        <v>2787</v>
      </c>
      <c r="X9" s="2959" t="s">
        <v>2788</v>
      </c>
      <c r="Y9" s="3127"/>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02"/>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10"/>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02"/>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10" t="s">
        <v>2789</v>
      </c>
      <c r="X11" s="1048" t="s">
        <v>2774</v>
      </c>
      <c r="Y11" s="1654">
        <f>$G$3</f>
        <v>2.75</v>
      </c>
      <c r="Z11" s="1654">
        <f t="shared" ref="Z11:AJ11" si="3">$G$3</f>
        <v>2.75</v>
      </c>
      <c r="AA11" s="1654">
        <f t="shared" si="3"/>
        <v>2.75</v>
      </c>
      <c r="AB11" s="1654">
        <f t="shared" si="3"/>
        <v>2.75</v>
      </c>
      <c r="AC11" s="1654">
        <f t="shared" si="3"/>
        <v>2.75</v>
      </c>
      <c r="AD11" s="1654">
        <f t="shared" si="3"/>
        <v>2.75</v>
      </c>
      <c r="AE11" s="1654">
        <f t="shared" si="3"/>
        <v>2.75</v>
      </c>
      <c r="AF11" s="1654">
        <f t="shared" si="3"/>
        <v>2.75</v>
      </c>
      <c r="AG11" s="1654">
        <f t="shared" si="3"/>
        <v>2.75</v>
      </c>
      <c r="AH11" s="1654">
        <f t="shared" si="3"/>
        <v>2.75</v>
      </c>
      <c r="AI11" s="1654">
        <f t="shared" si="3"/>
        <v>2.75</v>
      </c>
      <c r="AJ11" s="1654">
        <f t="shared" si="3"/>
        <v>2.75</v>
      </c>
    </row>
    <row r="12" spans="1:39" ht="25.5" thickBot="1">
      <c r="A12" s="3401"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10"/>
      <c r="X12" s="2962" t="s">
        <v>2790</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03"/>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65">
        <v>12</v>
      </c>
      <c r="S13" s="2954"/>
      <c r="T13" s="2965" t="e">
        <f t="shared" si="0"/>
        <v>#DIV/0!</v>
      </c>
      <c r="U13" s="2954"/>
      <c r="V13" s="2965" t="e">
        <f t="shared" si="1"/>
        <v>#DIV/0!</v>
      </c>
      <c r="W13" s="3410"/>
      <c r="X13" s="2962"/>
      <c r="Y13" s="2961">
        <f>(-0.163*(Y12^2)-0.59*Y12+7617)*(10^(-4))/Y11</f>
        <v>0.27698181818181822</v>
      </c>
      <c r="Z13" s="2961">
        <f t="shared" ref="Z13:AJ13" si="5">(-0.163*(Z12^2)-0.59*Z12+7617)*(10^(-4))/Z11</f>
        <v>0.27698181818181822</v>
      </c>
      <c r="AA13" s="2961">
        <f t="shared" si="5"/>
        <v>0.27698181818181822</v>
      </c>
      <c r="AB13" s="2961">
        <f t="shared" si="5"/>
        <v>0.27698181818181822</v>
      </c>
      <c r="AC13" s="2961">
        <f t="shared" si="5"/>
        <v>0.27698181818181822</v>
      </c>
      <c r="AD13" s="2961">
        <f t="shared" si="5"/>
        <v>0.27698181818181822</v>
      </c>
      <c r="AE13" s="2961">
        <f t="shared" si="5"/>
        <v>0.27698181818181822</v>
      </c>
      <c r="AF13" s="2961">
        <f t="shared" si="5"/>
        <v>0.27698181818181822</v>
      </c>
      <c r="AG13" s="2961">
        <f t="shared" si="5"/>
        <v>0.27698181818181822</v>
      </c>
      <c r="AH13" s="2961">
        <f t="shared" si="5"/>
        <v>0.27698181818181822</v>
      </c>
      <c r="AI13" s="2961">
        <f t="shared" si="5"/>
        <v>0.27698181818181822</v>
      </c>
      <c r="AJ13" s="2961">
        <f t="shared" si="5"/>
        <v>0.27698181818181822</v>
      </c>
    </row>
    <row r="14" spans="1:39" ht="12.75" customHeight="1" thickBot="1">
      <c r="A14" s="3403"/>
      <c r="B14" s="1452"/>
      <c r="C14" s="1453"/>
      <c r="D14" s="1454"/>
      <c r="E14" s="1454"/>
      <c r="F14" s="1455"/>
      <c r="G14" s="1456" t="s">
        <v>949</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0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5">
        <v>14</v>
      </c>
      <c r="S15" s="2954"/>
      <c r="T15" s="2965" t="e">
        <f t="shared" si="0"/>
        <v>#DIV/0!</v>
      </c>
      <c r="U15" s="2954"/>
      <c r="V15" s="2965" t="e">
        <f t="shared" si="1"/>
        <v>#DIV/0!</v>
      </c>
      <c r="W15" s="2191"/>
      <c r="X15" s="2191"/>
      <c r="Y15" s="2191"/>
      <c r="Z15" s="2191"/>
      <c r="AA15" s="2191"/>
      <c r="AB15" s="2191"/>
      <c r="AC15" s="2192"/>
    </row>
    <row r="16" spans="1:39" ht="24">
      <c r="A16" s="340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0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800" t="s">
        <v>956</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ROUND(IF(H19="按公示增长率计算",SUMPRODUCT((地价!A3:A20=YEAR(G19)&amp;"-"&amp;ROUNDUP(MONTH(G19)/3,0))*(地价!X2:AB2=E2)*(地价!X3:AB20)),IF(H19="地价指数",M20/M19,(1+I19)^O19)),4)</f>
        <v>#DIV/0!</v>
      </c>
      <c r="D19" s="1475" t="s">
        <v>958</v>
      </c>
      <c r="E19" s="1058">
        <v>41640</v>
      </c>
      <c r="F19" s="1475" t="s">
        <v>959</v>
      </c>
      <c r="G19" s="1059">
        <f>'数据-取费表'!B2</f>
        <v>43077</v>
      </c>
      <c r="H19" s="1476" t="s">
        <v>2947</v>
      </c>
      <c r="I19" s="2812" t="str">
        <f>IF(H19="季度增幅（自定义）",SUMIF(N21:N24,E2,O21:O24),"")</f>
        <v/>
      </c>
      <c r="J19" s="1472"/>
      <c r="K19" s="1482"/>
      <c r="L19" s="3068" t="s">
        <v>2849</v>
      </c>
      <c r="M19" s="3069">
        <f>ROUND(SUMIF(地价!B2:F2,E2,地价!B20:F20),0)</f>
        <v>0</v>
      </c>
      <c r="N19" s="2814" t="s">
        <v>1677</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1837</v>
      </c>
      <c r="B20" s="2807" t="s">
        <v>972</v>
      </c>
      <c r="C20" s="2808" t="e">
        <f>ROUND(POWER(1+G20,J20-I20)*(POWER(1+G20,I20)-1)/(POWER(1+G20,J20)-1),4)</f>
        <v>#DIV/0!</v>
      </c>
      <c r="D20" s="2809" t="s">
        <v>973</v>
      </c>
      <c r="E20" s="3124">
        <f ca="1">存贷款利率!I4/100</f>
        <v>4.3499999999999997E-2</v>
      </c>
      <c r="F20" s="2809" t="s">
        <v>974</v>
      </c>
      <c r="G20" s="2810">
        <f>SUMIF(M15:P15,E2,M17:P17)</f>
        <v>0</v>
      </c>
      <c r="H20" s="2809" t="s">
        <v>975</v>
      </c>
      <c r="I20" s="2799" t="e">
        <f>SUMIF('数据-取费表'!C6:C15,E2,'数据-取费表'!F6:F15)/COUNTIF('数据-取费表'!C6:C15,E2)</f>
        <v>#DIV/0!</v>
      </c>
      <c r="J20" s="2811">
        <f>IF(E2="住宅",70,IF(E2="商业",40,50))</f>
        <v>50</v>
      </c>
      <c r="K20" s="1482"/>
      <c r="L20" s="3070" t="s">
        <v>2850</v>
      </c>
      <c r="M20" s="3071">
        <f>ROUND(SUMPRODUCT((地价!A5:A20=YEAR(G19)&amp;"-"&amp;ROUNDUP(MONTH(G19)/3,0))*(地价!B2:F2=E2)*(地价!B5:F20)),0)</f>
        <v>0</v>
      </c>
      <c r="N20" s="2817" t="s">
        <v>2653</v>
      </c>
      <c r="O20" s="2815" t="s">
        <v>2652</v>
      </c>
      <c r="P20" s="2816" t="s">
        <v>2658</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1838</v>
      </c>
      <c r="B21" s="1481" t="s">
        <v>2769</v>
      </c>
      <c r="C21" s="1158">
        <f>IF(B21="容积率修正",IF(G3&lt;=10,D22,J22),C23)</f>
        <v>0</v>
      </c>
      <c r="D21" s="1482"/>
      <c r="E21" s="1482"/>
      <c r="F21" s="1482"/>
      <c r="G21" s="1482"/>
      <c r="H21" s="1482"/>
      <c r="I21" s="1482"/>
      <c r="J21" s="1483"/>
      <c r="K21" s="1482"/>
      <c r="L21" s="1482"/>
      <c r="M21" s="1482"/>
      <c r="N21" s="1479" t="s">
        <v>976</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2.7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2.8000000000000003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825" t="s">
        <v>2656</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07" t="s">
        <v>2974</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08"/>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08"/>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09"/>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2253</v>
      </c>
      <c r="G46" s="2457" t="s">
        <v>1015</v>
      </c>
      <c r="H46" s="2440" t="s">
        <v>2422</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6" t="s">
        <v>2949</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5" t="s">
        <v>2948</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1029</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2254</v>
      </c>
      <c r="G57" s="2457" t="s">
        <v>1015</v>
      </c>
      <c r="H57" s="2440" t="s">
        <v>2422</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6" t="s">
        <v>2950</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5" t="s">
        <v>2948</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1029</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2255</v>
      </c>
      <c r="G68" s="2457" t="s">
        <v>1015</v>
      </c>
      <c r="H68" s="2440" t="s">
        <v>2422</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5" t="s">
        <v>2948</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2256</v>
      </c>
      <c r="G79" s="2457" t="s">
        <v>1015</v>
      </c>
      <c r="H79" s="2440" t="s">
        <v>2422</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5" t="s">
        <v>2948</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05" t="s">
        <v>1634</v>
      </c>
      <c r="B90" s="3405"/>
      <c r="C90" s="3405"/>
      <c r="D90" s="3405"/>
      <c r="E90" s="3405"/>
      <c r="F90" s="3405"/>
      <c r="G90" s="3405"/>
      <c r="H90" s="3405"/>
      <c r="I90" s="3405"/>
      <c r="J90" s="3405"/>
      <c r="K90" s="2476"/>
      <c r="L90" s="2476"/>
      <c r="M90" s="2476"/>
      <c r="N90" s="2476"/>
    </row>
    <row r="91" spans="1:40">
      <c r="A91" s="3406" t="s">
        <v>1444</v>
      </c>
      <c r="B91" s="3406" t="s">
        <v>1635</v>
      </c>
      <c r="C91" s="1140" t="s">
        <v>1636</v>
      </c>
      <c r="D91" s="1141"/>
      <c r="E91" s="1141"/>
      <c r="F91" s="1141"/>
      <c r="G91" s="1141"/>
      <c r="H91" s="1141"/>
      <c r="I91" s="1141"/>
      <c r="J91" s="1142"/>
      <c r="K91" s="1134"/>
      <c r="L91" s="1134"/>
      <c r="M91" s="1134"/>
      <c r="N91" s="1134"/>
    </row>
    <row r="92" spans="1:40">
      <c r="A92" s="3406"/>
      <c r="B92" s="3406"/>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13" t="s">
        <v>2772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1638</v>
      </c>
      <c r="B101" s="1147" t="s">
        <v>906</v>
      </c>
      <c r="C101" s="1148">
        <f>$G$3</f>
        <v>2.75</v>
      </c>
      <c r="D101" s="1148">
        <f t="shared" ref="D101:N101" si="31">$G$3</f>
        <v>2.75</v>
      </c>
      <c r="E101" s="1148">
        <f t="shared" si="31"/>
        <v>2.75</v>
      </c>
      <c r="F101" s="1148">
        <f t="shared" si="31"/>
        <v>2.75</v>
      </c>
      <c r="G101" s="1148">
        <f t="shared" si="31"/>
        <v>2.75</v>
      </c>
      <c r="H101" s="1148">
        <f t="shared" si="31"/>
        <v>2.75</v>
      </c>
      <c r="I101" s="1148">
        <f t="shared" si="31"/>
        <v>2.75</v>
      </c>
      <c r="J101" s="1148">
        <f t="shared" si="31"/>
        <v>2.75</v>
      </c>
      <c r="K101" s="1148">
        <f t="shared" si="31"/>
        <v>2.75</v>
      </c>
      <c r="L101" s="1148">
        <f t="shared" si="31"/>
        <v>2.75</v>
      </c>
      <c r="M101" s="1148">
        <f t="shared" si="31"/>
        <v>2.75</v>
      </c>
      <c r="N101" s="1148">
        <f t="shared" si="31"/>
        <v>2.75</v>
      </c>
    </row>
    <row r="102" spans="1:14">
      <c r="A102" s="3414"/>
      <c r="B102" s="1143">
        <v>1</v>
      </c>
      <c r="C102" s="1144">
        <f>1.9362/C101</f>
        <v>0.70407272727272729</v>
      </c>
      <c r="D102" s="1144">
        <f>1.9362/D101</f>
        <v>0.70407272727272729</v>
      </c>
      <c r="E102" s="1144">
        <f>1.8629/E101</f>
        <v>0.67741818181818181</v>
      </c>
      <c r="F102" s="1144">
        <f>1.8629/F101</f>
        <v>0.67741818181818181</v>
      </c>
      <c r="G102" s="1144">
        <f>1.8629/G101</f>
        <v>0.67741818181818181</v>
      </c>
      <c r="H102" s="1144">
        <f>1.8629/H101</f>
        <v>0.67741818181818181</v>
      </c>
      <c r="I102" s="1144">
        <f>1.8629/I101</f>
        <v>0.67741818181818181</v>
      </c>
      <c r="J102" s="1144">
        <f>1.942/J101</f>
        <v>0.70618181818181813</v>
      </c>
      <c r="K102" s="1144">
        <f>1.942/K101</f>
        <v>0.70618181818181813</v>
      </c>
      <c r="L102" s="1144">
        <f>1.942/L101</f>
        <v>0.70618181818181813</v>
      </c>
      <c r="M102" s="1144">
        <f>1.942/M101</f>
        <v>0.70618181818181813</v>
      </c>
      <c r="N102" s="1144">
        <f>1.942/N101</f>
        <v>0.70618181818181813</v>
      </c>
    </row>
    <row r="103" spans="1:14">
      <c r="A103" s="3414"/>
      <c r="B103" s="1143">
        <v>2</v>
      </c>
      <c r="C103" s="1144">
        <f>1.4198/C101</f>
        <v>0.51629090909090902</v>
      </c>
      <c r="D103" s="1144">
        <f>1.4198/D101</f>
        <v>0.51629090909090902</v>
      </c>
      <c r="E103" s="1144">
        <f>1.3372/E101</f>
        <v>0.48625454545454544</v>
      </c>
      <c r="F103" s="1144">
        <f>1.3372/F101</f>
        <v>0.48625454545454544</v>
      </c>
      <c r="G103" s="1144">
        <f>1.3372/G101</f>
        <v>0.48625454545454544</v>
      </c>
      <c r="H103" s="1144">
        <f>1.3372/H101</f>
        <v>0.48625454545454544</v>
      </c>
      <c r="I103" s="1144">
        <f>1.3372/I101</f>
        <v>0.48625454545454544</v>
      </c>
      <c r="J103" s="1144">
        <f>1.2799/J101</f>
        <v>0.46541818181818184</v>
      </c>
      <c r="K103" s="1144">
        <f>1.2799/K101</f>
        <v>0.46541818181818184</v>
      </c>
      <c r="L103" s="1144">
        <f>1.2799/L101</f>
        <v>0.46541818181818184</v>
      </c>
      <c r="M103" s="1144">
        <f>1.2799/M101</f>
        <v>0.46541818181818184</v>
      </c>
      <c r="N103" s="1144">
        <f>1.2799/N101</f>
        <v>0.46541818181818184</v>
      </c>
    </row>
    <row r="104" spans="1:14">
      <c r="A104" s="3414"/>
      <c r="B104" s="1143">
        <v>3</v>
      </c>
      <c r="C104" s="1144">
        <f>1.1594/C101</f>
        <v>0.42159999999999997</v>
      </c>
      <c r="D104" s="1144">
        <f>1.1594/D101</f>
        <v>0.42159999999999997</v>
      </c>
      <c r="E104" s="1144">
        <f>1.0788/E101</f>
        <v>0.39229090909090908</v>
      </c>
      <c r="F104" s="1144">
        <f>1.0788/F101</f>
        <v>0.39229090909090908</v>
      </c>
      <c r="G104" s="1144">
        <f>1.0788/G101</f>
        <v>0.39229090909090908</v>
      </c>
      <c r="H104" s="1144">
        <f>1.0788/H101</f>
        <v>0.39229090909090908</v>
      </c>
      <c r="I104" s="1144">
        <f>1.0788/I101</f>
        <v>0.39229090909090908</v>
      </c>
      <c r="J104" s="1144">
        <f>1.0072/J101</f>
        <v>0.3662545454545455</v>
      </c>
      <c r="K104" s="1144">
        <f>1.0072/K101</f>
        <v>0.3662545454545455</v>
      </c>
      <c r="L104" s="1144">
        <f>1.0072/L101</f>
        <v>0.3662545454545455</v>
      </c>
      <c r="M104" s="1144">
        <f>1.0072/M101</f>
        <v>0.3662545454545455</v>
      </c>
      <c r="N104" s="1144">
        <f>1.0072/N101</f>
        <v>0.3662545454545455</v>
      </c>
    </row>
    <row r="105" spans="1:14">
      <c r="A105" s="3414"/>
      <c r="B105" s="1143">
        <v>4</v>
      </c>
      <c r="C105" s="1144">
        <f>0.9622/C101</f>
        <v>0.34989090909090909</v>
      </c>
      <c r="D105" s="1144">
        <f>0.9622/D101</f>
        <v>0.34989090909090909</v>
      </c>
      <c r="E105" s="1144">
        <f>0.8656/E101</f>
        <v>0.31476363636363636</v>
      </c>
      <c r="F105" s="1144">
        <f>0.8656/F101</f>
        <v>0.31476363636363636</v>
      </c>
      <c r="G105" s="1144">
        <f>0.8656/G101</f>
        <v>0.31476363636363636</v>
      </c>
      <c r="H105" s="1144">
        <f>0.8656/H101</f>
        <v>0.31476363636363636</v>
      </c>
      <c r="I105" s="1144">
        <f>0.8656/I101</f>
        <v>0.31476363636363636</v>
      </c>
      <c r="J105" s="1144">
        <f>0.7525/J101</f>
        <v>0.27363636363636362</v>
      </c>
      <c r="K105" s="1144">
        <f>0.7525/K101</f>
        <v>0.27363636363636362</v>
      </c>
      <c r="L105" s="1144">
        <f>0.7525/L101</f>
        <v>0.27363636363636362</v>
      </c>
      <c r="M105" s="1144">
        <f>0.7525/M101</f>
        <v>0.27363636363636362</v>
      </c>
      <c r="N105" s="1144">
        <f>0.7525/N101</f>
        <v>0.27363636363636362</v>
      </c>
    </row>
    <row r="106" spans="1:14">
      <c r="A106" s="3414"/>
      <c r="B106" s="1143">
        <v>5</v>
      </c>
      <c r="C106" s="1144">
        <f>0.8417/C101</f>
        <v>0.30607272727272727</v>
      </c>
      <c r="D106" s="1144">
        <f>0.8417/D101</f>
        <v>0.30607272727272727</v>
      </c>
      <c r="E106" s="1144">
        <f>0.7371/E101</f>
        <v>0.26803636363636363</v>
      </c>
      <c r="F106" s="1144">
        <f>0.7371/F101</f>
        <v>0.26803636363636363</v>
      </c>
      <c r="G106" s="1144">
        <f>0.7371/G101</f>
        <v>0.26803636363636363</v>
      </c>
      <c r="H106" s="1144">
        <f>0.7371/H101</f>
        <v>0.26803636363636363</v>
      </c>
      <c r="I106" s="1144">
        <f>0.7371/I101</f>
        <v>0.26803636363636363</v>
      </c>
      <c r="J106" s="1144">
        <f>0.5659/J101</f>
        <v>0.20578181818181818</v>
      </c>
      <c r="K106" s="1144">
        <f>0.5659/K101</f>
        <v>0.20578181818181818</v>
      </c>
      <c r="L106" s="1144">
        <f>0.5659/L101</f>
        <v>0.20578181818181818</v>
      </c>
      <c r="M106" s="1144">
        <f>0.5659/M101</f>
        <v>0.20578181818181818</v>
      </c>
      <c r="N106" s="1144">
        <f>0.5659/N101</f>
        <v>0.20578181818181818</v>
      </c>
    </row>
    <row r="107" spans="1:14">
      <c r="A107" s="3414"/>
      <c r="B107" s="1143">
        <v>6</v>
      </c>
      <c r="C107" s="1144">
        <f>0.7608/C101</f>
        <v>0.27665454545454549</v>
      </c>
      <c r="D107" s="1144">
        <f>0.7608/D101</f>
        <v>0.27665454545454549</v>
      </c>
      <c r="E107" s="1144">
        <f>0.6482/E101</f>
        <v>0.2357090909090909</v>
      </c>
      <c r="F107" s="1144">
        <f>0.6482/F101</f>
        <v>0.2357090909090909</v>
      </c>
      <c r="G107" s="1144">
        <f>0.6482/G101</f>
        <v>0.2357090909090909</v>
      </c>
      <c r="H107" s="1144">
        <f>0.6482/H101</f>
        <v>0.2357090909090909</v>
      </c>
      <c r="I107" s="1144">
        <f>0.6482/I101</f>
        <v>0.2357090909090909</v>
      </c>
      <c r="J107" s="1144">
        <f>0.4525/J101</f>
        <v>0.16454545454545455</v>
      </c>
      <c r="K107" s="1144">
        <f>0.4525/K101</f>
        <v>0.16454545454545455</v>
      </c>
      <c r="L107" s="1144">
        <f>0.4525/L101</f>
        <v>0.16454545454545455</v>
      </c>
      <c r="M107" s="1144">
        <f>0.4525/M101</f>
        <v>0.16454545454545455</v>
      </c>
      <c r="N107" s="1144">
        <f>0.4525/N101</f>
        <v>0.16454545454545455</v>
      </c>
    </row>
    <row r="108" spans="1:14">
      <c r="A108" s="3414"/>
      <c r="B108" s="341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0.27643083636363636</v>
      </c>
      <c r="D109" s="1146">
        <f>(-0.163*(D108^2)-0.59*D108+7617)*(10^(-4))/D101</f>
        <v>0.27643083636363636</v>
      </c>
      <c r="E109" s="1146">
        <f>(-0.161*(E108^2)-7.509*E108+6533)*(10^(-4))/E101</f>
        <v>0.23500450909090909</v>
      </c>
      <c r="F109" s="1146">
        <f>(-0.161*(F108^2)-7.509*F108+6533)*(10^(-4))/F101</f>
        <v>0.23500450909090909</v>
      </c>
      <c r="G109" s="1146">
        <f>(-0.161*(G108^2)-7.509*G108+6533)*(10^(-4))/G101</f>
        <v>0.23500450909090909</v>
      </c>
      <c r="H109" s="1146">
        <f>(-0.161*(H108^2)-7.509*H108+6533)*(10^(-4))/H101</f>
        <v>0.23500450909090909</v>
      </c>
      <c r="I109" s="1146">
        <f>(-0.161*(I108^2)-7.509*I108+6533)*(10^(-4))/I101</f>
        <v>0.23500450909090909</v>
      </c>
      <c r="J109" s="1146">
        <f>(-0.214*(J108^2)-21.991*J108+4665)*(10^(-4))/J101</f>
        <v>0.16274094545454545</v>
      </c>
      <c r="K109" s="1146">
        <f>(-0.214*(K108^2)-21.991*K108+4665)*(10^(-4))/K101</f>
        <v>0.16274094545454545</v>
      </c>
      <c r="L109" s="1146">
        <f>(-0.214*(L108^2)-21.991*L108+4665)*(10^(-4))/L101</f>
        <v>0.16274094545454545</v>
      </c>
      <c r="M109" s="1146">
        <f>(-0.214*(M108^2)-21.991*M108+4665)*(10^(-4))/M101</f>
        <v>0.16274094545454545</v>
      </c>
      <c r="N109" s="1146">
        <f>(-0.214*(N108^2)-21.991*N108+4665)*(10^(-4))/N101</f>
        <v>0.16274094545454545</v>
      </c>
    </row>
    <row r="110" spans="1:14">
      <c r="A110" s="3400" t="s">
        <v>1640</v>
      </c>
      <c r="B110" s="3400"/>
      <c r="C110" s="3400"/>
      <c r="D110" s="3400"/>
      <c r="E110" s="3400"/>
      <c r="F110" s="3400"/>
      <c r="G110" s="3400"/>
      <c r="H110" s="3400"/>
      <c r="I110" s="3400"/>
      <c r="J110" s="3400"/>
      <c r="K110" s="2474"/>
      <c r="L110" s="2474"/>
      <c r="M110" s="2474"/>
      <c r="N110" s="2474"/>
    </row>
    <row r="112" spans="1:14" ht="12.75" thickBot="1"/>
    <row r="113" spans="1:13" ht="25.5" thickBot="1">
      <c r="A113" s="1016" t="s">
        <v>896</v>
      </c>
      <c r="B113" s="2477">
        <f>G3</f>
        <v>2.75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0.90769999999999995</v>
      </c>
      <c r="C115" s="1030">
        <f>B115</f>
        <v>0.90769999999999995</v>
      </c>
      <c r="D115" s="1030">
        <f>ROUND(0.8331-0.0109*B113,4)</f>
        <v>0.80310000000000004</v>
      </c>
      <c r="E115" s="1030">
        <f>D115</f>
        <v>0.80310000000000004</v>
      </c>
      <c r="F115" s="1030">
        <f>E115</f>
        <v>0.80310000000000004</v>
      </c>
      <c r="G115" s="1030">
        <f>F115</f>
        <v>0.80310000000000004</v>
      </c>
      <c r="H115" s="1030">
        <f>G115</f>
        <v>0.80310000000000004</v>
      </c>
      <c r="I115" s="1030">
        <f>ROUND(0.689-0.0155*B113,4)</f>
        <v>0.64639999999999997</v>
      </c>
      <c r="J115" s="1030">
        <f t="shared" ref="J115:M118" si="33">I115</f>
        <v>0.64639999999999997</v>
      </c>
      <c r="K115" s="1030">
        <f t="shared" si="33"/>
        <v>0.64639999999999997</v>
      </c>
      <c r="L115" s="1030">
        <f t="shared" si="33"/>
        <v>0.64639999999999997</v>
      </c>
      <c r="M115" s="1031">
        <f t="shared" si="33"/>
        <v>0.64639999999999997</v>
      </c>
    </row>
    <row r="116" spans="1:13" ht="12.75">
      <c r="A116" s="1029" t="s">
        <v>901</v>
      </c>
      <c r="B116" s="1030">
        <f>ROUND(0.949-0.012*B113,4)</f>
        <v>0.91600000000000004</v>
      </c>
      <c r="C116" s="1030">
        <f>B116</f>
        <v>0.91600000000000004</v>
      </c>
      <c r="D116" s="1030">
        <f>ROUND(0.8567-0.013*B113,4)</f>
        <v>0.82099999999999995</v>
      </c>
      <c r="E116" s="1030">
        <f t="shared" ref="E116:H117" si="34">D116</f>
        <v>0.82099999999999995</v>
      </c>
      <c r="F116" s="1030">
        <f t="shared" si="34"/>
        <v>0.82099999999999995</v>
      </c>
      <c r="G116" s="1030">
        <f t="shared" si="34"/>
        <v>0.82099999999999995</v>
      </c>
      <c r="H116" s="1030">
        <f t="shared" si="34"/>
        <v>0.82099999999999995</v>
      </c>
      <c r="I116" s="1030">
        <f>ROUND(0.7694-0.014*B113,4)</f>
        <v>0.73089999999999999</v>
      </c>
      <c r="J116" s="1030">
        <f t="shared" si="33"/>
        <v>0.73089999999999999</v>
      </c>
      <c r="K116" s="1030">
        <f t="shared" si="33"/>
        <v>0.73089999999999999</v>
      </c>
      <c r="L116" s="1030">
        <f t="shared" si="33"/>
        <v>0.73089999999999999</v>
      </c>
      <c r="M116" s="1031">
        <f t="shared" si="33"/>
        <v>0.73089999999999999</v>
      </c>
    </row>
    <row r="117" spans="1:13" ht="12.75">
      <c r="A117" s="1032" t="s">
        <v>902</v>
      </c>
      <c r="B117" s="1030">
        <f>ROUND(0.8808-0.006*B113,4)</f>
        <v>0.86429999999999996</v>
      </c>
      <c r="C117" s="1030">
        <f>B117</f>
        <v>0.86429999999999996</v>
      </c>
      <c r="D117" s="1030">
        <f>ROUND(0.8748-0.008*B113,4)</f>
        <v>0.8528</v>
      </c>
      <c r="E117" s="1030">
        <f t="shared" si="34"/>
        <v>0.8528</v>
      </c>
      <c r="F117" s="1030">
        <f t="shared" si="34"/>
        <v>0.8528</v>
      </c>
      <c r="G117" s="1030">
        <f t="shared" si="34"/>
        <v>0.8528</v>
      </c>
      <c r="H117" s="1030">
        <f t="shared" si="34"/>
        <v>0.8528</v>
      </c>
      <c r="I117" s="1030">
        <f>ROUND(0.7412-0.0095*B113,4)</f>
        <v>0.71509999999999996</v>
      </c>
      <c r="J117" s="1030">
        <f t="shared" si="33"/>
        <v>0.71509999999999996</v>
      </c>
      <c r="K117" s="1030">
        <f t="shared" si="33"/>
        <v>0.71509999999999996</v>
      </c>
      <c r="L117" s="1030">
        <f t="shared" si="33"/>
        <v>0.71509999999999996</v>
      </c>
      <c r="M117" s="1031">
        <f t="shared" si="33"/>
        <v>0.71509999999999996</v>
      </c>
    </row>
    <row r="118" spans="1:13" ht="13.5" thickBot="1">
      <c r="A118" s="1033" t="s">
        <v>903</v>
      </c>
      <c r="B118" s="1034">
        <f>ROUND(0.7275-0.01*B113,4)</f>
        <v>0.7</v>
      </c>
      <c r="C118" s="1034">
        <f>B118</f>
        <v>0.7</v>
      </c>
      <c r="D118" s="1034">
        <f>ROUND(0.7043-0.012*B113,4)</f>
        <v>0.67130000000000001</v>
      </c>
      <c r="E118" s="1034">
        <f>D118</f>
        <v>0.67130000000000001</v>
      </c>
      <c r="F118" s="1034">
        <f>E118</f>
        <v>0.67130000000000001</v>
      </c>
      <c r="G118" s="1034">
        <f>ROUND(0.6299-0.0122*B113,4)</f>
        <v>0.59640000000000004</v>
      </c>
      <c r="H118" s="1034">
        <f>G118</f>
        <v>0.59640000000000004</v>
      </c>
      <c r="I118" s="1034">
        <f>ROUND(0.5667-0.0136*B113,4)</f>
        <v>0.52929999999999999</v>
      </c>
      <c r="J118" s="1034">
        <f t="shared" si="33"/>
        <v>0.52929999999999999</v>
      </c>
      <c r="K118" s="1034">
        <f t="shared" si="33"/>
        <v>0.52929999999999999</v>
      </c>
      <c r="L118" s="1034">
        <f t="shared" si="33"/>
        <v>0.52929999999999999</v>
      </c>
      <c r="M118" s="1035">
        <f t="shared" si="33"/>
        <v>0.52929999999999999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6" t="s">
        <v>1008</v>
      </c>
      <c r="B18" s="1154" t="s">
        <v>1447</v>
      </c>
      <c r="C18" s="1131" t="s">
        <v>1448</v>
      </c>
      <c r="D18" s="1132"/>
      <c r="E18" s="1154">
        <v>1</v>
      </c>
      <c r="F18" s="1133" t="s">
        <v>1449</v>
      </c>
      <c r="G18" s="1134"/>
      <c r="H18" s="1105"/>
      <c r="I18" s="1105"/>
    </row>
    <row r="19" spans="1:9" s="1600" customFormat="1" ht="19.5" customHeight="1">
      <c r="A19" s="3406"/>
      <c r="B19" s="3406" t="s">
        <v>1450</v>
      </c>
      <c r="C19" s="1131" t="s">
        <v>1451</v>
      </c>
      <c r="D19" s="1132"/>
      <c r="E19" s="1154">
        <v>0.9</v>
      </c>
      <c r="F19" s="1133" t="s">
        <v>1452</v>
      </c>
      <c r="G19" s="1134"/>
      <c r="H19" s="1105"/>
      <c r="I19" s="1105"/>
    </row>
    <row r="20" spans="1:9" s="1600" customFormat="1" ht="19.5" customHeight="1">
      <c r="A20" s="3406"/>
      <c r="B20" s="3406"/>
      <c r="C20" s="1131" t="s">
        <v>1453</v>
      </c>
      <c r="D20" s="1132"/>
      <c r="E20" s="1154">
        <v>1.1000000000000001</v>
      </c>
      <c r="F20" s="1133" t="s">
        <v>1454</v>
      </c>
      <c r="G20" s="1134"/>
      <c r="H20" s="1105"/>
      <c r="I20" s="1105"/>
    </row>
    <row r="21" spans="1:9" s="1600" customFormat="1" ht="19.5" customHeight="1">
      <c r="A21" s="3406"/>
      <c r="B21" s="3406"/>
      <c r="C21" s="1131" t="s">
        <v>1455</v>
      </c>
      <c r="D21" s="1132"/>
      <c r="E21" s="1154">
        <v>0.8</v>
      </c>
      <c r="F21" s="1133" t="s">
        <v>1456</v>
      </c>
      <c r="G21" s="1134"/>
      <c r="H21" s="1105"/>
      <c r="I21" s="1105"/>
    </row>
    <row r="22" spans="1:9" s="1600" customFormat="1" ht="19.5" customHeight="1">
      <c r="A22" s="3406"/>
      <c r="B22" s="3406"/>
      <c r="C22" s="1131" t="s">
        <v>1457</v>
      </c>
      <c r="D22" s="1132"/>
      <c r="E22" s="1154">
        <v>0.5</v>
      </c>
      <c r="F22" s="1133"/>
      <c r="G22" s="1134"/>
      <c r="H22" s="1105"/>
      <c r="I22" s="1105"/>
    </row>
    <row r="23" spans="1:9" s="1600" customFormat="1" ht="19.5" customHeight="1">
      <c r="A23" s="3406" t="s">
        <v>1030</v>
      </c>
      <c r="B23" s="1154" t="s">
        <v>1447</v>
      </c>
      <c r="C23" s="1131" t="s">
        <v>1458</v>
      </c>
      <c r="D23" s="1132"/>
      <c r="E23" s="1154">
        <v>1</v>
      </c>
      <c r="F23" s="1133" t="s">
        <v>1459</v>
      </c>
      <c r="G23" s="1134"/>
      <c r="H23" s="1105"/>
      <c r="I23" s="1105"/>
    </row>
    <row r="24" spans="1:9" s="1600" customFormat="1" ht="19.5" customHeight="1">
      <c r="A24" s="3406"/>
      <c r="B24" s="3406" t="s">
        <v>1450</v>
      </c>
      <c r="C24" s="1131" t="s">
        <v>1460</v>
      </c>
      <c r="D24" s="1132"/>
      <c r="E24" s="1154">
        <v>0.5</v>
      </c>
      <c r="F24" s="1133"/>
      <c r="G24" s="1134"/>
      <c r="H24" s="1105"/>
      <c r="I24" s="1105"/>
    </row>
    <row r="25" spans="1:9" s="1600" customFormat="1" ht="19.5" customHeight="1">
      <c r="A25" s="3406"/>
      <c r="B25" s="3406"/>
      <c r="C25" s="1131" t="s">
        <v>1461</v>
      </c>
      <c r="D25" s="1132"/>
      <c r="E25" s="1154">
        <v>1.1000000000000001</v>
      </c>
      <c r="F25" s="1133"/>
      <c r="G25" s="1134"/>
      <c r="H25" s="1105"/>
      <c r="I25" s="1105"/>
    </row>
    <row r="26" spans="1:9" s="1600" customFormat="1" ht="19.5" customHeight="1">
      <c r="A26" s="3406"/>
      <c r="B26" s="3406"/>
      <c r="C26" s="1131" t="s">
        <v>1462</v>
      </c>
      <c r="D26" s="1132"/>
      <c r="E26" s="1154">
        <v>1.1000000000000001</v>
      </c>
      <c r="F26" s="1133"/>
      <c r="G26" s="1134"/>
      <c r="H26" s="1105"/>
      <c r="I26" s="1105"/>
    </row>
    <row r="27" spans="1:9" s="1600" customFormat="1" ht="19.5" customHeight="1">
      <c r="A27" s="3406"/>
      <c r="B27" s="3406"/>
      <c r="C27" s="1131" t="s">
        <v>1463</v>
      </c>
      <c r="D27" s="1132"/>
      <c r="E27" s="1154">
        <v>0.9</v>
      </c>
      <c r="F27" s="1133" t="s">
        <v>1464</v>
      </c>
      <c r="G27" s="1134"/>
      <c r="H27" s="1105"/>
      <c r="I27" s="1105"/>
    </row>
    <row r="28" spans="1:9" s="1600" customFormat="1" ht="19.5" customHeight="1">
      <c r="A28" s="3406"/>
      <c r="B28" s="3406"/>
      <c r="C28" s="1131" t="s">
        <v>1465</v>
      </c>
      <c r="D28" s="1132"/>
      <c r="E28" s="1154">
        <v>0.9</v>
      </c>
      <c r="F28" s="1133" t="s">
        <v>1466</v>
      </c>
      <c r="G28" s="1134"/>
      <c r="H28" s="1105"/>
      <c r="I28" s="1105"/>
    </row>
    <row r="29" spans="1:9" s="1600" customFormat="1" ht="19.5" customHeight="1">
      <c r="A29" s="3406"/>
      <c r="B29" s="3406"/>
      <c r="C29" s="1131" t="s">
        <v>1467</v>
      </c>
      <c r="D29" s="1132"/>
      <c r="E29" s="1154">
        <v>0.9</v>
      </c>
      <c r="F29" s="1133" t="s">
        <v>1468</v>
      </c>
      <c r="G29" s="1134"/>
      <c r="H29" s="1105"/>
      <c r="I29" s="1105"/>
    </row>
    <row r="30" spans="1:9" s="1600" customFormat="1" ht="19.5" customHeight="1">
      <c r="A30" s="3406"/>
      <c r="B30" s="3406"/>
      <c r="C30" s="1131" t="s">
        <v>1469</v>
      </c>
      <c r="D30" s="1132"/>
      <c r="E30" s="1154">
        <v>0.9</v>
      </c>
      <c r="F30" s="1133" t="s">
        <v>1470</v>
      </c>
      <c r="G30" s="1134"/>
      <c r="H30" s="1105"/>
      <c r="I30" s="1105"/>
    </row>
    <row r="31" spans="1:9" s="1600" customFormat="1" ht="19.5" customHeight="1">
      <c r="A31" s="3406"/>
      <c r="B31" s="3406"/>
      <c r="C31" s="1131" t="s">
        <v>1471</v>
      </c>
      <c r="D31" s="1132"/>
      <c r="E31" s="1154">
        <v>0.8</v>
      </c>
      <c r="F31" s="1133" t="s">
        <v>1472</v>
      </c>
      <c r="G31" s="1134"/>
      <c r="H31" s="1105"/>
      <c r="I31" s="1105"/>
    </row>
    <row r="32" spans="1:9" s="1600" customFormat="1" ht="19.5" customHeight="1">
      <c r="A32" s="3406"/>
      <c r="B32" s="3406"/>
      <c r="C32" s="1131" t="s">
        <v>1473</v>
      </c>
      <c r="D32" s="1132"/>
      <c r="E32" s="1154">
        <v>0.8</v>
      </c>
      <c r="F32" s="1133" t="s">
        <v>1474</v>
      </c>
      <c r="G32" s="1134"/>
      <c r="H32" s="1105"/>
      <c r="I32" s="1105"/>
    </row>
    <row r="33" spans="1:9" s="1600" customFormat="1" ht="19.5" customHeight="1">
      <c r="A33" s="3406" t="s">
        <v>1475</v>
      </c>
      <c r="B33" s="1154" t="s">
        <v>1447</v>
      </c>
      <c r="C33" s="1131" t="s">
        <v>1476</v>
      </c>
      <c r="D33" s="1132"/>
      <c r="E33" s="1154">
        <v>1</v>
      </c>
      <c r="F33" s="1133" t="s">
        <v>1477</v>
      </c>
      <c r="G33" s="1134"/>
      <c r="H33" s="1105"/>
      <c r="I33" s="1105"/>
    </row>
    <row r="34" spans="1:9" s="1600" customFormat="1" ht="19.5" customHeight="1">
      <c r="A34" s="3406"/>
      <c r="B34" s="1154" t="s">
        <v>1450</v>
      </c>
      <c r="C34" s="1131" t="s">
        <v>1478</v>
      </c>
      <c r="D34" s="1132"/>
      <c r="E34" s="1154">
        <v>1.5</v>
      </c>
      <c r="F34" s="1133" t="s">
        <v>1479</v>
      </c>
      <c r="G34" s="1134"/>
      <c r="H34" s="1105"/>
      <c r="I34" s="1105"/>
    </row>
    <row r="35" spans="1:9" s="1600" customFormat="1" ht="19.5" customHeight="1">
      <c r="A35" s="3406" t="s">
        <v>1433</v>
      </c>
      <c r="B35" s="1154" t="s">
        <v>1447</v>
      </c>
      <c r="C35" s="1131" t="s">
        <v>1480</v>
      </c>
      <c r="D35" s="1132"/>
      <c r="E35" s="1154">
        <v>1</v>
      </c>
      <c r="F35" s="1133" t="s">
        <v>1481</v>
      </c>
      <c r="G35" s="1134"/>
      <c r="H35" s="1105"/>
      <c r="I35" s="1105"/>
    </row>
    <row r="36" spans="1:9" s="1600" customFormat="1" ht="19.5" customHeight="1">
      <c r="A36" s="3406"/>
      <c r="B36" s="3406" t="s">
        <v>1450</v>
      </c>
      <c r="C36" s="1131" t="s">
        <v>1482</v>
      </c>
      <c r="D36" s="1132"/>
      <c r="E36" s="1154">
        <v>1</v>
      </c>
      <c r="F36" s="1133" t="s">
        <v>1483</v>
      </c>
      <c r="G36" s="1134"/>
      <c r="H36" s="1105"/>
      <c r="I36" s="1105"/>
    </row>
    <row r="37" spans="1:9" s="1600" customFormat="1" ht="19.5" customHeight="1">
      <c r="A37" s="3406"/>
      <c r="B37" s="3406"/>
      <c r="C37" s="1131" t="s">
        <v>1484</v>
      </c>
      <c r="D37" s="1132"/>
      <c r="E37" s="1154">
        <v>1.5</v>
      </c>
      <c r="F37" s="1133" t="s">
        <v>1485</v>
      </c>
      <c r="G37" s="1134"/>
      <c r="H37" s="1105"/>
      <c r="I37" s="1105"/>
    </row>
    <row r="38" spans="1:9" s="1600" customFormat="1" ht="19.5" customHeight="1">
      <c r="A38" s="3406"/>
      <c r="B38" s="3406"/>
      <c r="C38" s="1131" t="s">
        <v>1486</v>
      </c>
      <c r="D38" s="1132"/>
      <c r="E38" s="1154">
        <v>1</v>
      </c>
      <c r="F38" s="1133" t="s">
        <v>1487</v>
      </c>
      <c r="G38" s="1134"/>
      <c r="H38" s="1105"/>
      <c r="I38" s="1105"/>
    </row>
    <row r="39" spans="1:9" s="1600" customFormat="1" ht="19.5" customHeight="1">
      <c r="A39" s="3406"/>
      <c r="B39" s="340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6" t="s">
        <v>1502</v>
      </c>
      <c r="C61" s="1068" t="s">
        <v>1503</v>
      </c>
      <c r="D61" s="1068" t="s">
        <v>1504</v>
      </c>
      <c r="E61" s="1139">
        <v>0.5</v>
      </c>
      <c r="F61" s="1154">
        <v>80</v>
      </c>
      <c r="H61" s="1105">
        <f>SUMIF(C59:C119,基准地价!C8,E59:E119)</f>
        <v>0</v>
      </c>
    </row>
    <row r="62" spans="1:8" s="1105" customFormat="1" ht="24">
      <c r="A62" s="1154">
        <v>2</v>
      </c>
      <c r="B62" s="3406"/>
      <c r="C62" s="1068" t="s">
        <v>1505</v>
      </c>
      <c r="D62" s="1068" t="s">
        <v>1506</v>
      </c>
      <c r="E62" s="1139">
        <v>0.5</v>
      </c>
      <c r="F62" s="1154">
        <v>80</v>
      </c>
    </row>
    <row r="63" spans="1:8" s="1105" customFormat="1" ht="36">
      <c r="A63" s="1154">
        <v>3</v>
      </c>
      <c r="B63" s="3406"/>
      <c r="C63" s="1068" t="s">
        <v>1507</v>
      </c>
      <c r="D63" s="1068" t="s">
        <v>1508</v>
      </c>
      <c r="E63" s="1139">
        <v>0.5</v>
      </c>
      <c r="F63" s="1154">
        <v>80</v>
      </c>
    </row>
    <row r="64" spans="1:8" s="1105" customFormat="1" ht="36">
      <c r="A64" s="1154">
        <v>4</v>
      </c>
      <c r="B64" s="3406"/>
      <c r="C64" s="1068" t="s">
        <v>1509</v>
      </c>
      <c r="D64" s="1068" t="s">
        <v>1510</v>
      </c>
      <c r="E64" s="1139">
        <v>0.4</v>
      </c>
      <c r="F64" s="1154">
        <v>60</v>
      </c>
    </row>
    <row r="65" spans="1:6" s="1105" customFormat="1" ht="36">
      <c r="A65" s="1154">
        <v>5</v>
      </c>
      <c r="B65" s="3406"/>
      <c r="C65" s="1068" t="s">
        <v>1511</v>
      </c>
      <c r="D65" s="1068" t="s">
        <v>1512</v>
      </c>
      <c r="E65" s="1139">
        <v>0.2</v>
      </c>
      <c r="F65" s="1154">
        <v>30</v>
      </c>
    </row>
    <row r="66" spans="1:6" s="1105" customFormat="1" ht="36">
      <c r="A66" s="1154">
        <v>6</v>
      </c>
      <c r="B66" s="3406"/>
      <c r="C66" s="1068" t="s">
        <v>1513</v>
      </c>
      <c r="D66" s="1068" t="s">
        <v>1514</v>
      </c>
      <c r="E66" s="1139">
        <v>0.3</v>
      </c>
      <c r="F66" s="1154">
        <v>50</v>
      </c>
    </row>
    <row r="67" spans="1:6" s="1105" customFormat="1" ht="36">
      <c r="A67" s="1154">
        <v>7</v>
      </c>
      <c r="B67" s="3406"/>
      <c r="C67" s="1068" t="s">
        <v>1515</v>
      </c>
      <c r="D67" s="1068" t="s">
        <v>1516</v>
      </c>
      <c r="E67" s="1139">
        <v>0.2</v>
      </c>
      <c r="F67" s="1154">
        <v>30</v>
      </c>
    </row>
    <row r="68" spans="1:6" s="1105" customFormat="1" ht="36">
      <c r="A68" s="1154">
        <v>8</v>
      </c>
      <c r="B68" s="3406"/>
      <c r="C68" s="1068" t="s">
        <v>1517</v>
      </c>
      <c r="D68" s="1068" t="s">
        <v>1518</v>
      </c>
      <c r="E68" s="1139">
        <v>0.2</v>
      </c>
      <c r="F68" s="1154">
        <v>30</v>
      </c>
    </row>
    <row r="69" spans="1:6" s="1105" customFormat="1" ht="36">
      <c r="A69" s="1154">
        <v>9</v>
      </c>
      <c r="B69" s="3406"/>
      <c r="C69" s="1068" t="s">
        <v>1519</v>
      </c>
      <c r="D69" s="1068" t="s">
        <v>1520</v>
      </c>
      <c r="E69" s="1139">
        <v>0.2</v>
      </c>
      <c r="F69" s="1154">
        <v>30</v>
      </c>
    </row>
    <row r="70" spans="1:6" s="1105" customFormat="1" ht="48">
      <c r="A70" s="1154">
        <v>10</v>
      </c>
      <c r="B70" s="3406"/>
      <c r="C70" s="1068" t="s">
        <v>1521</v>
      </c>
      <c r="D70" s="1068" t="s">
        <v>1522</v>
      </c>
      <c r="E70" s="1139">
        <v>0.2</v>
      </c>
      <c r="F70" s="1154">
        <v>30</v>
      </c>
    </row>
    <row r="71" spans="1:6" s="1105" customFormat="1" ht="48">
      <c r="A71" s="1154">
        <v>11</v>
      </c>
      <c r="B71" s="3406"/>
      <c r="C71" s="1068" t="s">
        <v>1523</v>
      </c>
      <c r="D71" s="1068" t="s">
        <v>1524</v>
      </c>
      <c r="E71" s="1139">
        <v>0.2</v>
      </c>
      <c r="F71" s="1154">
        <v>30</v>
      </c>
    </row>
    <row r="72" spans="1:6" s="1105" customFormat="1" ht="36">
      <c r="A72" s="1154">
        <v>12</v>
      </c>
      <c r="B72" s="3406"/>
      <c r="C72" s="1068" t="s">
        <v>1525</v>
      </c>
      <c r="D72" s="1068" t="s">
        <v>1526</v>
      </c>
      <c r="E72" s="1139">
        <v>0.5</v>
      </c>
      <c r="F72" s="1154">
        <v>80</v>
      </c>
    </row>
    <row r="73" spans="1:6" s="1105" customFormat="1" ht="24">
      <c r="A73" s="1154">
        <v>13</v>
      </c>
      <c r="B73" s="3406"/>
      <c r="C73" s="1068" t="s">
        <v>1527</v>
      </c>
      <c r="D73" s="1068" t="s">
        <v>1528</v>
      </c>
      <c r="E73" s="1139">
        <v>0.4</v>
      </c>
      <c r="F73" s="1154">
        <v>60</v>
      </c>
    </row>
    <row r="74" spans="1:6" s="1105" customFormat="1" ht="24">
      <c r="A74" s="1154">
        <v>14</v>
      </c>
      <c r="B74" s="3406"/>
      <c r="C74" s="1068" t="s">
        <v>1529</v>
      </c>
      <c r="D74" s="1068" t="s">
        <v>1530</v>
      </c>
      <c r="E74" s="1139">
        <v>0.2</v>
      </c>
      <c r="F74" s="1154">
        <v>30</v>
      </c>
    </row>
    <row r="75" spans="1:6" s="1105" customFormat="1" ht="24">
      <c r="A75" s="1154">
        <v>15</v>
      </c>
      <c r="B75" s="3406"/>
      <c r="C75" s="1068" t="s">
        <v>1531</v>
      </c>
      <c r="D75" s="1068" t="s">
        <v>1532</v>
      </c>
      <c r="E75" s="1139">
        <v>0.2</v>
      </c>
      <c r="F75" s="1154">
        <v>30</v>
      </c>
    </row>
    <row r="76" spans="1:6" s="1105" customFormat="1" ht="24">
      <c r="A76" s="1154">
        <v>16</v>
      </c>
      <c r="B76" s="3406" t="s">
        <v>1533</v>
      </c>
      <c r="C76" s="1068" t="s">
        <v>1534</v>
      </c>
      <c r="D76" s="1068" t="s">
        <v>1535</v>
      </c>
      <c r="E76" s="1139">
        <v>0.5</v>
      </c>
      <c r="F76" s="1154">
        <v>80</v>
      </c>
    </row>
    <row r="77" spans="1:6" s="1105" customFormat="1" ht="24">
      <c r="A77" s="1154">
        <v>17</v>
      </c>
      <c r="B77" s="3406"/>
      <c r="C77" s="1068" t="s">
        <v>1536</v>
      </c>
      <c r="D77" s="1068" t="s">
        <v>1537</v>
      </c>
      <c r="E77" s="1139">
        <v>0.5</v>
      </c>
      <c r="F77" s="1154">
        <v>80</v>
      </c>
    </row>
    <row r="78" spans="1:6" s="1105" customFormat="1" ht="24">
      <c r="A78" s="1154">
        <v>18</v>
      </c>
      <c r="B78" s="3406"/>
      <c r="C78" s="1068" t="s">
        <v>1538</v>
      </c>
      <c r="D78" s="1068" t="s">
        <v>1539</v>
      </c>
      <c r="E78" s="1139">
        <v>0.2</v>
      </c>
      <c r="F78" s="1154">
        <v>30</v>
      </c>
    </row>
    <row r="79" spans="1:6" s="1105" customFormat="1" ht="24">
      <c r="A79" s="1154">
        <v>19</v>
      </c>
      <c r="B79" s="3406"/>
      <c r="C79" s="1068" t="s">
        <v>1540</v>
      </c>
      <c r="D79" s="1068" t="s">
        <v>1541</v>
      </c>
      <c r="E79" s="1139">
        <v>0.5</v>
      </c>
      <c r="F79" s="1154">
        <v>80</v>
      </c>
    </row>
    <row r="80" spans="1:6" s="1105" customFormat="1" ht="36">
      <c r="A80" s="1154">
        <v>20</v>
      </c>
      <c r="B80" s="3406"/>
      <c r="C80" s="1068" t="s">
        <v>1542</v>
      </c>
      <c r="D80" s="1068" t="s">
        <v>1543</v>
      </c>
      <c r="E80" s="1139">
        <v>0.2</v>
      </c>
      <c r="F80" s="1154">
        <v>30</v>
      </c>
    </row>
    <row r="81" spans="1:6" s="1105" customFormat="1" ht="36">
      <c r="A81" s="1154">
        <v>21</v>
      </c>
      <c r="B81" s="3406"/>
      <c r="C81" s="1068" t="s">
        <v>1544</v>
      </c>
      <c r="D81" s="1068" t="s">
        <v>1545</v>
      </c>
      <c r="E81" s="1139">
        <v>0.2</v>
      </c>
      <c r="F81" s="1154">
        <v>30</v>
      </c>
    </row>
    <row r="82" spans="1:6" s="1105" customFormat="1" ht="48">
      <c r="A82" s="1154">
        <v>22</v>
      </c>
      <c r="B82" s="3406"/>
      <c r="C82" s="1068" t="s">
        <v>1546</v>
      </c>
      <c r="D82" s="1068" t="s">
        <v>1547</v>
      </c>
      <c r="E82" s="1139">
        <v>0.2</v>
      </c>
      <c r="F82" s="1154">
        <v>30</v>
      </c>
    </row>
    <row r="83" spans="1:6" s="1105" customFormat="1" ht="48">
      <c r="A83" s="1154">
        <v>23</v>
      </c>
      <c r="B83" s="3406"/>
      <c r="C83" s="1068" t="s">
        <v>1548</v>
      </c>
      <c r="D83" s="1068" t="s">
        <v>1549</v>
      </c>
      <c r="E83" s="1139">
        <v>0.2</v>
      </c>
      <c r="F83" s="1154">
        <v>30</v>
      </c>
    </row>
    <row r="84" spans="1:6" s="1105" customFormat="1" ht="36">
      <c r="A84" s="1154">
        <v>24</v>
      </c>
      <c r="B84" s="3406"/>
      <c r="C84" s="1068" t="s">
        <v>1550</v>
      </c>
      <c r="D84" s="1068" t="s">
        <v>1551</v>
      </c>
      <c r="E84" s="1139">
        <v>0.2</v>
      </c>
      <c r="F84" s="1154">
        <v>30</v>
      </c>
    </row>
    <row r="85" spans="1:6" s="1105" customFormat="1" ht="36">
      <c r="A85" s="1154">
        <v>25</v>
      </c>
      <c r="B85" s="3406"/>
      <c r="C85" s="1068" t="s">
        <v>1552</v>
      </c>
      <c r="D85" s="1068" t="s">
        <v>1553</v>
      </c>
      <c r="E85" s="1139">
        <v>0.5</v>
      </c>
      <c r="F85" s="1154">
        <v>80</v>
      </c>
    </row>
    <row r="86" spans="1:6" s="1105" customFormat="1" ht="36">
      <c r="A86" s="1154">
        <v>26</v>
      </c>
      <c r="B86" s="3406"/>
      <c r="C86" s="1068" t="s">
        <v>1554</v>
      </c>
      <c r="D86" s="1068" t="s">
        <v>1555</v>
      </c>
      <c r="E86" s="1139">
        <v>0.2</v>
      </c>
      <c r="F86" s="1154">
        <v>30</v>
      </c>
    </row>
    <row r="87" spans="1:6" s="1105" customFormat="1" ht="36">
      <c r="A87" s="1154">
        <v>27</v>
      </c>
      <c r="B87" s="3406"/>
      <c r="C87" s="1068" t="s">
        <v>1556</v>
      </c>
      <c r="D87" s="1068" t="s">
        <v>1557</v>
      </c>
      <c r="E87" s="1139">
        <v>0.2</v>
      </c>
      <c r="F87" s="1154">
        <v>30</v>
      </c>
    </row>
    <row r="88" spans="1:6" s="1105" customFormat="1" ht="36">
      <c r="A88" s="1154">
        <v>28</v>
      </c>
      <c r="B88" s="3406"/>
      <c r="C88" s="1068" t="s">
        <v>1558</v>
      </c>
      <c r="D88" s="1068" t="s">
        <v>1559</v>
      </c>
      <c r="E88" s="1139">
        <v>0.2</v>
      </c>
      <c r="F88" s="1154">
        <v>30</v>
      </c>
    </row>
    <row r="89" spans="1:6" s="1105" customFormat="1" ht="24">
      <c r="A89" s="1154">
        <v>29</v>
      </c>
      <c r="B89" s="3406"/>
      <c r="C89" s="1068" t="s">
        <v>1560</v>
      </c>
      <c r="D89" s="1068" t="s">
        <v>1561</v>
      </c>
      <c r="E89" s="1139">
        <v>0.2</v>
      </c>
      <c r="F89" s="1154">
        <v>30</v>
      </c>
    </row>
    <row r="90" spans="1:6" s="1105" customFormat="1" ht="24">
      <c r="A90" s="1154">
        <v>30</v>
      </c>
      <c r="B90" s="3406"/>
      <c r="C90" s="1068" t="s">
        <v>1562</v>
      </c>
      <c r="D90" s="1068" t="s">
        <v>1563</v>
      </c>
      <c r="E90" s="1139">
        <v>0.2</v>
      </c>
      <c r="F90" s="1154">
        <v>30</v>
      </c>
    </row>
    <row r="91" spans="1:6" s="1105" customFormat="1" ht="36">
      <c r="A91" s="1154">
        <v>31</v>
      </c>
      <c r="B91" s="3406"/>
      <c r="C91" s="1068" t="s">
        <v>1564</v>
      </c>
      <c r="D91" s="1068" t="s">
        <v>1565</v>
      </c>
      <c r="E91" s="1139">
        <v>0.2</v>
      </c>
      <c r="F91" s="1154">
        <v>30</v>
      </c>
    </row>
    <row r="92" spans="1:6" s="1105" customFormat="1" ht="24">
      <c r="A92" s="1154">
        <v>32</v>
      </c>
      <c r="B92" s="3406" t="s">
        <v>1566</v>
      </c>
      <c r="C92" s="1154" t="s">
        <v>1567</v>
      </c>
      <c r="D92" s="1068" t="s">
        <v>1568</v>
      </c>
      <c r="E92" s="1139">
        <v>0.2</v>
      </c>
      <c r="F92" s="1154">
        <v>30</v>
      </c>
    </row>
    <row r="93" spans="1:6" s="1105" customFormat="1" ht="36">
      <c r="A93" s="1154">
        <v>33</v>
      </c>
      <c r="B93" s="3406"/>
      <c r="C93" s="1154" t="s">
        <v>1569</v>
      </c>
      <c r="D93" s="1068" t="s">
        <v>1570</v>
      </c>
      <c r="E93" s="1139">
        <v>0.2</v>
      </c>
      <c r="F93" s="1154">
        <v>30</v>
      </c>
    </row>
    <row r="94" spans="1:6" s="1105" customFormat="1" ht="48">
      <c r="A94" s="1154">
        <v>34</v>
      </c>
      <c r="B94" s="3406"/>
      <c r="C94" s="1154" t="s">
        <v>1571</v>
      </c>
      <c r="D94" s="1068" t="s">
        <v>1572</v>
      </c>
      <c r="E94" s="1139">
        <v>0.2</v>
      </c>
      <c r="F94" s="1154">
        <v>30</v>
      </c>
    </row>
    <row r="95" spans="1:6" s="1105" customFormat="1" ht="36">
      <c r="A95" s="1154">
        <v>35</v>
      </c>
      <c r="B95" s="3406"/>
      <c r="C95" s="1154" t="s">
        <v>1573</v>
      </c>
      <c r="D95" s="1068" t="s">
        <v>1574</v>
      </c>
      <c r="E95" s="1139">
        <v>0.2</v>
      </c>
      <c r="F95" s="1154">
        <v>30</v>
      </c>
    </row>
    <row r="96" spans="1:6" s="1105" customFormat="1" ht="48">
      <c r="A96" s="1154">
        <v>36</v>
      </c>
      <c r="B96" s="3406"/>
      <c r="C96" s="1068" t="s">
        <v>1575</v>
      </c>
      <c r="D96" s="1068" t="s">
        <v>1576</v>
      </c>
      <c r="E96" s="1139">
        <v>0.2</v>
      </c>
      <c r="F96" s="1154">
        <v>30</v>
      </c>
    </row>
    <row r="97" spans="1:6" s="1105" customFormat="1" ht="36">
      <c r="A97" s="1154">
        <v>37</v>
      </c>
      <c r="B97" s="3406"/>
      <c r="C97" s="1154" t="s">
        <v>1577</v>
      </c>
      <c r="D97" s="1068" t="s">
        <v>1578</v>
      </c>
      <c r="E97" s="1139">
        <v>0.2</v>
      </c>
      <c r="F97" s="1154">
        <v>30</v>
      </c>
    </row>
    <row r="98" spans="1:6" s="1105" customFormat="1" ht="36">
      <c r="A98" s="1154">
        <v>38</v>
      </c>
      <c r="B98" s="3406"/>
      <c r="C98" s="1154" t="s">
        <v>1579</v>
      </c>
      <c r="D98" s="1068" t="s">
        <v>1580</v>
      </c>
      <c r="E98" s="1139">
        <v>0.2</v>
      </c>
      <c r="F98" s="1154">
        <v>30</v>
      </c>
    </row>
    <row r="99" spans="1:6" s="1105" customFormat="1" ht="36">
      <c r="A99" s="1154">
        <v>39</v>
      </c>
      <c r="B99" s="3406" t="s">
        <v>1581</v>
      </c>
      <c r="C99" s="1154" t="s">
        <v>1582</v>
      </c>
      <c r="D99" s="1068" t="s">
        <v>1583</v>
      </c>
      <c r="E99" s="1139">
        <v>0.3</v>
      </c>
      <c r="F99" s="1154">
        <v>50</v>
      </c>
    </row>
    <row r="100" spans="1:6" s="1105" customFormat="1" ht="24">
      <c r="A100" s="1154">
        <v>40</v>
      </c>
      <c r="B100" s="3406"/>
      <c r="C100" s="1154" t="s">
        <v>1584</v>
      </c>
      <c r="D100" s="1068" t="s">
        <v>1585</v>
      </c>
      <c r="E100" s="1139">
        <v>0.2</v>
      </c>
      <c r="F100" s="1154">
        <v>30</v>
      </c>
    </row>
    <row r="101" spans="1:6" s="1105" customFormat="1" ht="36">
      <c r="A101" s="1154">
        <v>41</v>
      </c>
      <c r="B101" s="340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6" t="s">
        <v>1596</v>
      </c>
      <c r="C105" s="1154" t="s">
        <v>1597</v>
      </c>
      <c r="D105" s="1068" t="s">
        <v>1598</v>
      </c>
      <c r="E105" s="1139">
        <v>0.2</v>
      </c>
      <c r="F105" s="1154">
        <v>30</v>
      </c>
    </row>
    <row r="106" spans="1:6" s="1105" customFormat="1" ht="36">
      <c r="A106" s="1154">
        <v>46</v>
      </c>
      <c r="B106" s="3406"/>
      <c r="C106" s="1154" t="s">
        <v>1599</v>
      </c>
      <c r="D106" s="1068" t="s">
        <v>1600</v>
      </c>
      <c r="E106" s="1139">
        <v>0.2</v>
      </c>
      <c r="F106" s="1154">
        <v>30</v>
      </c>
    </row>
    <row r="107" spans="1:6" s="1105" customFormat="1" ht="36">
      <c r="A107" s="1154">
        <v>47</v>
      </c>
      <c r="B107" s="3406" t="s">
        <v>1601</v>
      </c>
      <c r="C107" s="1154" t="s">
        <v>1602</v>
      </c>
      <c r="D107" s="1068" t="s">
        <v>1603</v>
      </c>
      <c r="E107" s="1139">
        <v>0.3</v>
      </c>
      <c r="F107" s="1154">
        <v>50</v>
      </c>
    </row>
    <row r="108" spans="1:6" s="1105" customFormat="1" ht="36">
      <c r="A108" s="1154">
        <v>48</v>
      </c>
      <c r="B108" s="340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6" t="s">
        <v>1612</v>
      </c>
      <c r="C111" s="1154" t="s">
        <v>1613</v>
      </c>
      <c r="D111" s="1068" t="s">
        <v>1614</v>
      </c>
      <c r="E111" s="1139">
        <v>0.2</v>
      </c>
      <c r="F111" s="1154">
        <v>30</v>
      </c>
    </row>
    <row r="112" spans="1:6" s="1105" customFormat="1" ht="24">
      <c r="A112" s="1154">
        <v>52</v>
      </c>
      <c r="B112" s="3406"/>
      <c r="C112" s="1154" t="s">
        <v>1615</v>
      </c>
      <c r="D112" s="1068" t="s">
        <v>1616</v>
      </c>
      <c r="E112" s="1139">
        <v>0.2</v>
      </c>
      <c r="F112" s="1154">
        <v>30</v>
      </c>
    </row>
    <row r="113" spans="1:14" s="1105" customFormat="1" ht="24">
      <c r="A113" s="1154">
        <v>53</v>
      </c>
      <c r="B113" s="340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6" t="s">
        <v>1625</v>
      </c>
      <c r="C116" s="1154" t="s">
        <v>1626</v>
      </c>
      <c r="D116" s="1068" t="s">
        <v>1627</v>
      </c>
      <c r="E116" s="1139">
        <v>0.2</v>
      </c>
      <c r="F116" s="1154">
        <v>30</v>
      </c>
    </row>
    <row r="117" spans="1:14" ht="36">
      <c r="A117" s="1154">
        <v>57</v>
      </c>
      <c r="B117" s="340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5" t="s">
        <v>1634</v>
      </c>
      <c r="B121" s="3405"/>
      <c r="C121" s="3405"/>
      <c r="D121" s="3405"/>
      <c r="E121" s="3405"/>
      <c r="F121" s="3405"/>
      <c r="G121" s="3405"/>
      <c r="H121" s="3405"/>
      <c r="I121" s="3405"/>
      <c r="J121" s="340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1040</v>
      </c>
      <c r="B1" s="3418"/>
      <c r="C1" s="3418"/>
      <c r="D1" s="3418"/>
      <c r="E1" s="3418"/>
      <c r="F1" s="341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9" t="s">
        <v>1053</v>
      </c>
      <c r="B2" s="3419"/>
      <c r="C2" s="3419"/>
      <c r="D2" s="3419"/>
      <c r="E2" s="3419"/>
      <c r="F2" s="341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2426</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2427</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2" t="s">
        <v>2082</v>
      </c>
      <c r="B1" s="3422"/>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2962</v>
      </c>
      <c r="B1" s="3138"/>
      <c r="C1" s="3138"/>
      <c r="D1" s="3138"/>
      <c r="E1" s="3138"/>
      <c r="F1" s="3138"/>
    </row>
    <row r="2" spans="1:6" ht="14.25">
      <c r="A2" s="3139" t="s">
        <v>2956</v>
      </c>
      <c r="B2" s="3140" t="e">
        <f ca="1">SUMIF(B7:B14,"&lt;&gt;#ref!",B7:B14)</f>
        <v>#DIV/0!</v>
      </c>
      <c r="C2" s="3139" t="s">
        <v>2957</v>
      </c>
      <c r="D2" s="3138"/>
      <c r="E2" s="3138"/>
      <c r="F2" s="3138"/>
    </row>
    <row r="3" spans="1:6" ht="14.25">
      <c r="A3" s="3139" t="s">
        <v>2959</v>
      </c>
      <c r="B3" s="3140" t="e">
        <f ca="1">ROUND(B2*10000/E3,0)</f>
        <v>#DIV/0!</v>
      </c>
      <c r="C3" s="3139" t="s">
        <v>2081</v>
      </c>
      <c r="D3" s="3139" t="s">
        <v>2958</v>
      </c>
      <c r="E3" s="3140" t="e">
        <f ca="1">SUM(E7:E14)</f>
        <v>#REF!</v>
      </c>
      <c r="F3" s="3138"/>
    </row>
    <row r="4" spans="1:6" ht="14.25">
      <c r="A4" s="3139" t="s">
        <v>2966</v>
      </c>
      <c r="B4" s="3140" t="e">
        <f ca="1">ROUND(B2*10000/E4,0)</f>
        <v>#DIV/0!</v>
      </c>
      <c r="C4" s="3139" t="s">
        <v>2081</v>
      </c>
      <c r="D4" s="3139" t="s">
        <v>2967</v>
      </c>
      <c r="E4" s="3140" t="e">
        <f ca="1">SUM(F7:F14)</f>
        <v>#REF!</v>
      </c>
      <c r="F4" s="3138"/>
    </row>
    <row r="5" spans="1:6" ht="14.25">
      <c r="A5" s="3141"/>
      <c r="B5" s="1883"/>
      <c r="C5" s="1883"/>
      <c r="D5" s="1883"/>
      <c r="E5" s="1883"/>
      <c r="F5" s="3138"/>
    </row>
    <row r="6" spans="1:6" ht="28.5">
      <c r="A6" s="3142" t="s">
        <v>2963</v>
      </c>
      <c r="B6" s="3139" t="s">
        <v>2960</v>
      </c>
      <c r="C6" s="3140"/>
      <c r="D6" s="1883"/>
      <c r="E6" s="3139" t="s">
        <v>2961</v>
      </c>
      <c r="F6" s="3139" t="s">
        <v>2965</v>
      </c>
    </row>
    <row r="7" spans="1:6" ht="14.25">
      <c r="A7" s="260" t="s">
        <v>2964</v>
      </c>
      <c r="B7" s="3143" t="e">
        <f ca="1">SUMIF(INDIRECT("'"&amp;A7&amp;"'"&amp;"!A:A"),"总价",INDIRECT("'"&amp;A7&amp;"'"&amp;"!B:B"))</f>
        <v>#DIV/0!</v>
      </c>
      <c r="C7" s="3139" t="s">
        <v>2957</v>
      </c>
      <c r="D7" s="1883"/>
      <c r="E7" s="3144">
        <f ca="1">SUMIF(INDIRECT("'"&amp;A7&amp;"'"&amp;"!C:C"),"建筑面积",INDIRECT("'"&amp;A7&amp;"'"&amp;"!D:D"))</f>
        <v>0</v>
      </c>
      <c r="F7" s="3144">
        <f ca="1">SUMIF(INDIRECT("'"&amp;A7&amp;"'"&amp;"!E:E"),"土地面积",INDIRECT("'"&amp;A7&amp;"'"&amp;"!F:F"))</f>
        <v>0</v>
      </c>
    </row>
    <row r="8" spans="1:6" ht="14.25">
      <c r="A8" s="260"/>
      <c r="B8" s="3143" t="e">
        <f t="shared" ref="B8:B14" ca="1" si="0">SUMIF(INDIRECT("'"&amp;A8&amp;"'"&amp;"!A:A"),"总价",INDIRECT("'"&amp;A8&amp;"'"&amp;"!B:B"))</f>
        <v>#REF!</v>
      </c>
      <c r="C8" s="3139" t="s">
        <v>2957</v>
      </c>
      <c r="D8" s="1883"/>
      <c r="E8" s="3144" t="e">
        <f t="shared" ref="E8:E14" ca="1" si="1">SUMIF(INDIRECT("'"&amp;A8&amp;"'"&amp;"!C:C"),"建筑面积",INDIRECT("'"&amp;A8&amp;"'"&amp;"!D:D"))</f>
        <v>#REF!</v>
      </c>
      <c r="F8" s="3144" t="e">
        <f t="shared" ref="F8:F14" ca="1" si="2">SUMIF(INDIRECT("'"&amp;A8&amp;"'"&amp;"!E:E"),"土地面积",INDIRECT("'"&amp;A8&amp;"'"&amp;"!F:F"))</f>
        <v>#REF!</v>
      </c>
    </row>
    <row r="9" spans="1:6" ht="14.25">
      <c r="A9" s="260"/>
      <c r="B9" s="3143" t="e">
        <f t="shared" ca="1" si="0"/>
        <v>#REF!</v>
      </c>
      <c r="C9" s="3139" t="s">
        <v>2957</v>
      </c>
      <c r="D9" s="1883"/>
      <c r="E9" s="3144" t="e">
        <f t="shared" ca="1" si="1"/>
        <v>#REF!</v>
      </c>
      <c r="F9" s="3144" t="e">
        <f t="shared" ca="1" si="2"/>
        <v>#REF!</v>
      </c>
    </row>
    <row r="10" spans="1:6" ht="14.25">
      <c r="A10" s="260"/>
      <c r="B10" s="3143" t="e">
        <f t="shared" ca="1" si="0"/>
        <v>#REF!</v>
      </c>
      <c r="C10" s="3139" t="s">
        <v>2957</v>
      </c>
      <c r="D10" s="1883"/>
      <c r="E10" s="3144" t="e">
        <f t="shared" ca="1" si="1"/>
        <v>#REF!</v>
      </c>
      <c r="F10" s="3144" t="e">
        <f t="shared" ca="1" si="2"/>
        <v>#REF!</v>
      </c>
    </row>
    <row r="11" spans="1:6" ht="14.25">
      <c r="A11" s="260"/>
      <c r="B11" s="3143" t="e">
        <f t="shared" ca="1" si="0"/>
        <v>#REF!</v>
      </c>
      <c r="C11" s="3139" t="s">
        <v>2957</v>
      </c>
      <c r="D11" s="1883"/>
      <c r="E11" s="3144" t="e">
        <f t="shared" ca="1" si="1"/>
        <v>#REF!</v>
      </c>
      <c r="F11" s="3144" t="e">
        <f t="shared" ca="1" si="2"/>
        <v>#REF!</v>
      </c>
    </row>
    <row r="12" spans="1:6" ht="14.25">
      <c r="A12" s="260"/>
      <c r="B12" s="3143" t="e">
        <f t="shared" ca="1" si="0"/>
        <v>#REF!</v>
      </c>
      <c r="C12" s="3139" t="s">
        <v>2957</v>
      </c>
      <c r="D12" s="1883"/>
      <c r="E12" s="3144" t="e">
        <f t="shared" ca="1" si="1"/>
        <v>#REF!</v>
      </c>
      <c r="F12" s="3144" t="e">
        <f t="shared" ca="1" si="2"/>
        <v>#REF!</v>
      </c>
    </row>
    <row r="13" spans="1:6" ht="14.25">
      <c r="A13" s="260"/>
      <c r="B13" s="3143" t="e">
        <f t="shared" ca="1" si="0"/>
        <v>#REF!</v>
      </c>
      <c r="C13" s="3139" t="s">
        <v>2957</v>
      </c>
      <c r="D13" s="1883"/>
      <c r="E13" s="3144" t="e">
        <f t="shared" ca="1" si="1"/>
        <v>#REF!</v>
      </c>
      <c r="F13" s="3144" t="e">
        <f t="shared" ca="1" si="2"/>
        <v>#REF!</v>
      </c>
    </row>
    <row r="14" spans="1:6" ht="14.25">
      <c r="A14" s="3137"/>
      <c r="B14" s="3143" t="e">
        <f t="shared" ca="1" si="0"/>
        <v>#REF!</v>
      </c>
      <c r="C14" s="3139" t="s">
        <v>2957</v>
      </c>
      <c r="D14" s="1883"/>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2378</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2463</v>
      </c>
      <c r="C7" s="53">
        <f ca="1">C8+C12+C14</f>
        <v>0</v>
      </c>
      <c r="D7" s="2522" t="s">
        <v>2466</v>
      </c>
      <c r="E7" s="2516"/>
      <c r="F7" s="2517"/>
      <c r="G7" s="1593"/>
      <c r="H7" s="781">
        <v>1</v>
      </c>
      <c r="I7" s="782" t="s">
        <v>2463</v>
      </c>
      <c r="J7" s="53">
        <f ca="1">J8+J12+J14</f>
        <v>0</v>
      </c>
      <c r="K7" s="2522" t="s">
        <v>2466</v>
      </c>
      <c r="L7" s="2516"/>
      <c r="M7" s="2517"/>
    </row>
    <row r="8" spans="1:25" ht="18" customHeight="1">
      <c r="A8" s="1832" t="s">
        <v>1825</v>
      </c>
      <c r="B8" s="3424" t="s">
        <v>2468</v>
      </c>
      <c r="C8" s="1827">
        <f ca="1">ROUND(F8*F10*F9*(1-F11)/10000,0)</f>
        <v>0</v>
      </c>
      <c r="D8" s="1824" t="s">
        <v>2540</v>
      </c>
      <c r="E8" s="61" t="s">
        <v>637</v>
      </c>
      <c r="F8" s="785">
        <f ca="1">INDIRECT("'数据-取费表'!u"&amp;$G$1)</f>
        <v>0</v>
      </c>
      <c r="G8" s="1593"/>
      <c r="H8" s="2530" t="s">
        <v>1825</v>
      </c>
      <c r="I8" s="3424" t="s">
        <v>2468</v>
      </c>
      <c r="J8" s="783">
        <f ca="1">ROUND(M8*M10*M9*(1-M11)/10000,0)</f>
        <v>0</v>
      </c>
      <c r="K8" s="341" t="s">
        <v>2540</v>
      </c>
      <c r="L8" s="784" t="s">
        <v>1739</v>
      </c>
      <c r="M8" s="785">
        <f ca="1">INDIRECT("'数据-取费表'!z"&amp;$G$1)</f>
        <v>0</v>
      </c>
    </row>
    <row r="9" spans="1:25" ht="18" customHeight="1">
      <c r="A9" s="2526"/>
      <c r="B9" s="3425"/>
      <c r="C9" s="1828"/>
      <c r="D9" s="1825"/>
      <c r="E9" s="61" t="s">
        <v>638</v>
      </c>
      <c r="F9" s="785">
        <f ca="1">IF(INDIRECT("'数据-取费表'!ah"&amp;$G$1)="",INDIRECT("'数据-取费表'!k"&amp;$G$1),INDIRECT("'数据-取费表'!ah"&amp;$G$1))</f>
        <v>0</v>
      </c>
      <c r="G9" s="1593"/>
      <c r="H9" s="2515"/>
      <c r="I9" s="3425"/>
      <c r="J9" s="788"/>
      <c r="K9" s="789"/>
      <c r="L9" s="784" t="s">
        <v>1740</v>
      </c>
      <c r="M9" s="785">
        <f ca="1">F9</f>
        <v>0</v>
      </c>
    </row>
    <row r="10" spans="1:25" ht="18" customHeight="1">
      <c r="A10" s="2519"/>
      <c r="B10" s="3426"/>
      <c r="C10" s="1828"/>
      <c r="D10" s="1825"/>
      <c r="E10" s="61" t="s">
        <v>639</v>
      </c>
      <c r="F10" s="785">
        <f ca="1">INDIRECT("'数据-取费表'!ai"&amp;$G$1)</f>
        <v>0</v>
      </c>
      <c r="G10" s="1593"/>
      <c r="H10" s="2515"/>
      <c r="I10" s="3426"/>
      <c r="J10" s="788"/>
      <c r="K10" s="789"/>
      <c r="L10" s="784" t="s">
        <v>1741</v>
      </c>
      <c r="M10" s="785">
        <f ca="1">INDIRECT("'数据-取费表'!ai"&amp;$G$1)</f>
        <v>0</v>
      </c>
    </row>
    <row r="11" spans="1:25" ht="18" customHeight="1">
      <c r="A11" s="786"/>
      <c r="B11" s="3427"/>
      <c r="C11" s="1828"/>
      <c r="D11" s="1825"/>
      <c r="E11" s="61" t="s">
        <v>640</v>
      </c>
      <c r="F11" s="794">
        <f ca="1">INDIRECT("'数据-取费表'!w"&amp;$G$1)</f>
        <v>0</v>
      </c>
      <c r="G11" s="1593"/>
      <c r="H11" s="2531"/>
      <c r="I11" s="3426"/>
      <c r="J11" s="788"/>
      <c r="K11" s="789"/>
      <c r="L11" s="795" t="s">
        <v>1742</v>
      </c>
      <c r="M11" s="796">
        <f ca="1">INDIRECT("'数据-取费表'!ab"&amp;$G$1)</f>
        <v>0</v>
      </c>
    </row>
    <row r="12" spans="1:25" ht="18" customHeight="1">
      <c r="A12" s="1832" t="s">
        <v>1826</v>
      </c>
      <c r="B12" s="2520" t="s">
        <v>2464</v>
      </c>
      <c r="C12" s="799">
        <f ca="1">ROUND(IF(F12="押一",F8*F10*F9/12*F13,IF(F12="押二",F8*F10*F9/12*2*F13,IF(F12="押三",F8*F10*F9/12*3*F13,C13*F13)))/10000,0)</f>
        <v>0</v>
      </c>
      <c r="D12" s="2527" t="s">
        <v>2471</v>
      </c>
      <c r="E12" s="2524" t="s">
        <v>2469</v>
      </c>
      <c r="F12" s="2647"/>
      <c r="G12" s="1593"/>
      <c r="H12" s="2587" t="s">
        <v>1826</v>
      </c>
      <c r="I12" s="2592" t="s">
        <v>2464</v>
      </c>
      <c r="J12" s="783">
        <f ca="1">ROUND(IF(M12="押一",M8*M10*M9/12*M13,IF(M12="押二",M8*M10*M9/12*2*M13,IF(M12="押三",M8*M10*M9/12*3*M13,J13*M13)))/10000,0)</f>
        <v>0</v>
      </c>
      <c r="K12" s="2527" t="s">
        <v>2471</v>
      </c>
      <c r="L12" s="2524" t="s">
        <v>2469</v>
      </c>
      <c r="M12" s="2647"/>
    </row>
    <row r="13" spans="1:25" ht="18" customHeight="1">
      <c r="A13" s="790"/>
      <c r="B13" s="2521" t="s">
        <v>2579</v>
      </c>
      <c r="C13" s="2525"/>
      <c r="D13" s="789"/>
      <c r="E13" s="2524" t="s">
        <v>2461</v>
      </c>
      <c r="F13" s="796">
        <f ca="1">'数据-取费表'!B39</f>
        <v>1.4999999999999999E-2</v>
      </c>
      <c r="G13" s="1593"/>
      <c r="H13" s="2588"/>
      <c r="I13" s="2521" t="s">
        <v>2579</v>
      </c>
      <c r="J13" s="2525"/>
      <c r="K13" s="2589"/>
      <c r="L13" s="2524" t="s">
        <v>2461</v>
      </c>
      <c r="M13" s="2518">
        <f ca="1">'数据-取费表'!B39</f>
        <v>1.4999999999999999E-2</v>
      </c>
    </row>
    <row r="14" spans="1:25" ht="18" customHeight="1" thickBot="1">
      <c r="A14" s="2563" t="s">
        <v>2473</v>
      </c>
      <c r="B14" s="2564" t="s">
        <v>2465</v>
      </c>
      <c r="C14" s="2565"/>
      <c r="D14" s="2566"/>
      <c r="E14" s="2567"/>
      <c r="F14" s="2568"/>
      <c r="G14" s="1593"/>
      <c r="H14" s="2577" t="s">
        <v>2473</v>
      </c>
      <c r="I14" s="2590" t="s">
        <v>2465</v>
      </c>
      <c r="J14" s="2591"/>
      <c r="K14" s="2566"/>
      <c r="L14" s="2567"/>
      <c r="M14" s="2580"/>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2833</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0.03</v>
      </c>
      <c r="G22" s="1594"/>
      <c r="H22" s="1834" t="s">
        <v>1851</v>
      </c>
      <c r="I22" s="1824" t="s">
        <v>668</v>
      </c>
      <c r="J22" s="54">
        <f ca="1">ROUND(M22*M23/10000,0)</f>
        <v>0</v>
      </c>
      <c r="K22" s="814" t="s">
        <v>669</v>
      </c>
      <c r="L22" s="784" t="s">
        <v>670</v>
      </c>
      <c r="M22" s="640">
        <f>'数据-取费表'!B52</f>
        <v>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98"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2441</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3</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2.2000000000000001E-3</v>
      </c>
      <c r="D26" s="2597"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39" t="s">
        <v>2830</v>
      </c>
      <c r="J27" s="799">
        <f ca="1">J7-J18</f>
        <v>0</v>
      </c>
      <c r="K27" s="1981" t="s">
        <v>700</v>
      </c>
      <c r="L27" s="1983"/>
      <c r="M27" s="820"/>
    </row>
    <row r="28" spans="1:25" ht="18" customHeight="1">
      <c r="A28" s="803" t="s">
        <v>1876</v>
      </c>
      <c r="B28" s="784" t="s">
        <v>2442</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1884</v>
      </c>
      <c r="B31" s="2567" t="s">
        <v>2831</v>
      </c>
      <c r="C31" s="2570">
        <f ca="1">ROUND((C21+C22+C25+C28)/(1-F23-C26-C29-C30),0)</f>
        <v>0</v>
      </c>
      <c r="D31" s="2571"/>
      <c r="E31" s="2572"/>
      <c r="F31" s="2573"/>
      <c r="G31" s="1594"/>
      <c r="H31" s="823" t="s">
        <v>1873</v>
      </c>
      <c r="I31" s="3040" t="s">
        <v>2832</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5</v>
      </c>
      <c r="G36" s="2064"/>
      <c r="H36" s="2067"/>
      <c r="I36" s="3423"/>
      <c r="J36" s="2081"/>
      <c r="K36" s="2082"/>
      <c r="L36" s="2081"/>
      <c r="M36" s="2081"/>
    </row>
    <row r="37" spans="1:18" ht="18" customHeight="1">
      <c r="A37" s="815"/>
      <c r="B37" s="793"/>
      <c r="C37" s="69"/>
      <c r="D37" s="816"/>
      <c r="E37" s="784" t="s">
        <v>674</v>
      </c>
      <c r="F37" s="785">
        <f ca="1">INDIRECT("'数据-取费表'!r"&amp;$G$1)</f>
        <v>0</v>
      </c>
      <c r="G37" s="2064"/>
      <c r="H37" s="2067"/>
      <c r="I37" s="3423"/>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1880</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57" t="s">
        <v>2975</v>
      </c>
      <c r="F43" s="3158">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66">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9" t="s">
        <v>2978</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2383" t="str">
        <f ca="1">IF(M48="住宅",0,IF(L49&gt;J52,L61,J61))</f>
        <v>0</v>
      </c>
      <c r="O47" s="2420" t="s">
        <v>2414</v>
      </c>
      <c r="P47" s="1593"/>
      <c r="Q47" s="1605"/>
      <c r="R47" s="1593"/>
    </row>
    <row r="48" spans="1:18" s="2061" customFormat="1" ht="18" customHeight="1" thickBot="1">
      <c r="A48" s="2086"/>
      <c r="C48" s="2089"/>
      <c r="D48" s="2090"/>
      <c r="E48" s="2090"/>
      <c r="F48" s="2091"/>
      <c r="G48" s="2092"/>
      <c r="I48" s="2384" t="s">
        <v>2347</v>
      </c>
      <c r="J48" s="2389"/>
      <c r="K48" s="2390" t="s">
        <v>2353</v>
      </c>
      <c r="L48" s="2391">
        <f ca="1">INDIRECT("'数据-取费表'!d"&amp;$G$1)</f>
        <v>0</v>
      </c>
      <c r="M48" s="3154" t="str">
        <f>IF(ISNUMBER(FIND("住宅",C1)),"住宅","非住宅")</f>
        <v>非住宅</v>
      </c>
      <c r="O48" s="2421" t="s">
        <v>2379</v>
      </c>
      <c r="P48" s="2422" t="s">
        <v>2380</v>
      </c>
      <c r="Q48" s="2423" t="s">
        <v>2381</v>
      </c>
      <c r="R48" s="2422" t="s">
        <v>2382</v>
      </c>
    </row>
    <row r="49" spans="1:18" s="2061" customFormat="1" ht="18" customHeight="1" thickBot="1">
      <c r="A49" s="2086"/>
      <c r="D49" s="2093"/>
      <c r="E49" s="2094"/>
      <c r="F49" s="2091"/>
      <c r="G49" s="2092"/>
      <c r="H49" s="2095"/>
      <c r="I49" s="2385" t="s">
        <v>2348</v>
      </c>
      <c r="J49" s="2392"/>
      <c r="K49" s="2393" t="s">
        <v>2355</v>
      </c>
      <c r="L49" s="2394">
        <f ca="1">INDIRECT("'数据-取费表'!f"&amp;$G$1)</f>
        <v>0</v>
      </c>
      <c r="O49" s="2424" t="s">
        <v>2383</v>
      </c>
      <c r="P49" s="2425" t="s">
        <v>2409</v>
      </c>
      <c r="Q49" s="2426">
        <f ca="1">C41+J31</f>
        <v>0</v>
      </c>
      <c r="R49" s="2425" t="s">
        <v>2384</v>
      </c>
    </row>
    <row r="50" spans="1:18" s="2061" customFormat="1" ht="18" customHeight="1" thickBot="1">
      <c r="A50" s="2086"/>
      <c r="D50" s="2096"/>
      <c r="E50" s="2096"/>
      <c r="F50" s="2090"/>
      <c r="G50" s="2097"/>
      <c r="H50" s="2095"/>
      <c r="I50" s="2385" t="s">
        <v>2349</v>
      </c>
      <c r="J50" s="2395"/>
      <c r="K50" s="2396" t="s">
        <v>2356</v>
      </c>
      <c r="L50" s="2397"/>
      <c r="O50" s="2424" t="s">
        <v>2385</v>
      </c>
      <c r="P50" s="2425" t="s">
        <v>2410</v>
      </c>
      <c r="Q50" s="2426" t="str">
        <f ca="1">J61</f>
        <v>0</v>
      </c>
      <c r="R50" s="2425" t="s">
        <v>2386</v>
      </c>
    </row>
    <row r="51" spans="1:18" s="2061" customFormat="1" ht="18" customHeight="1" thickBot="1">
      <c r="A51" s="2098"/>
      <c r="D51" s="2096"/>
      <c r="E51" s="2096"/>
      <c r="F51" s="2087"/>
      <c r="H51" s="2095"/>
      <c r="I51" s="2385" t="s">
        <v>2350</v>
      </c>
      <c r="J51" s="2398">
        <f>SUMPRODUCT((I64:I66=J48)*(J63:L63=J49)*(J64:L66))</f>
        <v>0</v>
      </c>
      <c r="K51" s="2396" t="s">
        <v>2357</v>
      </c>
      <c r="L51" s="2397"/>
      <c r="O51" s="2427" t="s">
        <v>2387</v>
      </c>
      <c r="P51" s="2425" t="s">
        <v>2411</v>
      </c>
      <c r="Q51" s="2426">
        <f ca="1">C31</f>
        <v>0</v>
      </c>
      <c r="R51" s="2425" t="s">
        <v>2384</v>
      </c>
    </row>
    <row r="52" spans="1:18" s="2061" customFormat="1" ht="18" customHeight="1" thickBot="1">
      <c r="A52" s="2098"/>
      <c r="F52" s="2087"/>
      <c r="I52" s="2386" t="s">
        <v>2351</v>
      </c>
      <c r="J52" s="2399">
        <f>IF(J50="",J51,J50+J51-YEAR('数据-取费表'!B3))</f>
        <v>0</v>
      </c>
      <c r="K52" s="2385" t="s">
        <v>2358</v>
      </c>
      <c r="L52" s="2400">
        <f ca="1">ROUND(-PV(INDIRECT("'数据-取费表'!h"&amp;$G$1),L49,(C40-C14*J36),0),0)</f>
        <v>0</v>
      </c>
      <c r="O52" s="2427" t="s">
        <v>2388</v>
      </c>
      <c r="P52" s="2425" t="s">
        <v>2389</v>
      </c>
      <c r="Q52" s="2428" t="e">
        <f ca="1">J59</f>
        <v>#VALUE!</v>
      </c>
      <c r="R52" s="2429"/>
    </row>
    <row r="53" spans="1:18" s="2061" customFormat="1" ht="18" customHeight="1" thickBot="1">
      <c r="A53" s="2098"/>
      <c r="F53" s="2087"/>
      <c r="I53" s="2387" t="s">
        <v>2425</v>
      </c>
      <c r="J53" s="2401"/>
      <c r="K53" s="2387" t="s">
        <v>2424</v>
      </c>
      <c r="L53" s="2401"/>
      <c r="O53" s="2427" t="s">
        <v>2390</v>
      </c>
      <c r="P53" s="2425" t="s">
        <v>2391</v>
      </c>
      <c r="Q53" s="2428">
        <f>J53</f>
        <v>0</v>
      </c>
      <c r="R53" s="2429"/>
    </row>
    <row r="54" spans="1:18" s="2061" customFormat="1" ht="43.5" thickBot="1">
      <c r="A54" s="2098"/>
      <c r="I54" s="2388" t="s">
        <v>2352</v>
      </c>
      <c r="J54" s="2402">
        <f ca="1">IF(M48="住宅",J52,IF(J52&gt;L49,L49-'数据-取费表'!B25,J52))</f>
        <v>0</v>
      </c>
      <c r="K54" s="3428"/>
      <c r="L54" s="3429"/>
      <c r="O54" s="2427" t="s">
        <v>2392</v>
      </c>
      <c r="P54" s="2425" t="s">
        <v>2393</v>
      </c>
      <c r="Q54" s="2426">
        <f ca="1">J54</f>
        <v>0</v>
      </c>
      <c r="R54" s="2425" t="s">
        <v>2394</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2395</v>
      </c>
      <c r="P55" s="2425" t="s">
        <v>2412</v>
      </c>
      <c r="Q55" s="2426">
        <f ca="1">Q49+Q50</f>
        <v>0</v>
      </c>
      <c r="R55" s="2429" t="s">
        <v>2396</v>
      </c>
    </row>
    <row r="56" spans="1:18" s="2061" customFormat="1" ht="16.5" thickBot="1">
      <c r="A56" s="2098"/>
      <c r="B56" s="2099"/>
      <c r="C56" s="2099"/>
      <c r="I56" s="3131" t="s">
        <v>2359</v>
      </c>
      <c r="J56" s="3155" t="e">
        <f ca="1">ROUND(IF(J48="钢混",J58/J51,1-(1-2%)*(J51-J58)/J51),3)</f>
        <v>#VALUE!</v>
      </c>
      <c r="K56" s="2403" t="s">
        <v>2360</v>
      </c>
      <c r="L56" s="2404"/>
      <c r="O56" s="2430" t="s">
        <v>2415</v>
      </c>
      <c r="P56" s="1593"/>
      <c r="Q56" s="1605"/>
      <c r="R56" s="1593"/>
    </row>
    <row r="57" spans="1:18" s="2061" customFormat="1" ht="43.5" thickBot="1">
      <c r="A57" s="2098"/>
      <c r="B57" s="2099"/>
      <c r="C57" s="2099"/>
      <c r="I57" s="2405" t="s">
        <v>2361</v>
      </c>
      <c r="J57" s="3154" t="s">
        <v>1679</v>
      </c>
      <c r="K57" s="2385" t="s">
        <v>2366</v>
      </c>
      <c r="L57" s="2394">
        <f ca="1">IF(L49&lt;J52,"——",L49-J52)</f>
        <v>0</v>
      </c>
      <c r="O57" s="2421" t="s">
        <v>2379</v>
      </c>
      <c r="P57" s="2422" t="s">
        <v>2380</v>
      </c>
      <c r="Q57" s="2423" t="s">
        <v>2381</v>
      </c>
      <c r="R57" s="2422" t="s">
        <v>2382</v>
      </c>
    </row>
    <row r="58" spans="1:18" s="2061" customFormat="1" ht="29.25" thickBot="1">
      <c r="A58" s="2098"/>
      <c r="B58" s="2099"/>
      <c r="C58" s="2099"/>
      <c r="I58" s="2406" t="s">
        <v>2362</v>
      </c>
      <c r="J58" s="2408" t="str">
        <f ca="1">IF(OR(M48="住宅",J52&lt;L49,J57="是"),"——",J52-L49)</f>
        <v>——</v>
      </c>
      <c r="K58" s="2385" t="s">
        <v>2367</v>
      </c>
      <c r="L58" s="2394">
        <f ca="1">IF(L49&lt;J52,"——",IF(L56="比较法",L50,IF(L56="基准地价",L51,L52)))</f>
        <v>0</v>
      </c>
      <c r="O58" s="2424" t="s">
        <v>2383</v>
      </c>
      <c r="P58" s="2425" t="s">
        <v>2409</v>
      </c>
      <c r="Q58" s="2426">
        <f ca="1">C41+J31</f>
        <v>0</v>
      </c>
      <c r="R58" s="2425" t="s">
        <v>2384</v>
      </c>
    </row>
    <row r="59" spans="1:18" s="2061" customFormat="1" ht="29.25" thickBot="1">
      <c r="A59" s="2098"/>
      <c r="B59" s="2099"/>
      <c r="C59" s="2099"/>
      <c r="I59" s="2406" t="s">
        <v>2363</v>
      </c>
      <c r="J59" s="3156" t="e">
        <f ca="1">IF(J56&lt;0.4,0.4,J56)</f>
        <v>#VALUE!</v>
      </c>
      <c r="K59" s="2385" t="s">
        <v>2368</v>
      </c>
      <c r="L59" s="2394">
        <f ca="1">IF(ISERROR(POWER(1+L53,L48-L49)*(POWER(1+L53,L49)-1)/(POWER(1+L53,L48)-1)),0,POWER(1+L53,L48-L49)*(POWER(1+L53,L49)-1)/(POWER(1+L53,L48)-1))</f>
        <v>0</v>
      </c>
      <c r="O59" s="2424" t="s">
        <v>2385</v>
      </c>
      <c r="P59" s="2425" t="s">
        <v>2416</v>
      </c>
      <c r="Q59" s="2426" t="e">
        <f ca="1">L61</f>
        <v>#DIV/0!</v>
      </c>
      <c r="R59" s="2429" t="s">
        <v>2418</v>
      </c>
    </row>
    <row r="60" spans="1:18" s="2061" customFormat="1" ht="29.25" thickBot="1">
      <c r="A60" s="2098"/>
      <c r="B60" s="2099"/>
      <c r="C60" s="2099"/>
      <c r="I60" s="2406" t="s">
        <v>2364</v>
      </c>
      <c r="J60" s="2408" t="str">
        <f ca="1">IF(OR(M48="住宅",J52&lt;L49,J57="是"),"——",ROUND(C30*J59,0))</f>
        <v>——</v>
      </c>
      <c r="K60" s="2385" t="s">
        <v>2369</v>
      </c>
      <c r="L60" s="2394">
        <f ca="1">IF(ISERROR(POWER(1+L53,L48-J52)*(POWER(1+L53,J52)-1)/(POWER(1+L53,L48)-1)),0,POWER(1+L53,L48-J52)*(POWER(1+L53,J52)-1)/(POWER(1+L53,L48)-1))</f>
        <v>0</v>
      </c>
      <c r="O60" s="2427" t="s">
        <v>2387</v>
      </c>
      <c r="P60" s="2425" t="s">
        <v>2417</v>
      </c>
      <c r="Q60" s="2426">
        <f>IF(L56="比较法",L50,IF(L56="基准地价",L51,0))</f>
        <v>0</v>
      </c>
      <c r="R60" s="2425" t="s">
        <v>2384</v>
      </c>
    </row>
    <row r="61" spans="1:18" s="2061" customFormat="1" ht="15.75" thickBot="1">
      <c r="A61" s="2098"/>
      <c r="B61" s="2099"/>
      <c r="C61" s="2099"/>
      <c r="I61" s="2407" t="s">
        <v>2365</v>
      </c>
      <c r="J61" s="2409" t="str">
        <f ca="1">IF(OR(M48="住宅",J52&lt;L49,J57="是"),"0",ROUND(J60/(1+J53)^J54,0))</f>
        <v>0</v>
      </c>
      <c r="K61" s="2410" t="s">
        <v>2370</v>
      </c>
      <c r="L61" s="2409" t="e">
        <f ca="1">IF(OR(M48="住宅",L49&lt;J52),0,ROUND(L58*(L59/L60-1),0))</f>
        <v>#DIV/0!</v>
      </c>
      <c r="O61" s="2427" t="s">
        <v>2388</v>
      </c>
      <c r="P61" s="2425" t="s">
        <v>2397</v>
      </c>
      <c r="Q61" s="2428">
        <f>L53</f>
        <v>0</v>
      </c>
      <c r="R61" s="2429"/>
    </row>
    <row r="62" spans="1:18" s="2061" customFormat="1" ht="20.25" thickBot="1">
      <c r="A62" s="2098"/>
      <c r="B62" s="2099"/>
      <c r="C62" s="2099"/>
      <c r="K62" s="2088"/>
      <c r="O62" s="2427" t="s">
        <v>2390</v>
      </c>
      <c r="P62" s="2425" t="s">
        <v>2398</v>
      </c>
      <c r="Q62" s="2426">
        <f ca="1">L59</f>
        <v>0</v>
      </c>
      <c r="R62" s="2429" t="s">
        <v>2399</v>
      </c>
    </row>
    <row r="63" spans="1:18" s="2061" customFormat="1" ht="20.25" thickBot="1">
      <c r="A63" s="2098"/>
      <c r="B63" s="2099"/>
      <c r="C63" s="2099"/>
      <c r="I63" s="2411" t="s">
        <v>2371</v>
      </c>
      <c r="J63" s="2412" t="s">
        <v>2372</v>
      </c>
      <c r="K63" s="2412" t="s">
        <v>2373</v>
      </c>
      <c r="L63" s="2412" t="s">
        <v>2354</v>
      </c>
      <c r="M63" s="3133" t="s">
        <v>2954</v>
      </c>
      <c r="O63" s="2427" t="s">
        <v>2392</v>
      </c>
      <c r="P63" s="2425" t="s">
        <v>2400</v>
      </c>
      <c r="Q63" s="2426">
        <f ca="1">L60</f>
        <v>0</v>
      </c>
      <c r="R63" s="2429" t="s">
        <v>2401</v>
      </c>
    </row>
    <row r="64" spans="1:18" s="2061" customFormat="1" ht="15.75" thickBot="1">
      <c r="A64" s="2098"/>
      <c r="B64" s="2099"/>
      <c r="C64" s="2099"/>
      <c r="I64" s="2411" t="s">
        <v>2374</v>
      </c>
      <c r="J64" s="2412">
        <v>70</v>
      </c>
      <c r="K64" s="2412">
        <v>50</v>
      </c>
      <c r="L64" s="2412">
        <v>80</v>
      </c>
      <c r="M64" s="3134">
        <v>0.02</v>
      </c>
      <c r="O64" s="2424" t="s">
        <v>2395</v>
      </c>
      <c r="P64" s="2425" t="s">
        <v>2412</v>
      </c>
      <c r="Q64" s="2426" t="e">
        <f ca="1">Q58+Q59</f>
        <v>#DIV/0!</v>
      </c>
      <c r="R64" s="2429" t="s">
        <v>2396</v>
      </c>
    </row>
    <row r="65" spans="1:18" s="2061" customFormat="1" ht="16.5" thickBot="1">
      <c r="A65" s="2098"/>
      <c r="B65" s="2099"/>
      <c r="C65" s="2099"/>
      <c r="I65" s="2411" t="s">
        <v>2375</v>
      </c>
      <c r="J65" s="2412">
        <v>50</v>
      </c>
      <c r="K65" s="2412">
        <v>35</v>
      </c>
      <c r="L65" s="2412">
        <v>60</v>
      </c>
      <c r="M65" s="3135">
        <v>0</v>
      </c>
      <c r="O65" s="2430" t="s">
        <v>2419</v>
      </c>
      <c r="P65" s="1593"/>
      <c r="Q65" s="1605"/>
      <c r="R65" s="1593"/>
    </row>
    <row r="66" spans="1:18" s="2061" customFormat="1" ht="15.75" thickBot="1">
      <c r="A66" s="2098"/>
      <c r="B66" s="2099"/>
      <c r="C66" s="2099"/>
      <c r="I66" s="2411" t="s">
        <v>2376</v>
      </c>
      <c r="J66" s="2412">
        <v>40</v>
      </c>
      <c r="K66" s="2412">
        <v>30</v>
      </c>
      <c r="L66" s="2412">
        <v>50</v>
      </c>
      <c r="M66" s="3134">
        <v>0.02</v>
      </c>
      <c r="O66" s="2421" t="s">
        <v>2379</v>
      </c>
      <c r="P66" s="2422" t="s">
        <v>2380</v>
      </c>
      <c r="Q66" s="2423" t="s">
        <v>2381</v>
      </c>
      <c r="R66" s="2422" t="s">
        <v>2382</v>
      </c>
    </row>
    <row r="67" spans="1:18" s="2061" customFormat="1" ht="15.75" thickBot="1">
      <c r="A67" s="2098"/>
      <c r="B67" s="2099"/>
      <c r="C67" s="2099"/>
      <c r="K67" s="2088"/>
      <c r="O67" s="2424" t="s">
        <v>2383</v>
      </c>
      <c r="P67" s="2425" t="s">
        <v>2409</v>
      </c>
      <c r="Q67" s="2426">
        <f ca="1">C41+J31</f>
        <v>0</v>
      </c>
      <c r="R67" s="2425" t="s">
        <v>2384</v>
      </c>
    </row>
    <row r="68" spans="1:18" s="2061" customFormat="1" ht="20.25" thickBot="1">
      <c r="A68" s="2098"/>
      <c r="B68" s="2099"/>
      <c r="C68" s="2099"/>
      <c r="K68" s="2088"/>
      <c r="O68" s="2424" t="s">
        <v>2385</v>
      </c>
      <c r="P68" s="2425" t="s">
        <v>2416</v>
      </c>
      <c r="Q68" s="2426" t="e">
        <f ca="1">L61</f>
        <v>#DIV/0!</v>
      </c>
      <c r="R68" s="2429" t="s">
        <v>2418</v>
      </c>
    </row>
    <row r="69" spans="1:18" s="2061" customFormat="1" ht="21.75" thickBot="1">
      <c r="A69" s="2098"/>
      <c r="B69" s="2099"/>
      <c r="C69" s="2099"/>
      <c r="K69" s="2088"/>
      <c r="O69" s="2427" t="s">
        <v>2387</v>
      </c>
      <c r="P69" s="2425" t="s">
        <v>2417</v>
      </c>
      <c r="Q69" s="2431">
        <f ca="1">L52</f>
        <v>0</v>
      </c>
      <c r="R69" s="2432" t="s">
        <v>2420</v>
      </c>
    </row>
    <row r="70" spans="1:18" s="2061" customFormat="1" ht="20.25" thickBot="1">
      <c r="A70" s="2098"/>
      <c r="B70" s="2099"/>
      <c r="C70" s="2099"/>
      <c r="K70" s="2088"/>
      <c r="O70" s="2427" t="s">
        <v>2388</v>
      </c>
      <c r="P70" s="2433" t="s">
        <v>2402</v>
      </c>
      <c r="Q70" s="2426">
        <f ca="1">ROUND(Q71-Q72*Q73,0)</f>
        <v>0</v>
      </c>
      <c r="R70" s="2429"/>
    </row>
    <row r="71" spans="1:18" s="2061" customFormat="1" ht="15.75" thickBot="1">
      <c r="A71" s="2098"/>
      <c r="B71" s="2099"/>
      <c r="C71" s="2099"/>
      <c r="K71" s="2088"/>
      <c r="O71" s="2427" t="s">
        <v>2403</v>
      </c>
      <c r="P71" s="2433" t="s">
        <v>2404</v>
      </c>
      <c r="Q71" s="2426">
        <f ca="1">C42</f>
        <v>0</v>
      </c>
      <c r="R71" s="2425" t="s">
        <v>2384</v>
      </c>
    </row>
    <row r="72" spans="1:18" s="2061" customFormat="1" ht="15.75" thickBot="1">
      <c r="A72" s="2098"/>
      <c r="B72" s="2099"/>
      <c r="C72" s="2099"/>
      <c r="K72" s="2088"/>
      <c r="O72" s="2427" t="s">
        <v>2405</v>
      </c>
      <c r="P72" s="2433" t="s">
        <v>2406</v>
      </c>
      <c r="Q72" s="2426">
        <f ca="1">C15</f>
        <v>0</v>
      </c>
      <c r="R72" s="2425" t="s">
        <v>2384</v>
      </c>
    </row>
    <row r="73" spans="1:18" s="2061" customFormat="1" ht="15.75" thickBot="1">
      <c r="A73" s="2098"/>
      <c r="B73" s="2099"/>
      <c r="C73" s="2099"/>
      <c r="K73" s="2088"/>
      <c r="O73" s="2427" t="s">
        <v>2407</v>
      </c>
      <c r="P73" s="2433" t="s">
        <v>2408</v>
      </c>
      <c r="Q73" s="2428">
        <f ca="1">F43</f>
        <v>0</v>
      </c>
      <c r="R73" s="2429"/>
    </row>
    <row r="74" spans="1:18" s="2061" customFormat="1" ht="15.75" thickBot="1">
      <c r="A74" s="2098"/>
      <c r="B74" s="2099"/>
      <c r="C74" s="2099"/>
      <c r="K74" s="2088"/>
      <c r="O74" s="2427" t="s">
        <v>2390</v>
      </c>
      <c r="P74" s="2425" t="s">
        <v>2397</v>
      </c>
      <c r="Q74" s="2428">
        <f>L53</f>
        <v>0</v>
      </c>
      <c r="R74" s="2429"/>
    </row>
    <row r="75" spans="1:18" s="2061" customFormat="1" ht="20.25" thickBot="1">
      <c r="A75" s="2098"/>
      <c r="B75" s="2099"/>
      <c r="C75" s="2099"/>
      <c r="K75" s="2088"/>
      <c r="O75" s="2427" t="s">
        <v>2392</v>
      </c>
      <c r="P75" s="2425" t="s">
        <v>2398</v>
      </c>
      <c r="Q75" s="2426">
        <f ca="1">L59</f>
        <v>0</v>
      </c>
      <c r="R75" s="2429" t="s">
        <v>2399</v>
      </c>
    </row>
    <row r="76" spans="1:18" s="2061" customFormat="1" ht="20.25" thickBot="1">
      <c r="A76" s="2098"/>
      <c r="B76" s="2099"/>
      <c r="C76" s="2099"/>
      <c r="K76" s="2088"/>
      <c r="O76" s="2427" t="s">
        <v>2421</v>
      </c>
      <c r="P76" s="2425" t="s">
        <v>2400</v>
      </c>
      <c r="Q76" s="2426">
        <f ca="1">L60</f>
        <v>0</v>
      </c>
      <c r="R76" s="2429" t="s">
        <v>2401</v>
      </c>
    </row>
    <row r="77" spans="1:18" s="2061" customFormat="1" ht="15.75" thickBot="1">
      <c r="A77" s="2098"/>
      <c r="B77" s="2099"/>
      <c r="C77" s="2099"/>
      <c r="K77" s="2088"/>
      <c r="O77" s="2424" t="s">
        <v>2395</v>
      </c>
      <c r="P77" s="2425" t="s">
        <v>2412</v>
      </c>
      <c r="Q77" s="2426" t="e">
        <f ca="1">Q67+Q68</f>
        <v>#DIV/0!</v>
      </c>
      <c r="R77" s="2429" t="s">
        <v>2396</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32" t="s">
        <v>2582</v>
      </c>
      <c r="C1" s="3432"/>
      <c r="D1" s="3432"/>
      <c r="E1" s="3432"/>
      <c r="F1" s="3432"/>
      <c r="G1" s="3431" t="s">
        <v>2583</v>
      </c>
      <c r="H1" s="3431"/>
      <c r="I1" s="3431"/>
      <c r="J1" s="3431"/>
      <c r="K1" s="3431"/>
      <c r="L1" s="3431"/>
      <c r="N1" s="3431" t="s">
        <v>2584</v>
      </c>
      <c r="O1" s="3431"/>
      <c r="P1" s="3431"/>
      <c r="Q1" s="3431"/>
      <c r="R1" s="2681"/>
      <c r="S1" s="3431" t="s">
        <v>2585</v>
      </c>
      <c r="T1" s="3431"/>
      <c r="U1" s="3431"/>
      <c r="V1" s="3431"/>
      <c r="X1" s="3430" t="s">
        <v>2646</v>
      </c>
      <c r="Y1" s="3431"/>
      <c r="Z1" s="3431"/>
      <c r="AA1" s="3431"/>
      <c r="AB1" s="3431"/>
      <c r="AD1" s="3430" t="s">
        <v>2651</v>
      </c>
      <c r="AE1" s="3431"/>
      <c r="AF1" s="3431"/>
      <c r="AG1" s="3431"/>
      <c r="AH1" s="3431"/>
    </row>
    <row r="2" spans="1:34" s="2783" customFormat="1" ht="14.25" thickBot="1">
      <c r="B2" s="2792" t="s">
        <v>2586</v>
      </c>
      <c r="C2" s="2792" t="s">
        <v>2649</v>
      </c>
      <c r="D2" s="2784" t="s">
        <v>1645</v>
      </c>
      <c r="E2" s="2784" t="s">
        <v>1952</v>
      </c>
      <c r="F2" s="2792" t="s">
        <v>2650</v>
      </c>
      <c r="G2" s="2787"/>
      <c r="H2" s="2786"/>
      <c r="I2" s="2792" t="s">
        <v>2969</v>
      </c>
      <c r="J2" s="2784" t="s">
        <v>2971</v>
      </c>
      <c r="K2" s="2784" t="s">
        <v>2972</v>
      </c>
      <c r="L2" s="2792" t="s">
        <v>2973</v>
      </c>
      <c r="N2" s="2792" t="s">
        <v>2586</v>
      </c>
      <c r="O2" s="2784" t="s">
        <v>2970</v>
      </c>
      <c r="P2" s="2784" t="s">
        <v>1952</v>
      </c>
      <c r="Q2" s="2792" t="s">
        <v>2650</v>
      </c>
      <c r="R2" s="2785"/>
      <c r="S2" s="2792" t="s">
        <v>2586</v>
      </c>
      <c r="T2" s="2784" t="s">
        <v>2970</v>
      </c>
      <c r="U2" s="2784" t="s">
        <v>1952</v>
      </c>
      <c r="V2" s="2792" t="s">
        <v>2650</v>
      </c>
      <c r="X2" s="2792" t="s">
        <v>2586</v>
      </c>
      <c r="Y2" s="2792" t="s">
        <v>2649</v>
      </c>
      <c r="Z2" s="2784" t="s">
        <v>1645</v>
      </c>
      <c r="AA2" s="2784" t="s">
        <v>1952</v>
      </c>
      <c r="AB2" s="2792" t="s">
        <v>2650</v>
      </c>
      <c r="AD2" s="2792" t="s">
        <v>2586</v>
      </c>
      <c r="AE2" s="2792" t="s">
        <v>2649</v>
      </c>
      <c r="AF2" s="2784" t="s">
        <v>1645</v>
      </c>
      <c r="AG2" s="2784" t="s">
        <v>1952</v>
      </c>
      <c r="AH2" s="2792" t="s">
        <v>2650</v>
      </c>
    </row>
    <row r="3" spans="1:34" s="2776" customFormat="1" ht="14.25">
      <c r="B3" s="2777"/>
      <c r="C3" s="2777"/>
      <c r="D3" s="2778"/>
      <c r="E3" s="2778"/>
      <c r="F3" s="2777"/>
      <c r="G3" s="2782"/>
      <c r="H3" s="2779"/>
      <c r="I3" s="3165"/>
      <c r="J3" s="3165"/>
      <c r="K3" s="3165"/>
      <c r="L3" s="3165"/>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2981</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0"/>
      <c r="S4" s="2782"/>
      <c r="T4" s="2780"/>
      <c r="U4" s="2780"/>
      <c r="V4" s="2780"/>
      <c r="X4" s="2781"/>
      <c r="Y4" s="2781"/>
      <c r="Z4" s="2781"/>
      <c r="AA4" s="2781"/>
      <c r="AB4" s="2781"/>
      <c r="AD4" s="2701"/>
      <c r="AE4" s="2701"/>
      <c r="AF4" s="2701"/>
      <c r="AG4" s="2701"/>
      <c r="AH4" s="2701"/>
    </row>
    <row r="5" spans="1:34" s="3148" customFormat="1">
      <c r="A5" s="3146" t="s">
        <v>2980</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39">
        <v>2017</v>
      </c>
      <c r="H5" s="3147">
        <v>4</v>
      </c>
      <c r="I5" s="3166">
        <f>ROUND(AVERAGE(I6:I20),2)</f>
        <v>2.4900000000000002</v>
      </c>
      <c r="J5" s="3166">
        <f>ROUND(AVERAGE(J6:J20),2)</f>
        <v>1.64</v>
      </c>
      <c r="K5" s="3166">
        <f>ROUND(AVERAGE(K6:K20),2)</f>
        <v>2.78</v>
      </c>
      <c r="L5" s="3166">
        <f>ROUND(AVERAGE(L6:L20),2)</f>
        <v>1.39</v>
      </c>
      <c r="N5" s="2789">
        <f t="shared" si="7"/>
        <v>2.4900000000000002E-2</v>
      </c>
      <c r="O5" s="2789">
        <f t="shared" ref="O5" si="15">J5/100</f>
        <v>1.6399999999999998E-2</v>
      </c>
      <c r="P5" s="2789">
        <f t="shared" ref="P5" si="16">K5/100</f>
        <v>2.7799999999999998E-2</v>
      </c>
      <c r="Q5" s="2789">
        <f t="shared" ref="Q5" si="17">L5/100</f>
        <v>1.3899999999999999E-2</v>
      </c>
      <c r="R5" s="3149"/>
      <c r="S5" s="3150"/>
      <c r="T5" s="3149"/>
      <c r="U5" s="3149"/>
      <c r="V5" s="3149"/>
      <c r="W5" s="2790" t="s">
        <v>2647</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2" t="s">
        <v>2587</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4"/>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9"/>
      <c r="S6" s="2685"/>
      <c r="T6" s="3162"/>
      <c r="U6" s="3162"/>
      <c r="V6" s="3162"/>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2588</v>
      </c>
      <c r="B7" s="2696">
        <f t="shared" si="18"/>
        <v>419.31181600000002</v>
      </c>
      <c r="C7" s="2696">
        <f t="shared" si="18"/>
        <v>313.95436800000004</v>
      </c>
      <c r="D7" s="2696">
        <f t="shared" si="3"/>
        <v>313.95436800000004</v>
      </c>
      <c r="E7" s="2696">
        <f t="shared" si="19"/>
        <v>596.63028431999999</v>
      </c>
      <c r="F7" s="2696">
        <f t="shared" si="19"/>
        <v>274.74220703999998</v>
      </c>
      <c r="G7" s="3434"/>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2589</v>
      </c>
      <c r="B8" s="2696">
        <f t="shared" si="18"/>
        <v>405.524</v>
      </c>
      <c r="C8" s="2696">
        <f t="shared" si="18"/>
        <v>307.79840000000002</v>
      </c>
      <c r="D8" s="2696">
        <f t="shared" si="3"/>
        <v>307.79840000000002</v>
      </c>
      <c r="E8" s="2696">
        <f t="shared" si="19"/>
        <v>574.67759999999998</v>
      </c>
      <c r="F8" s="2696">
        <f t="shared" si="19"/>
        <v>270.20280000000002</v>
      </c>
      <c r="G8" s="3435"/>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971</v>
      </c>
      <c r="B9" s="2688">
        <v>392</v>
      </c>
      <c r="C9" s="2688">
        <v>302</v>
      </c>
      <c r="D9" s="2688">
        <f t="shared" si="3"/>
        <v>302</v>
      </c>
      <c r="E9" s="2688">
        <v>553</v>
      </c>
      <c r="F9" s="2689">
        <v>266</v>
      </c>
      <c r="G9" s="3439">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970</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4"/>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960</v>
      </c>
      <c r="B11" s="2696">
        <f t="shared" si="27"/>
        <v>360.06949782209392</v>
      </c>
      <c r="C11" s="2696">
        <f t="shared" si="27"/>
        <v>289.84672674747821</v>
      </c>
      <c r="D11" s="2696">
        <f t="shared" si="28"/>
        <v>289.84672674747821</v>
      </c>
      <c r="E11" s="2696">
        <f t="shared" si="29"/>
        <v>501.06543001181495</v>
      </c>
      <c r="F11" s="2696">
        <f t="shared" si="29"/>
        <v>256.82882500744967</v>
      </c>
      <c r="G11" s="3434"/>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969</v>
      </c>
      <c r="B12" s="2696">
        <f t="shared" si="27"/>
        <v>346.720748986128</v>
      </c>
      <c r="C12" s="2696">
        <f t="shared" si="27"/>
        <v>284.30282172386285</v>
      </c>
      <c r="D12" s="2696">
        <f t="shared" si="28"/>
        <v>284.30282172386285</v>
      </c>
      <c r="E12" s="2696">
        <f t="shared" si="29"/>
        <v>479.58023546306947</v>
      </c>
      <c r="F12" s="2696">
        <f t="shared" si="29"/>
        <v>253.25788877571213</v>
      </c>
      <c r="G12" s="3435"/>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968</v>
      </c>
      <c r="B13" s="2688">
        <v>333</v>
      </c>
      <c r="C13" s="2688">
        <v>277</v>
      </c>
      <c r="D13" s="2688">
        <f t="shared" si="28"/>
        <v>277</v>
      </c>
      <c r="E13" s="2688">
        <v>459</v>
      </c>
      <c r="F13" s="2689">
        <v>249</v>
      </c>
      <c r="G13" s="3433">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967</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4"/>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966</v>
      </c>
      <c r="B15" s="2696">
        <f t="shared" si="31"/>
        <v>322.34053690220776</v>
      </c>
      <c r="C15" s="2696">
        <f t="shared" si="31"/>
        <v>271.46160770422546</v>
      </c>
      <c r="D15" s="2696">
        <f t="shared" si="28"/>
        <v>271.46160770422546</v>
      </c>
      <c r="E15" s="2696">
        <f t="shared" si="32"/>
        <v>442.69434542172456</v>
      </c>
      <c r="F15" s="2696">
        <f t="shared" si="32"/>
        <v>241.34030753190925</v>
      </c>
      <c r="G15" s="3434"/>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965</v>
      </c>
      <c r="B16" s="2696">
        <f t="shared" si="31"/>
        <v>319.87748030386797</v>
      </c>
      <c r="C16" s="2696">
        <f t="shared" si="31"/>
        <v>269.60135833173649</v>
      </c>
      <c r="D16" s="2696">
        <f t="shared" si="28"/>
        <v>269.60135833173649</v>
      </c>
      <c r="E16" s="2696">
        <f t="shared" si="32"/>
        <v>439.18089823583784</v>
      </c>
      <c r="F16" s="2696">
        <f t="shared" si="32"/>
        <v>239.23503918706311</v>
      </c>
      <c r="G16" s="3435"/>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964</v>
      </c>
      <c r="B17" s="2710">
        <v>318</v>
      </c>
      <c r="C17" s="2710">
        <v>268</v>
      </c>
      <c r="D17" s="2710">
        <f t="shared" si="28"/>
        <v>268</v>
      </c>
      <c r="E17" s="2710">
        <v>437</v>
      </c>
      <c r="F17" s="2711">
        <v>237</v>
      </c>
      <c r="G17" s="3433">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963</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4"/>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962</v>
      </c>
      <c r="B19" s="2696">
        <f t="shared" si="33"/>
        <v>314.72141172386546</v>
      </c>
      <c r="C19" s="2696">
        <f t="shared" si="33"/>
        <v>263.03901319069001</v>
      </c>
      <c r="D19" s="2696">
        <f t="shared" si="28"/>
        <v>263.03901319069001</v>
      </c>
      <c r="E19" s="2696">
        <f t="shared" si="34"/>
        <v>433.65745506782821</v>
      </c>
      <c r="F19" s="2696">
        <f t="shared" si="34"/>
        <v>233.23005080045735</v>
      </c>
      <c r="G19" s="3434"/>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961</v>
      </c>
      <c r="B20" s="2715">
        <f t="shared" si="33"/>
        <v>307.34512863658733</v>
      </c>
      <c r="C20" s="2715">
        <f t="shared" si="33"/>
        <v>257.80556031626975</v>
      </c>
      <c r="D20" s="2715">
        <f t="shared" si="28"/>
        <v>257.80556031626975</v>
      </c>
      <c r="E20" s="2715">
        <f t="shared" si="34"/>
        <v>422.70928459677179</v>
      </c>
      <c r="F20" s="2715">
        <f t="shared" si="34"/>
        <v>229.73803270336617</v>
      </c>
      <c r="G20" s="3435"/>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2648</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2590</v>
      </c>
      <c r="B21" s="2688">
        <v>299</v>
      </c>
      <c r="C21" s="2688">
        <v>252</v>
      </c>
      <c r="D21" s="2688">
        <f t="shared" si="28"/>
        <v>252</v>
      </c>
      <c r="E21" s="2688">
        <v>409</v>
      </c>
      <c r="F21" s="2689">
        <v>227</v>
      </c>
      <c r="G21" s="3436">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2591</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37"/>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2592</v>
      </c>
      <c r="B23" s="2696">
        <f t="shared" si="37"/>
        <v>288.2649053828776</v>
      </c>
      <c r="C23" s="2696">
        <f t="shared" si="37"/>
        <v>243.64564425013293</v>
      </c>
      <c r="D23" s="2696">
        <f t="shared" si="28"/>
        <v>243.64564425013293</v>
      </c>
      <c r="E23" s="2696">
        <f t="shared" si="38"/>
        <v>393.31080825986544</v>
      </c>
      <c r="F23" s="2696">
        <f t="shared" si="38"/>
        <v>223.07903790551154</v>
      </c>
      <c r="G23" s="3437"/>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2593</v>
      </c>
      <c r="B24" s="2696">
        <f t="shared" si="37"/>
        <v>282.50186729015837</v>
      </c>
      <c r="C24" s="2696">
        <f t="shared" si="37"/>
        <v>238.09796174155468</v>
      </c>
      <c r="D24" s="2696">
        <f t="shared" si="28"/>
        <v>238.09796174155468</v>
      </c>
      <c r="E24" s="2696">
        <f t="shared" si="38"/>
        <v>385.33438646014054</v>
      </c>
      <c r="F24" s="2696">
        <f t="shared" si="38"/>
        <v>221.55034055567739</v>
      </c>
      <c r="G24" s="3438"/>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2594</v>
      </c>
      <c r="B25" s="2726">
        <v>278</v>
      </c>
      <c r="C25" s="2726">
        <v>234</v>
      </c>
      <c r="D25" s="2726">
        <f t="shared" si="28"/>
        <v>234</v>
      </c>
      <c r="E25" s="2726">
        <v>379</v>
      </c>
      <c r="F25" s="2727">
        <v>220</v>
      </c>
      <c r="G25" s="3433">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2595</v>
      </c>
      <c r="B26" s="2696">
        <f>B25/(1+N25)</f>
        <v>275.49301357645425</v>
      </c>
      <c r="C26" s="2696">
        <f>C25/(1+O25)</f>
        <v>232.41954707985698</v>
      </c>
      <c r="D26" s="2696">
        <f t="shared" si="28"/>
        <v>232.41954707985698</v>
      </c>
      <c r="E26" s="2696">
        <f t="shared" ref="E26:F28" si="39">E25/(1+P25)</f>
        <v>375.32184591008121</v>
      </c>
      <c r="F26" s="2696">
        <f t="shared" si="39"/>
        <v>218.03766105054513</v>
      </c>
      <c r="G26" s="3434"/>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2596</v>
      </c>
      <c r="B27" s="2696">
        <f>B26/(1+N26)</f>
        <v>275.24529281292263</v>
      </c>
      <c r="C27" s="2696">
        <f>C26/(1+O26)</f>
        <v>231.74747938962707</v>
      </c>
      <c r="D27" s="2696">
        <f t="shared" si="28"/>
        <v>231.74747938962707</v>
      </c>
      <c r="E27" s="2696">
        <f t="shared" si="39"/>
        <v>375.35938184826603</v>
      </c>
      <c r="F27" s="2696">
        <f t="shared" si="39"/>
        <v>216.78033510692495</v>
      </c>
      <c r="G27" s="3434"/>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2597</v>
      </c>
      <c r="B28" s="2696">
        <f>B27/(1+N27)</f>
        <v>275.19025476197027</v>
      </c>
      <c r="C28" s="2728">
        <v>232</v>
      </c>
      <c r="D28" s="2728">
        <f t="shared" si="28"/>
        <v>232</v>
      </c>
      <c r="E28" s="2696">
        <f t="shared" si="39"/>
        <v>375.65990977608692</v>
      </c>
      <c r="F28" s="2696">
        <f t="shared" si="39"/>
        <v>214.12518283971252</v>
      </c>
      <c r="G28" s="3435"/>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2598</v>
      </c>
      <c r="B29" s="2688">
        <v>275</v>
      </c>
      <c r="C29" s="2688">
        <v>232</v>
      </c>
      <c r="D29" s="2688">
        <f t="shared" si="28"/>
        <v>232</v>
      </c>
      <c r="E29" s="2688">
        <v>376</v>
      </c>
      <c r="F29" s="2689">
        <v>213</v>
      </c>
      <c r="G29" s="3433">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2599</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4">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2600</v>
      </c>
      <c r="B31" s="2696">
        <f t="shared" si="40"/>
        <v>275.19335084830601</v>
      </c>
      <c r="C31" s="2696">
        <f t="shared" si="40"/>
        <v>230.18088050139744</v>
      </c>
      <c r="D31" s="2696">
        <f t="shared" si="28"/>
        <v>230.18088050139744</v>
      </c>
      <c r="E31" s="2696">
        <f t="shared" si="41"/>
        <v>377.58482925212331</v>
      </c>
      <c r="F31" s="2696">
        <f t="shared" si="41"/>
        <v>210.90687997847917</v>
      </c>
      <c r="G31" s="3434">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2601</v>
      </c>
      <c r="B32" s="2696">
        <f t="shared" si="40"/>
        <v>276.29854502841971</v>
      </c>
      <c r="C32" s="2696">
        <f t="shared" si="40"/>
        <v>229.79023709833027</v>
      </c>
      <c r="D32" s="2696">
        <f t="shared" si="28"/>
        <v>229.79023709833027</v>
      </c>
      <c r="E32" s="2696">
        <f t="shared" si="41"/>
        <v>379.78759731655936</v>
      </c>
      <c r="F32" s="2696">
        <f t="shared" si="41"/>
        <v>211.32953905659235</v>
      </c>
      <c r="G32" s="3435">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2602</v>
      </c>
      <c r="B33" s="2688">
        <v>269</v>
      </c>
      <c r="C33" s="2688">
        <v>221</v>
      </c>
      <c r="D33" s="2688">
        <f t="shared" si="28"/>
        <v>221</v>
      </c>
      <c r="E33" s="2688">
        <v>373</v>
      </c>
      <c r="F33" s="2689">
        <v>196</v>
      </c>
      <c r="G33" s="3433">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2603</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4">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2604</v>
      </c>
      <c r="B35" s="2696">
        <f t="shared" si="42"/>
        <v>242.95398227588385</v>
      </c>
      <c r="C35" s="2696">
        <f t="shared" si="42"/>
        <v>199.59137053614126</v>
      </c>
      <c r="D35" s="2696">
        <f t="shared" si="28"/>
        <v>199.59137053614126</v>
      </c>
      <c r="E35" s="2696">
        <f t="shared" si="43"/>
        <v>335.92189522342125</v>
      </c>
      <c r="F35" s="2696">
        <f t="shared" si="43"/>
        <v>183.10139991109489</v>
      </c>
      <c r="G35" s="3434">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2605</v>
      </c>
      <c r="B36" s="2696">
        <f t="shared" si="42"/>
        <v>232.06990378821649</v>
      </c>
      <c r="C36" s="2696">
        <f t="shared" si="42"/>
        <v>192.74878854286936</v>
      </c>
      <c r="D36" s="2696">
        <f t="shared" si="28"/>
        <v>192.74878854286936</v>
      </c>
      <c r="E36" s="2696">
        <f t="shared" si="43"/>
        <v>319.71247284992984</v>
      </c>
      <c r="F36" s="2696">
        <f t="shared" si="43"/>
        <v>175.67053622862409</v>
      </c>
      <c r="G36" s="3435">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2606</v>
      </c>
      <c r="B37" s="2688">
        <v>220</v>
      </c>
      <c r="C37" s="2688">
        <v>187</v>
      </c>
      <c r="D37" s="2688">
        <f t="shared" si="28"/>
        <v>187</v>
      </c>
      <c r="E37" s="2688">
        <v>301</v>
      </c>
      <c r="F37" s="2689">
        <v>168</v>
      </c>
      <c r="G37" s="3433">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2607</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4">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2608</v>
      </c>
      <c r="B39" s="2696">
        <f t="shared" si="44"/>
        <v>210.630522469011</v>
      </c>
      <c r="C39" s="2696">
        <f t="shared" si="44"/>
        <v>181.69567812247232</v>
      </c>
      <c r="D39" s="2696">
        <f t="shared" si="28"/>
        <v>181.69567812247232</v>
      </c>
      <c r="E39" s="2696">
        <f t="shared" si="45"/>
        <v>286.13517466736738</v>
      </c>
      <c r="F39" s="2696">
        <f t="shared" si="45"/>
        <v>165.47535084591149</v>
      </c>
      <c r="G39" s="3434">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2609</v>
      </c>
      <c r="B40" s="2696">
        <f t="shared" si="44"/>
        <v>208.83454537875372</v>
      </c>
      <c r="C40" s="2696">
        <f t="shared" si="44"/>
        <v>183.77230517090351</v>
      </c>
      <c r="D40" s="2696">
        <f t="shared" si="28"/>
        <v>183.77230517090351</v>
      </c>
      <c r="E40" s="2696">
        <f t="shared" si="45"/>
        <v>281.10342338870947</v>
      </c>
      <c r="F40" s="2696">
        <f t="shared" si="45"/>
        <v>168.97309388942256</v>
      </c>
      <c r="G40" s="3435">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2610</v>
      </c>
      <c r="B41" s="2726">
        <v>214</v>
      </c>
      <c r="C41" s="2726">
        <v>188</v>
      </c>
      <c r="D41" s="2726">
        <f t="shared" si="28"/>
        <v>188</v>
      </c>
      <c r="E41" s="2726">
        <v>289</v>
      </c>
      <c r="F41" s="2727">
        <v>166</v>
      </c>
      <c r="G41" s="3433">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2611</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4">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2612</v>
      </c>
      <c r="B43" s="2696">
        <f t="shared" si="46"/>
        <v>206.31694671589116</v>
      </c>
      <c r="C43" s="2696">
        <f t="shared" si="46"/>
        <v>183.61041121036101</v>
      </c>
      <c r="D43" s="2696">
        <f t="shared" si="28"/>
        <v>183.61041121036101</v>
      </c>
      <c r="E43" s="2696">
        <f t="shared" si="47"/>
        <v>276.66850301795557</v>
      </c>
      <c r="F43" s="2696">
        <f t="shared" si="47"/>
        <v>165.1360938278614</v>
      </c>
      <c r="G43" s="3434">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2613</v>
      </c>
      <c r="B44" s="2729">
        <f t="shared" si="46"/>
        <v>196.62341248059772</v>
      </c>
      <c r="C44" s="2729">
        <f t="shared" si="46"/>
        <v>170.99125648199012</v>
      </c>
      <c r="D44" s="2729">
        <f t="shared" si="28"/>
        <v>170.99125648199012</v>
      </c>
      <c r="E44" s="2729">
        <f t="shared" si="47"/>
        <v>266.07857570490052</v>
      </c>
      <c r="F44" s="2729">
        <f t="shared" si="47"/>
        <v>154.53499328828505</v>
      </c>
      <c r="G44" s="3435">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2614</v>
      </c>
      <c r="B45" s="2688">
        <v>188</v>
      </c>
      <c r="C45" s="2688">
        <v>165</v>
      </c>
      <c r="D45" s="2688">
        <f t="shared" si="28"/>
        <v>165</v>
      </c>
      <c r="E45" s="2688">
        <v>254</v>
      </c>
      <c r="F45" s="2689">
        <v>148</v>
      </c>
      <c r="G45" s="3433">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2615</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4">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2616</v>
      </c>
      <c r="B47" s="2696">
        <f t="shared" si="50"/>
        <v>168.82017748715555</v>
      </c>
      <c r="C47" s="2696">
        <f t="shared" si="50"/>
        <v>148.06267029972753</v>
      </c>
      <c r="D47" s="2696">
        <f t="shared" si="28"/>
        <v>148.06267029972753</v>
      </c>
      <c r="E47" s="2696">
        <f t="shared" si="51"/>
        <v>216.46288379323747</v>
      </c>
      <c r="F47" s="2696">
        <f t="shared" si="51"/>
        <v>134.23529411764704</v>
      </c>
      <c r="G47" s="3434">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2617</v>
      </c>
      <c r="B48" s="2696">
        <f t="shared" si="50"/>
        <v>163.84913591779542</v>
      </c>
      <c r="C48" s="2696">
        <f t="shared" si="50"/>
        <v>145.0283378746594</v>
      </c>
      <c r="D48" s="2696">
        <f t="shared" si="28"/>
        <v>145.0283378746594</v>
      </c>
      <c r="E48" s="2696">
        <f t="shared" si="51"/>
        <v>204.95180722891567</v>
      </c>
      <c r="F48" s="2696">
        <f t="shared" si="51"/>
        <v>125.95920303605313</v>
      </c>
      <c r="G48" s="3435">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2618</v>
      </c>
      <c r="B49" s="2710">
        <v>159</v>
      </c>
      <c r="C49" s="2710">
        <v>141</v>
      </c>
      <c r="D49" s="2710">
        <f t="shared" si="28"/>
        <v>141</v>
      </c>
      <c r="E49" s="2710">
        <v>195</v>
      </c>
      <c r="F49" s="2711">
        <v>122</v>
      </c>
      <c r="G49" s="3433">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2619</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4">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2620</v>
      </c>
      <c r="B51" s="2696">
        <f t="shared" si="54"/>
        <v>146.57412060301507</v>
      </c>
      <c r="C51" s="2696">
        <f t="shared" si="54"/>
        <v>136.46831955922866</v>
      </c>
      <c r="D51" s="2696">
        <f t="shared" si="28"/>
        <v>136.46831955922866</v>
      </c>
      <c r="E51" s="2696">
        <f t="shared" si="55"/>
        <v>166.73864894795128</v>
      </c>
      <c r="F51" s="2696">
        <f t="shared" si="55"/>
        <v>115.05882352941177</v>
      </c>
      <c r="G51" s="3434">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2621</v>
      </c>
      <c r="B52" s="2696">
        <f t="shared" si="54"/>
        <v>144.04145728643215</v>
      </c>
      <c r="C52" s="2696">
        <f t="shared" si="54"/>
        <v>136.12396694214877</v>
      </c>
      <c r="D52" s="2696">
        <f t="shared" si="28"/>
        <v>136.12396694214877</v>
      </c>
      <c r="E52" s="2696">
        <f t="shared" si="55"/>
        <v>158.32225913621264</v>
      </c>
      <c r="F52" s="2696">
        <f t="shared" si="55"/>
        <v>114.04278074866311</v>
      </c>
      <c r="G52" s="3435">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2622</v>
      </c>
      <c r="B53" s="2710">
        <v>138</v>
      </c>
      <c r="C53" s="2710">
        <v>131</v>
      </c>
      <c r="D53" s="2710">
        <f t="shared" si="28"/>
        <v>131</v>
      </c>
      <c r="E53" s="2710">
        <v>155</v>
      </c>
      <c r="F53" s="2711">
        <v>114</v>
      </c>
      <c r="G53" s="3433">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2623</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4">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2624</v>
      </c>
      <c r="B55" s="2696">
        <f t="shared" si="58"/>
        <v>124.29032258064517</v>
      </c>
      <c r="C55" s="2696">
        <f t="shared" si="58"/>
        <v>123.8968609865471</v>
      </c>
      <c r="D55" s="2696">
        <f t="shared" si="28"/>
        <v>123.8968609865471</v>
      </c>
      <c r="E55" s="2696">
        <f t="shared" si="59"/>
        <v>138.00507614213197</v>
      </c>
      <c r="F55" s="2696">
        <f t="shared" si="59"/>
        <v>107.96106557377048</v>
      </c>
      <c r="G55" s="3434">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2625</v>
      </c>
      <c r="B56" s="2696">
        <f t="shared" si="58"/>
        <v>122.57204301075269</v>
      </c>
      <c r="C56" s="2696">
        <f t="shared" si="58"/>
        <v>123.4932735426009</v>
      </c>
      <c r="D56" s="2696">
        <f t="shared" si="28"/>
        <v>123.4932735426009</v>
      </c>
      <c r="E56" s="2696">
        <f t="shared" si="59"/>
        <v>129.82233502538071</v>
      </c>
      <c r="F56" s="2696">
        <f t="shared" si="59"/>
        <v>107.39446721311475</v>
      </c>
      <c r="G56" s="3435">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2626</v>
      </c>
      <c r="B57" s="2726">
        <v>121</v>
      </c>
      <c r="C57" s="2726">
        <v>122</v>
      </c>
      <c r="D57" s="2726">
        <f t="shared" si="28"/>
        <v>122</v>
      </c>
      <c r="E57" s="2726">
        <v>124</v>
      </c>
      <c r="F57" s="2727">
        <v>107</v>
      </c>
      <c r="G57" s="3433">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2627</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4">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2628</v>
      </c>
      <c r="B59" s="2696">
        <f t="shared" si="62"/>
        <v>116.99099099099099</v>
      </c>
      <c r="C59" s="2696">
        <f t="shared" si="62"/>
        <v>118.84848484848486</v>
      </c>
      <c r="D59" s="2696">
        <f t="shared" si="28"/>
        <v>118.84848484848486</v>
      </c>
      <c r="E59" s="2696">
        <f t="shared" si="63"/>
        <v>117.60960960960961</v>
      </c>
      <c r="F59" s="2696">
        <f t="shared" si="63"/>
        <v>104</v>
      </c>
      <c r="G59" s="3434">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2629</v>
      </c>
      <c r="B60" s="2729">
        <f t="shared" si="62"/>
        <v>112.48648648648648</v>
      </c>
      <c r="C60" s="2729">
        <f t="shared" si="62"/>
        <v>115.21212121212122</v>
      </c>
      <c r="D60" s="2729">
        <f t="shared" si="28"/>
        <v>115.21212121212122</v>
      </c>
      <c r="E60" s="2729">
        <f t="shared" si="63"/>
        <v>110.4024024024024</v>
      </c>
      <c r="F60" s="2729">
        <f t="shared" si="63"/>
        <v>104</v>
      </c>
      <c r="G60" s="3435">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2630</v>
      </c>
      <c r="B61" s="2747">
        <v>111</v>
      </c>
      <c r="C61" s="2747">
        <v>114</v>
      </c>
      <c r="D61" s="2747">
        <f t="shared" si="28"/>
        <v>114</v>
      </c>
      <c r="E61" s="2747">
        <v>108</v>
      </c>
      <c r="F61" s="2748">
        <v>104</v>
      </c>
      <c r="G61" s="3433">
        <v>2003</v>
      </c>
      <c r="H61" s="2737">
        <v>4</v>
      </c>
      <c r="I61" s="2749"/>
      <c r="J61" s="2749"/>
      <c r="K61" s="2749"/>
      <c r="L61" s="2749"/>
      <c r="N61" s="2750"/>
      <c r="O61" s="2749"/>
      <c r="P61" s="2749"/>
      <c r="Q61" s="2749"/>
      <c r="S61" s="2750"/>
      <c r="T61" s="2749"/>
      <c r="U61" s="2749"/>
      <c r="V61" s="2749"/>
      <c r="X61" s="2741"/>
      <c r="Y61" s="2741"/>
      <c r="Z61" s="2741"/>
    </row>
    <row r="62" spans="1:26">
      <c r="A62" s="2682" t="s">
        <v>2631</v>
      </c>
      <c r="B62" s="2751">
        <f t="shared" ref="B62:C64" si="64">B63+(B$61-B$65)/4</f>
        <v>109.75</v>
      </c>
      <c r="C62" s="2751">
        <f t="shared" si="64"/>
        <v>112.25</v>
      </c>
      <c r="D62" s="2751">
        <f t="shared" si="28"/>
        <v>112.25</v>
      </c>
      <c r="E62" s="2751">
        <f t="shared" ref="E62:F64" si="65">E63+(E$61-E$65)/4</f>
        <v>107.25</v>
      </c>
      <c r="F62" s="2751">
        <f t="shared" si="65"/>
        <v>103.5</v>
      </c>
      <c r="G62" s="3434">
        <v>2003</v>
      </c>
      <c r="H62" s="2707">
        <v>3</v>
      </c>
      <c r="I62" s="2749"/>
      <c r="J62" s="2749"/>
      <c r="K62" s="2749"/>
      <c r="L62" s="2749"/>
      <c r="X62" s="2741"/>
      <c r="Y62" s="2741"/>
      <c r="Z62" s="2741"/>
    </row>
    <row r="63" spans="1:26">
      <c r="A63" s="2682" t="s">
        <v>2632</v>
      </c>
      <c r="B63" s="2751">
        <f t="shared" si="64"/>
        <v>108.5</v>
      </c>
      <c r="C63" s="2751">
        <f t="shared" si="64"/>
        <v>110.5</v>
      </c>
      <c r="D63" s="2751">
        <f t="shared" si="28"/>
        <v>110.5</v>
      </c>
      <c r="E63" s="2751">
        <f t="shared" si="65"/>
        <v>106.5</v>
      </c>
      <c r="F63" s="2751">
        <f t="shared" si="65"/>
        <v>103</v>
      </c>
      <c r="G63" s="3434">
        <v>2003</v>
      </c>
      <c r="H63" s="2687">
        <v>2</v>
      </c>
      <c r="I63" s="2749"/>
      <c r="J63" s="2749"/>
      <c r="K63" s="2749"/>
      <c r="L63" s="2749"/>
      <c r="X63" s="2741"/>
      <c r="Y63" s="2741"/>
      <c r="Z63" s="2741"/>
    </row>
    <row r="64" spans="1:26" ht="13.5" thickBot="1">
      <c r="A64" s="2682" t="s">
        <v>2633</v>
      </c>
      <c r="B64" s="2751">
        <f t="shared" si="64"/>
        <v>107.25</v>
      </c>
      <c r="C64" s="2751">
        <f t="shared" si="64"/>
        <v>108.75</v>
      </c>
      <c r="D64" s="2751">
        <f t="shared" si="28"/>
        <v>108.75</v>
      </c>
      <c r="E64" s="2751">
        <f t="shared" si="65"/>
        <v>105.75</v>
      </c>
      <c r="F64" s="2751">
        <f t="shared" si="65"/>
        <v>102.5</v>
      </c>
      <c r="G64" s="3435">
        <v>2003</v>
      </c>
      <c r="H64" s="2752">
        <v>1</v>
      </c>
      <c r="I64" s="2749"/>
      <c r="J64" s="2749"/>
      <c r="K64" s="2749"/>
      <c r="L64" s="2749"/>
      <c r="S64" s="2691"/>
      <c r="T64" s="2692"/>
      <c r="U64" s="2692"/>
      <c r="X64" s="2741"/>
      <c r="Y64" s="2741"/>
      <c r="Z64" s="2741"/>
    </row>
    <row r="65" spans="1:26" ht="13.5" thickBot="1">
      <c r="A65" s="2682" t="s">
        <v>2634</v>
      </c>
      <c r="B65" s="2753">
        <v>106</v>
      </c>
      <c r="C65" s="2753">
        <v>107</v>
      </c>
      <c r="D65" s="2753">
        <f t="shared" si="28"/>
        <v>107</v>
      </c>
      <c r="E65" s="2753">
        <v>105</v>
      </c>
      <c r="F65" s="2754">
        <v>102</v>
      </c>
      <c r="G65" s="3433">
        <v>2002</v>
      </c>
      <c r="H65" s="2702">
        <v>4</v>
      </c>
      <c r="I65" s="2749"/>
      <c r="J65" s="2749"/>
      <c r="K65" s="2749"/>
      <c r="L65" s="2749"/>
      <c r="N65" s="2750"/>
      <c r="O65" s="2749"/>
      <c r="P65" s="2749"/>
      <c r="Q65" s="2749"/>
      <c r="S65" s="2750"/>
      <c r="T65" s="2749"/>
      <c r="U65" s="2749"/>
      <c r="V65" s="2749"/>
      <c r="X65" s="2741"/>
      <c r="Y65" s="2741"/>
      <c r="Z65" s="2741"/>
    </row>
    <row r="66" spans="1:26">
      <c r="A66" s="2682" t="s">
        <v>2635</v>
      </c>
      <c r="B66" s="2751">
        <f t="shared" ref="B66:C68" si="66">B67+(B$65-B$69)/4</f>
        <v>105</v>
      </c>
      <c r="C66" s="2751">
        <f t="shared" si="66"/>
        <v>106</v>
      </c>
      <c r="D66" s="2751">
        <f t="shared" si="28"/>
        <v>106</v>
      </c>
      <c r="E66" s="2751">
        <f t="shared" ref="E66:F68" si="67">E67+(E$65-E$69)/4</f>
        <v>104.5</v>
      </c>
      <c r="F66" s="2751">
        <f t="shared" si="67"/>
        <v>101.5</v>
      </c>
      <c r="G66" s="3434">
        <v>2002</v>
      </c>
      <c r="H66" s="2707">
        <v>3</v>
      </c>
      <c r="I66" s="2749"/>
      <c r="J66" s="2749"/>
      <c r="K66" s="2749"/>
      <c r="L66" s="2749"/>
      <c r="X66" s="2741"/>
      <c r="Y66" s="2741"/>
      <c r="Z66" s="2741"/>
    </row>
    <row r="67" spans="1:26">
      <c r="A67" s="2682" t="s">
        <v>2636</v>
      </c>
      <c r="B67" s="2751">
        <f t="shared" si="66"/>
        <v>104</v>
      </c>
      <c r="C67" s="2751">
        <f t="shared" si="66"/>
        <v>105</v>
      </c>
      <c r="D67" s="2751">
        <f t="shared" si="28"/>
        <v>105</v>
      </c>
      <c r="E67" s="2751">
        <f t="shared" si="67"/>
        <v>104</v>
      </c>
      <c r="F67" s="2751">
        <f t="shared" si="67"/>
        <v>101</v>
      </c>
      <c r="G67" s="3434">
        <v>2002</v>
      </c>
      <c r="H67" s="2687">
        <v>2</v>
      </c>
      <c r="I67" s="2749"/>
      <c r="J67" s="2749"/>
      <c r="K67" s="2749"/>
      <c r="L67" s="2749"/>
      <c r="X67" s="2741"/>
      <c r="Y67" s="2741"/>
      <c r="Z67" s="2741"/>
    </row>
    <row r="68" spans="1:26" s="2718" customFormat="1" ht="13.5" thickBot="1">
      <c r="A68" s="2714" t="s">
        <v>2637</v>
      </c>
      <c r="B68" s="2755">
        <f t="shared" si="66"/>
        <v>103</v>
      </c>
      <c r="C68" s="2755">
        <f t="shared" si="66"/>
        <v>104</v>
      </c>
      <c r="D68" s="2755">
        <f t="shared" si="28"/>
        <v>104</v>
      </c>
      <c r="E68" s="2755">
        <f t="shared" si="67"/>
        <v>103.5</v>
      </c>
      <c r="F68" s="2755">
        <f t="shared" si="67"/>
        <v>100.5</v>
      </c>
      <c r="G68" s="3435">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2638</v>
      </c>
      <c r="G71" s="2765"/>
      <c r="N71" s="2765"/>
      <c r="S71" s="2765"/>
    </row>
    <row r="72" spans="1:26" s="2764" customFormat="1">
      <c r="A72" s="2764" t="s">
        <v>2639</v>
      </c>
      <c r="G72" s="2765"/>
      <c r="N72" s="2765"/>
      <c r="S72" s="2765"/>
    </row>
    <row r="73" spans="1:26" s="2764" customFormat="1">
      <c r="A73" s="2764" t="s">
        <v>2640</v>
      </c>
      <c r="G73" s="2765"/>
      <c r="I73" s="2766"/>
      <c r="J73" s="2766"/>
      <c r="K73" s="2766"/>
      <c r="L73" s="2766"/>
      <c r="N73" s="2767"/>
      <c r="O73" s="2766"/>
      <c r="P73" s="2766"/>
      <c r="Q73" s="2766"/>
      <c r="S73" s="2767"/>
      <c r="T73" s="2766"/>
      <c r="U73" s="2766"/>
      <c r="V73" s="2766"/>
    </row>
    <row r="74" spans="1:26" s="2764" customFormat="1">
      <c r="A74" s="2764" t="s">
        <v>2641</v>
      </c>
      <c r="G74" s="2765"/>
      <c r="N74" s="2765"/>
      <c r="S74" s="2765"/>
    </row>
    <row r="81" spans="7:22" ht="13.5" thickBot="1"/>
    <row r="82" spans="7:22">
      <c r="G82" s="2690"/>
      <c r="S82" s="2768" t="s">
        <v>2642</v>
      </c>
      <c r="T82" s="2769" t="s">
        <v>2643</v>
      </c>
      <c r="U82" s="2769" t="s">
        <v>2644</v>
      </c>
      <c r="V82" s="2769" t="s">
        <v>2645</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受贵公司委托，我公司对郑州市荥阳市出让国有建设用地使用权抵押价格进行了预评估。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郑州市荥阳市出让国有建设用地使用权。根据《国有土地使用证》[]，估价对象（分摊）出让国有建设用地使用权面积为664499.4平方米。根据《建设工程规划许可证》[]、《出让合同》[]，估价对象规划建筑面积为1839613.34平方米。</v>
      </c>
    </row>
    <row r="7" spans="1:4" ht="56.25">
      <c r="A7" s="1797" t="s">
        <v>2755</v>
      </c>
    </row>
    <row r="8" spans="1:4" ht="18.75">
      <c r="A8" s="1796" t="s">
        <v>1907</v>
      </c>
    </row>
    <row r="9" spans="1:4" ht="75">
      <c r="A9" s="1798" t="str">
        <f>IF(项目基本情况!B8="抵押",IF(项目基本情况!B5=项目基本情况!B6,定义!C51,定义!B51),定义!D51)</f>
        <v>拟使用郑州市荥阳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2017年12月8日（评估专业人员勘察现场之日）</v>
      </c>
    </row>
    <row r="12" spans="1:4" ht="18.75">
      <c r="A12" s="1799" t="s">
        <v>2028</v>
      </c>
    </row>
    <row r="13" spans="1:4" ht="18.75">
      <c r="A13" s="1793" t="s">
        <v>2953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根据《国有土地使用证》[]，估价对象（分摊）出让国有建设用地使用权面积为664499.4平方米。根据《建设工程规划许可证》[]、《出让合同》[]，估价对象规划建筑面积为1839613.34平方米。</v>
      </c>
    </row>
    <row r="21" spans="1:1" ht="18.75">
      <c r="A21" s="1793" t="s">
        <v>2077</v>
      </c>
    </row>
    <row r="22" spans="1:1" ht="11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13日、地上商业2057年9月13日地下车库2067年9月13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2017年12月8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B3" sqref="B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3099</v>
      </c>
      <c r="D1" s="3160" t="s">
        <v>952</v>
      </c>
      <c r="E1" s="2413" t="s">
        <v>2378</v>
      </c>
      <c r="F1" s="2414">
        <f ca="1">J53</f>
        <v>39.79</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48582</v>
      </c>
      <c r="C2" s="2059"/>
      <c r="D2" s="2057"/>
      <c r="E2" s="2058"/>
      <c r="F2" s="2058"/>
      <c r="G2" s="1591"/>
      <c r="H2" s="2059"/>
      <c r="I2" s="2059"/>
      <c r="J2" s="2059"/>
      <c r="K2" s="2060"/>
      <c r="L2" s="2059"/>
      <c r="M2" s="2059"/>
    </row>
    <row r="3" spans="1:33" ht="18" customHeight="1" thickBot="1">
      <c r="A3" s="833" t="s">
        <v>1728</v>
      </c>
      <c r="B3" s="834">
        <f ca="1">IF(ISERROR(B2*10000/F43),0,ROUND(B2*10000/F43,0))</f>
        <v>8425</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2463</v>
      </c>
      <c r="C5" s="55">
        <f ca="1">C6+C10+C12</f>
        <v>3531</v>
      </c>
      <c r="D5" s="2522" t="s">
        <v>2466</v>
      </c>
      <c r="E5" s="2516"/>
      <c r="F5" s="2517"/>
      <c r="G5" s="1593"/>
      <c r="H5" s="781">
        <v>1</v>
      </c>
      <c r="I5" s="782" t="s">
        <v>2463</v>
      </c>
      <c r="J5" s="55">
        <f ca="1">J6+J10+J12</f>
        <v>0</v>
      </c>
      <c r="K5" s="2522" t="s">
        <v>2466</v>
      </c>
      <c r="L5" s="2516"/>
      <c r="M5" s="2517"/>
    </row>
    <row r="6" spans="1:33" ht="18" customHeight="1">
      <c r="A6" s="1832" t="s">
        <v>1825</v>
      </c>
      <c r="B6" s="3424" t="s">
        <v>2468</v>
      </c>
      <c r="C6" s="783">
        <f ca="1">ROUND(F6*F8*F7*(1-F9)/10000,0)</f>
        <v>3526</v>
      </c>
      <c r="D6" s="2523" t="s">
        <v>2467</v>
      </c>
      <c r="E6" s="784" t="s">
        <v>1739</v>
      </c>
      <c r="F6" s="785">
        <f ca="1">INDIRECT("'数据-取费表'!u"&amp;$G$1)</f>
        <v>2</v>
      </c>
      <c r="G6" s="1593"/>
      <c r="H6" s="2530" t="s">
        <v>2474</v>
      </c>
      <c r="I6" s="3424" t="s">
        <v>2468</v>
      </c>
      <c r="J6" s="783">
        <f ca="1">ROUND(M6*M8*M7*(1-M9)/10000,0)</f>
        <v>0</v>
      </c>
      <c r="K6" s="341" t="s">
        <v>1738</v>
      </c>
      <c r="L6" s="784" t="s">
        <v>1739</v>
      </c>
      <c r="M6" s="785">
        <f ca="1">INDIRECT("'数据-取费表'!z"&amp;$G$1)</f>
        <v>0</v>
      </c>
    </row>
    <row r="7" spans="1:33" ht="18" customHeight="1">
      <c r="A7" s="2526"/>
      <c r="B7" s="3425"/>
      <c r="C7" s="788"/>
      <c r="D7" s="789"/>
      <c r="E7" s="784" t="s">
        <v>1740</v>
      </c>
      <c r="F7" s="785">
        <f ca="1">IF(INDIRECT("'数据-取费表'!ah"&amp;$G$1)="",INDIRECT("'数据-取费表'!k"&amp;$G$1),INDIRECT("'数据-取费表'!ah"&amp;$G$1))</f>
        <v>53666.67</v>
      </c>
      <c r="G7" s="1593"/>
      <c r="H7" s="2515"/>
      <c r="I7" s="3425"/>
      <c r="J7" s="788"/>
      <c r="K7" s="789"/>
      <c r="L7" s="784" t="s">
        <v>1740</v>
      </c>
      <c r="M7" s="785">
        <f ca="1">F7</f>
        <v>53666.67</v>
      </c>
    </row>
    <row r="8" spans="1:33" ht="18" customHeight="1">
      <c r="A8" s="2519"/>
      <c r="B8" s="3426"/>
      <c r="C8" s="788"/>
      <c r="D8" s="789"/>
      <c r="E8" s="784" t="s">
        <v>1741</v>
      </c>
      <c r="F8" s="785">
        <f ca="1">INDIRECT("'数据-取费表'!ai"&amp;$G$1)</f>
        <v>365</v>
      </c>
      <c r="G8" s="1593"/>
      <c r="H8" s="2515"/>
      <c r="I8" s="3426"/>
      <c r="J8" s="788"/>
      <c r="K8" s="789"/>
      <c r="L8" s="784" t="s">
        <v>1741</v>
      </c>
      <c r="M8" s="785">
        <f ca="1">INDIRECT("'数据-取费表'!ai"&amp;$G$1)</f>
        <v>365</v>
      </c>
    </row>
    <row r="9" spans="1:33" ht="18" customHeight="1">
      <c r="A9" s="786"/>
      <c r="B9" s="3427"/>
      <c r="C9" s="788"/>
      <c r="D9" s="789"/>
      <c r="E9" s="784" t="s">
        <v>1742</v>
      </c>
      <c r="F9" s="794">
        <f ca="1">INDIRECT("'数据-取费表'!w"&amp;$G$1)</f>
        <v>0.1</v>
      </c>
      <c r="G9" s="1593"/>
      <c r="H9" s="2531"/>
      <c r="I9" s="3426"/>
      <c r="J9" s="788"/>
      <c r="K9" s="789"/>
      <c r="L9" s="795" t="s">
        <v>1742</v>
      </c>
      <c r="M9" s="796">
        <f ca="1">INDIRECT("'数据-取费表'!ab"&amp;$G$1)</f>
        <v>0</v>
      </c>
    </row>
    <row r="10" spans="1:33" ht="18" customHeight="1">
      <c r="A10" s="1832" t="s">
        <v>2472</v>
      </c>
      <c r="B10" s="2520" t="s">
        <v>2464</v>
      </c>
      <c r="C10" s="799">
        <f ca="1">ROUND(IF(F10="押一",F6*F8*F7/12*F11,IF(F10="押二",F6*F8*F7/12*2*F11,IF(F10="押三",F6*F8*F7/12*3*F11,C11*F11)))/10000,0)</f>
        <v>5</v>
      </c>
      <c r="D10" s="2527" t="s">
        <v>2471</v>
      </c>
      <c r="E10" s="2524" t="s">
        <v>2469</v>
      </c>
      <c r="F10" s="2647" t="s">
        <v>3108</v>
      </c>
      <c r="G10" s="1593"/>
      <c r="H10" s="2587" t="s">
        <v>2475</v>
      </c>
      <c r="I10" s="2592" t="s">
        <v>2464</v>
      </c>
      <c r="J10" s="783">
        <f ca="1">ROUND(IF(M10="押一",M6*M8*M7/12*M11,IF(M10="押二",M6*M8*M7/12*2*M11,IF(M10="押三",M6*M8*M7/12*3*M11,J11*M11)))/10000,0)</f>
        <v>0</v>
      </c>
      <c r="K10" s="2527" t="s">
        <v>2471</v>
      </c>
      <c r="L10" s="2524" t="s">
        <v>2469</v>
      </c>
      <c r="M10" s="2647"/>
    </row>
    <row r="11" spans="1:33" ht="18" customHeight="1">
      <c r="A11" s="790"/>
      <c r="B11" s="2521" t="s">
        <v>2579</v>
      </c>
      <c r="C11" s="2525"/>
      <c r="D11" s="789"/>
      <c r="E11" s="2524" t="s">
        <v>2470</v>
      </c>
      <c r="F11" s="796">
        <f ca="1">'数据-取费表'!B39</f>
        <v>1.4999999999999999E-2</v>
      </c>
      <c r="G11" s="1593"/>
      <c r="H11" s="2588"/>
      <c r="I11" s="2521" t="s">
        <v>2579</v>
      </c>
      <c r="J11" s="2525"/>
      <c r="K11" s="2589"/>
      <c r="L11" s="2524" t="s">
        <v>2470</v>
      </c>
      <c r="M11" s="2518">
        <f ca="1">'数据-取费表'!B39</f>
        <v>1.4999999999999999E-2</v>
      </c>
    </row>
    <row r="12" spans="1:33" ht="18" customHeight="1" thickBot="1">
      <c r="A12" s="2563" t="s">
        <v>2473</v>
      </c>
      <c r="B12" s="2564" t="s">
        <v>2465</v>
      </c>
      <c r="C12" s="2565"/>
      <c r="D12" s="2566"/>
      <c r="E12" s="2567"/>
      <c r="F12" s="2568"/>
      <c r="G12" s="1593"/>
      <c r="H12" s="2577" t="s">
        <v>2476</v>
      </c>
      <c r="I12" s="2590" t="s">
        <v>2465</v>
      </c>
      <c r="J12" s="2591"/>
      <c r="K12" s="2566"/>
      <c r="L12" s="2567"/>
      <c r="M12" s="2580"/>
    </row>
    <row r="13" spans="1:33" ht="18" customHeight="1" thickTop="1">
      <c r="A13" s="1831">
        <v>2</v>
      </c>
      <c r="B13" s="1829" t="s">
        <v>1743</v>
      </c>
      <c r="C13" s="792">
        <f ca="1">ROUND(C29*F13,0)</f>
        <v>29225</v>
      </c>
      <c r="D13" s="1836" t="s">
        <v>2300</v>
      </c>
      <c r="E13" s="1836" t="s">
        <v>1745</v>
      </c>
      <c r="F13" s="2562">
        <f ca="1">INDIRECT("'数据-取费表'!y"&amp;$G$1)</f>
        <v>1</v>
      </c>
      <c r="G13" s="1593"/>
      <c r="H13" s="1831">
        <v>2</v>
      </c>
      <c r="I13" s="1829" t="s">
        <v>1743</v>
      </c>
      <c r="J13" s="1821">
        <f ca="1">ROUND(J14*J15,0)</f>
        <v>0</v>
      </c>
      <c r="K13" s="1823" t="s">
        <v>1744</v>
      </c>
      <c r="L13" s="2578"/>
      <c r="M13" s="2579"/>
    </row>
    <row r="14" spans="1:33" ht="18" customHeight="1">
      <c r="A14" s="1649" t="s">
        <v>1885</v>
      </c>
      <c r="B14" s="784" t="s">
        <v>645</v>
      </c>
      <c r="C14" s="804">
        <f ca="1">INDIRECT("'数据-取费表'!m"&amp;$G$1)+INDIRECT("'数据-取费表'!t"&amp;$G$1)</f>
        <v>17916</v>
      </c>
      <c r="D14" s="1981" t="s">
        <v>1746</v>
      </c>
      <c r="E14" s="1982"/>
      <c r="F14" s="805"/>
      <c r="G14" s="1593"/>
      <c r="H14" s="1650" t="s">
        <v>1831</v>
      </c>
      <c r="I14" s="2233" t="s">
        <v>2834</v>
      </c>
      <c r="J14" s="53">
        <f ca="1">C29</f>
        <v>29225</v>
      </c>
      <c r="K14" s="26"/>
      <c r="L14" s="801"/>
      <c r="M14" s="802"/>
    </row>
    <row r="15" spans="1:33" s="2066" customFormat="1" ht="18" customHeight="1" thickBot="1">
      <c r="A15" s="1649" t="s">
        <v>1886</v>
      </c>
      <c r="B15" s="784" t="s">
        <v>647</v>
      </c>
      <c r="C15" s="53">
        <f ca="1">ROUND(C14*F15,0)</f>
        <v>537</v>
      </c>
      <c r="D15" s="806" t="s">
        <v>1747</v>
      </c>
      <c r="E15" s="806" t="s">
        <v>1748</v>
      </c>
      <c r="F15" s="807">
        <f>'数据-取费表'!B33</f>
        <v>0.03</v>
      </c>
      <c r="G15" s="1594"/>
      <c r="H15" s="2577" t="s">
        <v>1890</v>
      </c>
      <c r="I15" s="2572" t="s">
        <v>1745</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698</v>
      </c>
      <c r="K16" s="1823" t="s">
        <v>1751</v>
      </c>
      <c r="L16" s="2512"/>
      <c r="M16" s="2517"/>
    </row>
    <row r="17" spans="1:33" s="2066" customFormat="1" ht="18" customHeight="1">
      <c r="A17" s="1649" t="s">
        <v>1888</v>
      </c>
      <c r="B17" s="784" t="s">
        <v>653</v>
      </c>
      <c r="C17" s="53">
        <f ca="1">ROUND(F17*(F43+INDIRECT("'数据-取费表'!S"&amp;$G$1))/10000,0)</f>
        <v>1542</v>
      </c>
      <c r="D17" s="784" t="s">
        <v>1752</v>
      </c>
      <c r="E17" s="784" t="s">
        <v>1753</v>
      </c>
      <c r="F17" s="56">
        <f>'数据-取费表'!B35</f>
        <v>200</v>
      </c>
      <c r="G17" s="1594"/>
      <c r="H17" s="1650" t="s">
        <v>1831</v>
      </c>
      <c r="I17" s="784" t="s">
        <v>656</v>
      </c>
      <c r="J17" s="53">
        <f ca="1">ROUND(IF(项目基本情况!B11="自然人",J5*M17,J18+J19+J20),0)</f>
        <v>260</v>
      </c>
      <c r="K17" s="2511" t="s">
        <v>1754</v>
      </c>
      <c r="L17" s="2510" t="s">
        <v>1755</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269</v>
      </c>
      <c r="D18" s="784" t="s">
        <v>1747</v>
      </c>
      <c r="E18" s="784" t="s">
        <v>1748</v>
      </c>
      <c r="F18" s="809">
        <f>'数据-取费表'!B36</f>
        <v>1.4999999999999999E-2</v>
      </c>
      <c r="G18" s="1594"/>
      <c r="H18" s="1649" t="s">
        <v>1885</v>
      </c>
      <c r="I18" s="784" t="s">
        <v>1756</v>
      </c>
      <c r="J18" s="53">
        <f ca="1">ROUND(J5*M18/1.05,1)</f>
        <v>0</v>
      </c>
      <c r="K18" s="2510" t="s">
        <v>1757</v>
      </c>
      <c r="L18" s="784" t="s">
        <v>1748</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20264</v>
      </c>
      <c r="D19" s="261" t="s">
        <v>1758</v>
      </c>
      <c r="E19" s="1984"/>
      <c r="F19" s="56"/>
      <c r="G19" s="1593"/>
      <c r="H19" s="1649" t="s">
        <v>1886</v>
      </c>
      <c r="I19" s="784" t="s">
        <v>1759</v>
      </c>
      <c r="J19" s="53">
        <f ca="1">IF(K19="按租金收入计税",ROUND(J5*M19,1),ROUND(C29*F33*0.7,1))</f>
        <v>245.5</v>
      </c>
      <c r="K19" s="811" t="s">
        <v>665</v>
      </c>
      <c r="L19" s="784" t="s">
        <v>1748</v>
      </c>
      <c r="M19" s="809">
        <f>IF(K19="按租金收入计税",'数据-取费表'!B51,'数据-取费表'!B50)</f>
        <v>1.2E-2</v>
      </c>
    </row>
    <row r="20" spans="1:33" s="2066" customFormat="1" ht="18" customHeight="1">
      <c r="A20" s="1650" t="s">
        <v>1890</v>
      </c>
      <c r="B20" s="784" t="s">
        <v>666</v>
      </c>
      <c r="C20" s="53">
        <f ca="1">ROUND(C19*F20,0)</f>
        <v>608</v>
      </c>
      <c r="D20" s="812" t="s">
        <v>1760</v>
      </c>
      <c r="E20" s="784" t="s">
        <v>1748</v>
      </c>
      <c r="F20" s="809">
        <f>'数据-取费表'!B37</f>
        <v>0.03</v>
      </c>
      <c r="G20" s="1594"/>
      <c r="H20" s="1652" t="s">
        <v>1881</v>
      </c>
      <c r="I20" s="341" t="s">
        <v>1761</v>
      </c>
      <c r="J20" s="54">
        <f ca="1">ROUND(M20*M21/10000,0)</f>
        <v>14</v>
      </c>
      <c r="K20" s="814" t="s">
        <v>1762</v>
      </c>
      <c r="L20" s="784" t="s">
        <v>1763</v>
      </c>
      <c r="M20" s="640">
        <f>'数据-取费表'!B52</f>
        <v>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0.03</v>
      </c>
      <c r="G21" s="1594"/>
      <c r="H21" s="2532"/>
      <c r="I21" s="793"/>
      <c r="J21" s="69"/>
      <c r="K21" s="816"/>
      <c r="L21" s="784" t="s">
        <v>1767</v>
      </c>
      <c r="M21" s="785">
        <f ca="1">INDIRECT("'数据-取费表'!r"&amp;$G$1)</f>
        <v>27851.409999999996</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98"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438</v>
      </c>
      <c r="K22" s="2510" t="s">
        <v>1770</v>
      </c>
      <c r="L22" s="784" t="s">
        <v>1748</v>
      </c>
      <c r="M22" s="817">
        <f ca="1">INDIRECT("'数据-取费表'!Ak"&amp;$G$1)</f>
        <v>1.4999999999999999E-2</v>
      </c>
    </row>
    <row r="23" spans="1:33" s="2066" customFormat="1" ht="18" customHeight="1">
      <c r="A23" s="1649" t="s">
        <v>1832</v>
      </c>
      <c r="B23" s="784" t="s">
        <v>2541</v>
      </c>
      <c r="C23" s="53">
        <f ca="1">ROUND(IF('数据-取费表'!B22&lt;=1,(C19+C20)*F24*F23/2,(C19+C20)*(POWER((1+F24),F23/2)-1)),0)</f>
        <v>1505</v>
      </c>
      <c r="D23" s="2597" t="str">
        <f>IF(F23&lt;=1,"(建造成本+管理费用)×利率×(建设周期÷2)","(建造成本+管理费用)×((1+利率)^(建设周期÷2)-1)")</f>
        <v>(建造成本+管理费用)×((1+利率)^(建设周期÷2)-1)</v>
      </c>
      <c r="E23" s="784" t="s">
        <v>1771</v>
      </c>
      <c r="F23" s="640">
        <f>'数据-取费表'!B20</f>
        <v>3</v>
      </c>
      <c r="G23" s="1594"/>
      <c r="H23" s="1650" t="s">
        <v>1891</v>
      </c>
      <c r="I23" s="784" t="s">
        <v>679</v>
      </c>
      <c r="J23" s="53">
        <f ca="1">ROUND(J13*M23,0)</f>
        <v>0</v>
      </c>
      <c r="K23" s="2510" t="s">
        <v>1772</v>
      </c>
      <c r="L23" s="784" t="s">
        <v>1748</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2.2000000000000001E-3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1775</v>
      </c>
      <c r="L24" s="2572" t="s">
        <v>1748</v>
      </c>
      <c r="M24" s="2568">
        <f ca="1">INDIRECT("'数据-取费表'!Am"&amp;$G$1)</f>
        <v>0.03</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38" t="s">
        <v>2830</v>
      </c>
      <c r="J25" s="792">
        <f ca="1">J5-J16</f>
        <v>-698</v>
      </c>
      <c r="K25" s="2574" t="s">
        <v>1778</v>
      </c>
      <c r="L25" s="2575"/>
      <c r="M25" s="2576"/>
    </row>
    <row r="26" spans="1:33" ht="18" customHeight="1">
      <c r="A26" s="1649" t="s">
        <v>1832</v>
      </c>
      <c r="B26" s="784" t="s">
        <v>2442</v>
      </c>
      <c r="C26" s="53">
        <f ca="1">ROUND((C19+C20)*F26,0)</f>
        <v>4174</v>
      </c>
      <c r="D26" s="812" t="s">
        <v>1779</v>
      </c>
      <c r="E26" s="795" t="s">
        <v>1780</v>
      </c>
      <c r="F26" s="794">
        <f ca="1">INDIRECT("'数据-取费表'!q"&amp;$G$1)</f>
        <v>0.2</v>
      </c>
      <c r="G26" s="1593"/>
      <c r="H26" s="2528" t="s">
        <v>1781</v>
      </c>
      <c r="I26" s="2234" t="s">
        <v>2835</v>
      </c>
      <c r="J26" s="783">
        <f ca="1">IF(J5&lt;&gt;0,ROUND(J25*(1-((1+M28)/(1+M26))^M27)/(M26-M28),0),0)</f>
        <v>0</v>
      </c>
      <c r="K26" s="814" t="s">
        <v>1782</v>
      </c>
      <c r="L26" s="784" t="s">
        <v>2423</v>
      </c>
      <c r="M26" s="794">
        <f ca="1">INDIRECT("'数据-取费表'!I"&amp;$G$1)</f>
        <v>0.06</v>
      </c>
    </row>
    <row r="27" spans="1:33" ht="18" customHeight="1">
      <c r="A27" s="1649" t="s">
        <v>1833</v>
      </c>
      <c r="B27" s="784" t="s">
        <v>686</v>
      </c>
      <c r="C27" s="53">
        <f ca="1">ROUND(F21*F26,4)</f>
        <v>6.0000000000000001E-3</v>
      </c>
      <c r="D27" s="812" t="s">
        <v>1783</v>
      </c>
      <c r="E27" s="806"/>
      <c r="F27" s="807"/>
      <c r="G27" s="1593"/>
      <c r="H27" s="2529"/>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2303</v>
      </c>
      <c r="C29" s="2570">
        <f ca="1">ROUND((C19+C20+C23+C26)/(1-F21-C24-C27-C28),0)</f>
        <v>29225</v>
      </c>
      <c r="D29" s="2571"/>
      <c r="E29" s="2572"/>
      <c r="F29" s="2573"/>
      <c r="G29" s="1594"/>
      <c r="H29" s="823" t="s">
        <v>1788</v>
      </c>
      <c r="I29" s="824" t="s">
        <v>1789</v>
      </c>
      <c r="J29" s="825">
        <f ca="1">ROUND(J26/(1+F40)^F41,0)</f>
        <v>0</v>
      </c>
      <c r="K29" s="826" t="s">
        <v>1790</v>
      </c>
      <c r="L29" s="827"/>
      <c r="M29" s="828">
        <f ca="1">INDIRECT("'数据-取费表'!k"&amp;$G$1)</f>
        <v>57666.67</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1051</v>
      </c>
      <c r="D30" s="1823" t="s">
        <v>1792</v>
      </c>
      <c r="E30" s="2512"/>
      <c r="F30" s="2517"/>
      <c r="G30" s="2064"/>
      <c r="H30" s="2067"/>
      <c r="I30" s="2068"/>
      <c r="J30" s="2069"/>
      <c r="K30" s="2070"/>
      <c r="L30" s="2071"/>
      <c r="M30" s="2072"/>
    </row>
    <row r="31" spans="1:33" ht="18" customHeight="1">
      <c r="A31" s="1650" t="s">
        <v>1831</v>
      </c>
      <c r="B31" s="784" t="s">
        <v>656</v>
      </c>
      <c r="C31" s="53">
        <f ca="1">ROUND(IF(项目基本情况!B11="自然人",C5*F31,C32+C33+C34),1)</f>
        <v>447.7</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188.3</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245.5</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13.9</v>
      </c>
      <c r="D34" s="814" t="s">
        <v>1800</v>
      </c>
      <c r="E34" s="784" t="s">
        <v>1801</v>
      </c>
      <c r="F34" s="640">
        <f>'数据-取费表'!B52</f>
        <v>5</v>
      </c>
      <c r="G34" s="2064"/>
      <c r="H34" s="2067"/>
      <c r="I34" s="835" t="s">
        <v>1814</v>
      </c>
      <c r="J34" s="836"/>
      <c r="K34" s="2082"/>
      <c r="L34" s="2081"/>
      <c r="M34" s="2081"/>
    </row>
    <row r="35" spans="1:18" ht="18" customHeight="1">
      <c r="A35" s="815"/>
      <c r="B35" s="793"/>
      <c r="C35" s="69"/>
      <c r="D35" s="816"/>
      <c r="E35" s="784" t="s">
        <v>1802</v>
      </c>
      <c r="F35" s="785">
        <f ca="1">INDIRECT("'数据-取费表'!r"&amp;$G$1)</f>
        <v>27851.409999999996</v>
      </c>
      <c r="G35" s="2064"/>
      <c r="H35" s="2067"/>
      <c r="I35" s="837" t="s">
        <v>1815</v>
      </c>
      <c r="J35" s="838">
        <f ca="1">ROUND(C13*J36,0)</f>
        <v>2484</v>
      </c>
      <c r="K35" s="2080"/>
      <c r="L35" s="2079"/>
      <c r="M35" s="2079"/>
    </row>
    <row r="36" spans="1:18" ht="18" customHeight="1">
      <c r="A36" s="1650" t="s">
        <v>1890</v>
      </c>
      <c r="B36" s="784" t="s">
        <v>1803</v>
      </c>
      <c r="C36" s="53">
        <f ca="1">ROUND(C29*F36,1)</f>
        <v>438.4</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58.5</v>
      </c>
      <c r="D37" s="1979" t="s">
        <v>1805</v>
      </c>
      <c r="E37" s="784" t="s">
        <v>1797</v>
      </c>
      <c r="F37" s="818">
        <f ca="1">INDIRECT("'数据-取费表'!Al"&amp;$G$1)</f>
        <v>2E-3</v>
      </c>
      <c r="G37" s="2064"/>
      <c r="H37" s="2079"/>
      <c r="I37" s="841" t="s">
        <v>1817</v>
      </c>
      <c r="J37" s="842"/>
      <c r="K37" s="2084"/>
      <c r="L37" s="2079"/>
      <c r="M37" s="2079"/>
    </row>
    <row r="38" spans="1:18" ht="18" customHeight="1" thickBot="1">
      <c r="A38" s="2577" t="s">
        <v>1892</v>
      </c>
      <c r="B38" s="2572" t="s">
        <v>666</v>
      </c>
      <c r="C38" s="2570">
        <f ca="1">ROUND(C5*F38,1)</f>
        <v>105.9</v>
      </c>
      <c r="D38" s="2571" t="s">
        <v>1806</v>
      </c>
      <c r="E38" s="2572" t="s">
        <v>1797</v>
      </c>
      <c r="F38" s="2568">
        <f ca="1">INDIRECT("'数据-取费表'!Am"&amp;$G$1)</f>
        <v>0.03</v>
      </c>
      <c r="G38" s="2064"/>
      <c r="H38" s="2079"/>
      <c r="I38" s="843" t="s">
        <v>1818</v>
      </c>
      <c r="J38" s="844"/>
      <c r="K38" s="2085"/>
      <c r="L38" s="2079"/>
      <c r="M38" s="2079"/>
    </row>
    <row r="39" spans="1:18" ht="24.6" customHeight="1" thickTop="1">
      <c r="A39" s="1831" t="s">
        <v>1895</v>
      </c>
      <c r="B39" s="3038" t="s">
        <v>2830</v>
      </c>
      <c r="C39" s="792">
        <f ca="1">C5-C30</f>
        <v>2480</v>
      </c>
      <c r="D39" s="2574" t="s">
        <v>1807</v>
      </c>
      <c r="E39" s="2575"/>
      <c r="F39" s="2576"/>
      <c r="G39" s="2064"/>
      <c r="H39" s="2079"/>
      <c r="I39" s="837" t="s">
        <v>1819</v>
      </c>
      <c r="J39" s="845">
        <f ca="1">ROUND(J35/C39,3)</f>
        <v>1.002</v>
      </c>
      <c r="K39" s="2085"/>
      <c r="L39" s="2079"/>
      <c r="M39" s="2079"/>
    </row>
    <row r="40" spans="1:18" ht="18" customHeight="1">
      <c r="A40" s="781" t="s">
        <v>1896</v>
      </c>
      <c r="B40" s="2234" t="s">
        <v>2304</v>
      </c>
      <c r="C40" s="783">
        <f ca="1">ROUND(C39*(1-((1+F42)/(1+F40))^F41)/(F40-F42),0)</f>
        <v>48582</v>
      </c>
      <c r="D40" s="814" t="s">
        <v>1808</v>
      </c>
      <c r="E40" s="784" t="s">
        <v>2423</v>
      </c>
      <c r="F40" s="794">
        <f ca="1">INDIRECT("'数据-取费表'!I"&amp;$G$1)</f>
        <v>0.06</v>
      </c>
      <c r="G40" s="2064"/>
      <c r="H40" s="2064"/>
      <c r="I40" s="837" t="s">
        <v>1820</v>
      </c>
      <c r="J40" s="845">
        <f ca="1">1-J39</f>
        <v>-2.0000000000000018E-3</v>
      </c>
      <c r="K40" s="2085"/>
      <c r="L40" s="2064"/>
      <c r="M40" s="2064"/>
    </row>
    <row r="41" spans="1:18" ht="18" customHeight="1">
      <c r="A41" s="786"/>
      <c r="B41" s="787"/>
      <c r="C41" s="788"/>
      <c r="D41" s="821" t="s">
        <v>1809</v>
      </c>
      <c r="E41" s="784" t="s">
        <v>2977</v>
      </c>
      <c r="F41" s="822">
        <f ca="1">IF(INDIRECT("'数据-取费表'!af"&amp;$G$1)=0,INDIRECT("'数据-取费表'!ae"&amp;$G$1),INDIRECT("'数据-取费表'!af"&amp;$G$1))</f>
        <v>39.79</v>
      </c>
      <c r="G41" s="2064"/>
      <c r="H41" s="1990"/>
      <c r="I41" s="843" t="s">
        <v>1821</v>
      </c>
      <c r="J41" s="846"/>
      <c r="K41" s="2084"/>
      <c r="L41" s="1990"/>
      <c r="M41" s="1990"/>
    </row>
    <row r="42" spans="1:18" ht="18" customHeight="1">
      <c r="A42" s="790"/>
      <c r="B42" s="791"/>
      <c r="C42" s="792"/>
      <c r="D42" s="816"/>
      <c r="E42" s="784" t="s">
        <v>1810</v>
      </c>
      <c r="F42" s="794">
        <f ca="1">INDIRECT("'数据-取费表'!v"&amp;$G$1)</f>
        <v>0.02</v>
      </c>
      <c r="G42" s="2064"/>
      <c r="H42" s="1990"/>
      <c r="I42" s="847" t="s">
        <v>1822</v>
      </c>
      <c r="J42" s="845">
        <f ca="1">ROUND(C13/C40,3)</f>
        <v>0.60199999999999998</v>
      </c>
      <c r="K42" s="2084"/>
      <c r="L42" s="1990"/>
      <c r="M42" s="1990"/>
    </row>
    <row r="43" spans="1:18" ht="18" customHeight="1" thickBot="1">
      <c r="A43" s="823" t="s">
        <v>1788</v>
      </c>
      <c r="B43" s="824" t="s">
        <v>1811</v>
      </c>
      <c r="C43" s="825">
        <f ca="1">ROUND(C40*10000/F43,0)</f>
        <v>8425</v>
      </c>
      <c r="D43" s="826" t="s">
        <v>1812</v>
      </c>
      <c r="E43" s="827" t="s">
        <v>1813</v>
      </c>
      <c r="F43" s="828">
        <f ca="1">INDIRECT("'数据-取费表'!k"&amp;$G$1)</f>
        <v>57666.67</v>
      </c>
      <c r="G43" s="2064"/>
      <c r="H43" s="1990"/>
      <c r="I43" s="847" t="s">
        <v>1823</v>
      </c>
      <c r="J43" s="848">
        <f ca="1">1-J42</f>
        <v>0.39800000000000002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f ca="1">C67-C40</f>
        <v>-59942</v>
      </c>
      <c r="D46" s="2087"/>
      <c r="E46" s="2087"/>
      <c r="F46" s="2087"/>
      <c r="I46" s="2380" t="s">
        <v>2346</v>
      </c>
      <c r="J46" s="2381"/>
      <c r="K46" s="2382"/>
      <c r="L46" s="2383" t="str">
        <f ca="1">IF(M47="住宅",0,IF(L48&gt;J51,L60,J60))</f>
        <v>0</v>
      </c>
      <c r="O46" s="2420" t="s">
        <v>2414</v>
      </c>
      <c r="P46" s="1593"/>
      <c r="Q46" s="1605"/>
      <c r="R46" s="1593"/>
    </row>
    <row r="47" spans="1:18" s="2061" customFormat="1" ht="18" customHeight="1" thickBot="1">
      <c r="A47" s="2374">
        <v>1</v>
      </c>
      <c r="B47" s="2375" t="s">
        <v>635</v>
      </c>
      <c r="C47" s="2600">
        <f ca="1">C48+C52+C54</f>
        <v>0</v>
      </c>
      <c r="D47" s="2087"/>
      <c r="E47" s="2087"/>
      <c r="F47" s="2087"/>
      <c r="I47" s="2384" t="s">
        <v>2347</v>
      </c>
      <c r="J47" s="2389" t="s">
        <v>3107</v>
      </c>
      <c r="K47" s="2390" t="s">
        <v>2353</v>
      </c>
      <c r="L47" s="2391">
        <f ca="1">INDIRECT("'数据-取费表'!d"&amp;$G$1)</f>
        <v>40</v>
      </c>
      <c r="M47" s="1605" t="str">
        <f>IF(ISNUMBER(FIND("住宅",C1)),"住宅","非住宅")</f>
        <v>非住宅</v>
      </c>
      <c r="O47" s="2421" t="s">
        <v>2379</v>
      </c>
      <c r="P47" s="2422" t="s">
        <v>2380</v>
      </c>
      <c r="Q47" s="2423" t="s">
        <v>2381</v>
      </c>
      <c r="R47" s="2422" t="s">
        <v>2382</v>
      </c>
    </row>
    <row r="48" spans="1:18" s="2061" customFormat="1" ht="18" customHeight="1" thickBot="1">
      <c r="A48" s="2669" t="s">
        <v>2543</v>
      </c>
      <c r="B48" s="2670" t="s">
        <v>2544</v>
      </c>
      <c r="C48" s="2376">
        <f ca="1">ROUND(F48*F50*F49*(1-F51)/10000,0)</f>
        <v>0</v>
      </c>
      <c r="D48" s="2377" t="s">
        <v>636</v>
      </c>
      <c r="E48" s="2378" t="s">
        <v>2299</v>
      </c>
      <c r="F48" s="2379"/>
      <c r="G48" s="2092"/>
      <c r="I48" s="2385" t="s">
        <v>2348</v>
      </c>
      <c r="J48" s="2392" t="s">
        <v>2354</v>
      </c>
      <c r="K48" s="2393" t="s">
        <v>2355</v>
      </c>
      <c r="L48" s="2394">
        <f ca="1">INDIRECT("'数据-取费表'!f"&amp;$G$1)</f>
        <v>39.79</v>
      </c>
      <c r="O48" s="2424" t="s">
        <v>2383</v>
      </c>
      <c r="P48" s="2425" t="s">
        <v>2409</v>
      </c>
      <c r="Q48" s="2426">
        <f ca="1">C40+J29</f>
        <v>48582</v>
      </c>
      <c r="R48" s="2425" t="s">
        <v>2384</v>
      </c>
    </row>
    <row r="49" spans="1:18" s="2061" customFormat="1" ht="18" customHeight="1" thickBot="1">
      <c r="A49" s="786"/>
      <c r="B49" s="787"/>
      <c r="C49" s="788"/>
      <c r="D49" s="789"/>
      <c r="E49" s="784" t="s">
        <v>1740</v>
      </c>
      <c r="F49" s="785">
        <f ca="1">F7</f>
        <v>53666.67</v>
      </c>
      <c r="G49" s="2092"/>
      <c r="H49" s="2095"/>
      <c r="I49" s="2385" t="s">
        <v>2349</v>
      </c>
      <c r="J49" s="2395">
        <v>2017</v>
      </c>
      <c r="K49" s="2396" t="s">
        <v>2356</v>
      </c>
      <c r="L49" s="2397"/>
      <c r="O49" s="2424" t="s">
        <v>2385</v>
      </c>
      <c r="P49" s="2425" t="s">
        <v>2410</v>
      </c>
      <c r="Q49" s="2426" t="str">
        <f ca="1">J60</f>
        <v>0</v>
      </c>
      <c r="R49" s="2425" t="s">
        <v>2386</v>
      </c>
    </row>
    <row r="50" spans="1:18" s="2061" customFormat="1" ht="18" customHeight="1" thickBot="1">
      <c r="A50" s="786"/>
      <c r="B50" s="787"/>
      <c r="C50" s="788"/>
      <c r="D50" s="789"/>
      <c r="E50" s="784" t="s">
        <v>1741</v>
      </c>
      <c r="F50" s="785">
        <f ca="1">F8</f>
        <v>365</v>
      </c>
      <c r="G50" s="2097"/>
      <c r="H50" s="2095"/>
      <c r="I50" s="2385" t="s">
        <v>2350</v>
      </c>
      <c r="J50" s="2398">
        <f>SUMPRODUCT((I63:I65=J47)*(J62:L62=J48)*(J63:L65))</f>
        <v>60</v>
      </c>
      <c r="K50" s="2396" t="s">
        <v>2357</v>
      </c>
      <c r="L50" s="2397"/>
      <c r="O50" s="2427" t="s">
        <v>2387</v>
      </c>
      <c r="P50" s="2425" t="s">
        <v>2411</v>
      </c>
      <c r="Q50" s="2426">
        <f ca="1">C29</f>
        <v>29225</v>
      </c>
      <c r="R50" s="2425" t="s">
        <v>2384</v>
      </c>
    </row>
    <row r="51" spans="1:18" s="2061" customFormat="1" ht="18" customHeight="1" thickBot="1">
      <c r="A51" s="786"/>
      <c r="B51" s="787"/>
      <c r="C51" s="788"/>
      <c r="D51" s="789"/>
      <c r="E51" s="784" t="s">
        <v>640</v>
      </c>
      <c r="F51" s="2373"/>
      <c r="H51" s="2095"/>
      <c r="I51" s="2386" t="s">
        <v>2351</v>
      </c>
      <c r="J51" s="2399">
        <f>IF(J49="",J50,J49+J50-YEAR('数据-取费表'!B2))</f>
        <v>60</v>
      </c>
      <c r="K51" s="2385" t="s">
        <v>2358</v>
      </c>
      <c r="L51" s="2400">
        <f ca="1">ROUND(-PV(INDIRECT("'数据-取费表'!h"&amp;$G$1),L48,(C39-C13*J36),0),0)</f>
        <v>-71</v>
      </c>
      <c r="O51" s="2427" t="s">
        <v>2388</v>
      </c>
      <c r="P51" s="2425" t="s">
        <v>2389</v>
      </c>
      <c r="Q51" s="2428" t="e">
        <f ca="1">J58</f>
        <v>#VALUE!</v>
      </c>
      <c r="R51" s="2429"/>
    </row>
    <row r="52" spans="1:18" s="2061" customFormat="1" ht="18" customHeight="1" thickBot="1">
      <c r="A52" s="781" t="s">
        <v>2542</v>
      </c>
      <c r="B52" s="2520" t="s">
        <v>2464</v>
      </c>
      <c r="C52" s="799">
        <f ca="1">ROUND(IF(F52="押一",F48*F50*F49/12*F11,IF(F52="押二",F48*F50*F49/12*2*F11,IF(F52="押三",F48*F50*F49/12*3*F11,C53*F11)))/10000,0)</f>
        <v>0</v>
      </c>
      <c r="D52" s="2527" t="s">
        <v>2471</v>
      </c>
      <c r="E52" s="2524" t="s">
        <v>2469</v>
      </c>
      <c r="F52" s="2647"/>
      <c r="I52" s="2387" t="s">
        <v>2425</v>
      </c>
      <c r="J52" s="2401">
        <v>0.09</v>
      </c>
      <c r="K52" s="2387" t="s">
        <v>2424</v>
      </c>
      <c r="L52" s="2401"/>
      <c r="O52" s="2427" t="s">
        <v>2390</v>
      </c>
      <c r="P52" s="2425" t="s">
        <v>2391</v>
      </c>
      <c r="Q52" s="2428">
        <f>J52</f>
        <v>0.09</v>
      </c>
      <c r="R52" s="2429"/>
    </row>
    <row r="53" spans="1:18" s="2061" customFormat="1" ht="39.75" customHeight="1" thickBot="1">
      <c r="A53" s="786"/>
      <c r="B53" s="2521" t="s">
        <v>2579</v>
      </c>
      <c r="C53" s="2525"/>
      <c r="D53" s="2527"/>
      <c r="E53" s="2524"/>
      <c r="F53" s="800"/>
      <c r="I53" s="2388" t="s">
        <v>2352</v>
      </c>
      <c r="J53" s="2402">
        <f ca="1">IF(M47="住宅",J51,IF(D1="——",MIN(J51,L48),IF(D1="土地（套用方法）",MIN(J51,L48-'数据-取费表'!B20))))</f>
        <v>39.79</v>
      </c>
      <c r="K53" s="3440" t="s">
        <v>2979</v>
      </c>
      <c r="L53" s="3441"/>
      <c r="O53" s="2427" t="s">
        <v>2392</v>
      </c>
      <c r="P53" s="2425" t="s">
        <v>2393</v>
      </c>
      <c r="Q53" s="2426">
        <f ca="1">J53</f>
        <v>39.79</v>
      </c>
      <c r="R53" s="2425" t="s">
        <v>2394</v>
      </c>
    </row>
    <row r="54" spans="1:18" s="2061" customFormat="1" ht="18" customHeight="1" thickBot="1">
      <c r="A54" s="2563" t="s">
        <v>2473</v>
      </c>
      <c r="B54" s="2564" t="s">
        <v>2465</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2395</v>
      </c>
      <c r="P54" s="2425" t="s">
        <v>2412</v>
      </c>
      <c r="Q54" s="2426">
        <f ca="1">Q48+Q49</f>
        <v>48582</v>
      </c>
      <c r="R54" s="2429" t="s">
        <v>2396</v>
      </c>
    </row>
    <row r="55" spans="1:18" s="2061" customFormat="1" ht="18" customHeight="1" thickTop="1" thickBot="1">
      <c r="A55" s="797">
        <v>2</v>
      </c>
      <c r="B55" s="798" t="s">
        <v>644</v>
      </c>
      <c r="C55" s="799">
        <f ca="1">C13</f>
        <v>29225</v>
      </c>
      <c r="D55" s="795"/>
      <c r="E55" s="795"/>
      <c r="F55" s="800"/>
      <c r="I55" s="3131" t="s">
        <v>2359</v>
      </c>
      <c r="J55" s="3130" t="e">
        <f ca="1">ROUND(IF(J47="钢混",J57/J50,1-(1-2%)*(J50-J57)/J50),3)</f>
        <v>#VALUE!</v>
      </c>
      <c r="K55" s="2403" t="s">
        <v>2360</v>
      </c>
      <c r="L55" s="2404"/>
      <c r="O55" s="2430" t="s">
        <v>2415</v>
      </c>
      <c r="P55" s="1593"/>
      <c r="Q55" s="1605"/>
      <c r="R55" s="1593"/>
    </row>
    <row r="56" spans="1:18" s="2061" customFormat="1" ht="42.75" customHeight="1" thickBot="1">
      <c r="A56" s="1651"/>
      <c r="B56" s="2233" t="s">
        <v>2305</v>
      </c>
      <c r="C56" s="53">
        <f ca="1">C29</f>
        <v>29225</v>
      </c>
      <c r="D56" s="2666"/>
      <c r="E56" s="784"/>
      <c r="F56" s="809"/>
      <c r="I56" s="2405" t="s">
        <v>2361</v>
      </c>
      <c r="J56" s="3154" t="s">
        <v>1679</v>
      </c>
      <c r="K56" s="2385" t="s">
        <v>2366</v>
      </c>
      <c r="L56" s="2394" t="str">
        <f ca="1">IF(L48&lt;J51,"——",L48-J51)</f>
        <v>——</v>
      </c>
      <c r="O56" s="2421" t="s">
        <v>2379</v>
      </c>
      <c r="P56" s="2422" t="s">
        <v>2380</v>
      </c>
      <c r="Q56" s="2423" t="s">
        <v>2381</v>
      </c>
      <c r="R56" s="2422" t="s">
        <v>2382</v>
      </c>
    </row>
    <row r="57" spans="1:18" s="2061" customFormat="1" ht="28.5" customHeight="1" thickBot="1">
      <c r="A57" s="797" t="s">
        <v>1749</v>
      </c>
      <c r="B57" s="798" t="s">
        <v>651</v>
      </c>
      <c r="C57" s="799">
        <f ca="1">ROUND(C58+C63+C64+C65,0)</f>
        <v>756</v>
      </c>
      <c r="D57" s="26" t="s">
        <v>1751</v>
      </c>
      <c r="E57" s="2667"/>
      <c r="F57" s="56"/>
      <c r="I57" s="2406" t="s">
        <v>2362</v>
      </c>
      <c r="J57" s="2408" t="str">
        <f ca="1">IF(OR(M47="住宅",J51&lt;L48,J56="是"),"——",J51-L48)</f>
        <v>——</v>
      </c>
      <c r="K57" s="2385" t="s">
        <v>2367</v>
      </c>
      <c r="L57" s="2394" t="str">
        <f ca="1">IF(L48&lt;J51,"——",IF(L55="比较法",L49,IF(L55="基准地价",L50,L51)))</f>
        <v>——</v>
      </c>
      <c r="O57" s="2424" t="s">
        <v>2383</v>
      </c>
      <c r="P57" s="2425" t="s">
        <v>2413</v>
      </c>
      <c r="Q57" s="2426">
        <f ca="1">C40+J29</f>
        <v>48582</v>
      </c>
      <c r="R57" s="2425" t="s">
        <v>2384</v>
      </c>
    </row>
    <row r="58" spans="1:18" s="2061" customFormat="1" ht="28.5" customHeight="1" thickBot="1">
      <c r="A58" s="1650" t="s">
        <v>1825</v>
      </c>
      <c r="B58" s="784" t="s">
        <v>656</v>
      </c>
      <c r="C58" s="53">
        <f ca="1">ROUND(IF(项目基本情况!B11="自然人",C47*F58,C59+C60+C61),1)</f>
        <v>259.39999999999998</v>
      </c>
      <c r="D58" s="2665" t="s">
        <v>657</v>
      </c>
      <c r="E58" s="2666" t="s">
        <v>690</v>
      </c>
      <c r="F58" s="810" t="str">
        <f ca="1">IF(项目基本情况!B11="企业","",IF(INDIRECT("'数据-取费表'!c"&amp;$G$1)="住宅",5%,IF(F48*F49*F50/12/(1+'数据-取费表'!C42)&gt;20000,12%,7%)))</f>
        <v/>
      </c>
      <c r="I58" s="2406" t="s">
        <v>2363</v>
      </c>
      <c r="J58" s="3132" t="e">
        <f ca="1">IF(J55&lt;0.4,0.4,J55)</f>
        <v>#VALUE!</v>
      </c>
      <c r="K58" s="2385" t="s">
        <v>2368</v>
      </c>
      <c r="L58" s="2394" t="e">
        <f ca="1">ROUND(POWER(1+L52,L47-L48)*(POWER(1+L52,L48)-1)/(POWER(1+L52,L47)-1),4)</f>
        <v>#DIV/0!</v>
      </c>
      <c r="O58" s="2424" t="s">
        <v>2385</v>
      </c>
      <c r="P58" s="2425" t="s">
        <v>2416</v>
      </c>
      <c r="Q58" s="2426">
        <f ca="1">L60</f>
        <v>0</v>
      </c>
      <c r="R58" s="2429" t="s">
        <v>2418</v>
      </c>
    </row>
    <row r="59" spans="1:18" s="2061" customFormat="1" ht="28.5" customHeight="1" thickBot="1">
      <c r="A59" s="1649" t="s">
        <v>1832</v>
      </c>
      <c r="B59" s="784" t="s">
        <v>660</v>
      </c>
      <c r="C59" s="53">
        <f ca="1">ROUND(C47*F59/1.05,1)</f>
        <v>0</v>
      </c>
      <c r="D59" s="2666" t="s">
        <v>1757</v>
      </c>
      <c r="E59" s="784" t="s">
        <v>1748</v>
      </c>
      <c r="F59" s="809">
        <f t="shared" ref="F59:F65" si="0">F32</f>
        <v>5.6000000000000001E-2</v>
      </c>
      <c r="I59" s="2406" t="s">
        <v>2364</v>
      </c>
      <c r="J59" s="2408" t="str">
        <f ca="1">IF(OR(M47="住宅",J51&lt;L48,J56="是"),"——",ROUND(C29*J58,0))</f>
        <v>——</v>
      </c>
      <c r="K59" s="3161" t="str">
        <f>IF(D1="——","建筑物剩余耐用年限下的土地年期修正系数Kn","建设期及建筑物耐用年限下的土地年期修正系数Kn")</f>
        <v>建筑物剩余耐用年限下的土地年期修正系数Kn</v>
      </c>
      <c r="L59" s="2394" t="e">
        <f ca="1">ROUND(IF(D1="土地（套用方法）",POWER(1+L52,L47-(J51+'数据-取费表'!B20))*(POWER(1+L52,(J51+'数据-取费表'!B20))-1)/(POWER(1+L52,L47)-1),POWER(1+L52,L47-J51)*(POWER(1+L52,J51)-1)/(POWER(1+L52,L47)-1)),4)</f>
        <v>#DIV/0!</v>
      </c>
      <c r="O59" s="2427" t="s">
        <v>2387</v>
      </c>
      <c r="P59" s="2425" t="s">
        <v>2417</v>
      </c>
      <c r="Q59" s="2426">
        <f>IF(L55="比较法",L49,IF(L55="基准地价",L50,0))</f>
        <v>0</v>
      </c>
      <c r="R59" s="2425" t="s">
        <v>2384</v>
      </c>
    </row>
    <row r="60" spans="1:18" s="2061" customFormat="1" ht="18" customHeight="1" thickBot="1">
      <c r="A60" s="1649" t="s">
        <v>1833</v>
      </c>
      <c r="B60" s="784" t="s">
        <v>1759</v>
      </c>
      <c r="C60" s="53">
        <f ca="1">IF(D60="按租金收入计税",ROUND(C47*F60,1),IF(D60="按房产原值计税",ROUND(C56*F60*0.7,1),INDIRECT("'数据-取费表'!Aj"&amp;$G$1)))</f>
        <v>245.5</v>
      </c>
      <c r="D60" s="2666" t="str">
        <f>D33</f>
        <v>按房产原值计税</v>
      </c>
      <c r="E60" s="784" t="s">
        <v>1748</v>
      </c>
      <c r="F60" s="809">
        <f t="shared" si="0"/>
        <v>1.2E-2</v>
      </c>
      <c r="I60" s="2407" t="s">
        <v>2365</v>
      </c>
      <c r="J60" s="2409" t="str">
        <f ca="1">IF(OR(M47="住宅",J51&lt;L48,J56="是"),"0",ROUND(J59/(1+J52)^J53,0))</f>
        <v>0</v>
      </c>
      <c r="K60" s="2410" t="s">
        <v>2370</v>
      </c>
      <c r="L60" s="2409">
        <f ca="1">IF(OR(M47="住宅",L48&lt;J51),0,ROUND(L57*(L58/L59-1),0))</f>
        <v>0</v>
      </c>
      <c r="O60" s="2427" t="s">
        <v>2388</v>
      </c>
      <c r="P60" s="2425" t="s">
        <v>2397</v>
      </c>
      <c r="Q60" s="2428">
        <f>L52</f>
        <v>0</v>
      </c>
      <c r="R60" s="2429"/>
    </row>
    <row r="61" spans="1:18" s="2061" customFormat="1" ht="18" customHeight="1" thickBot="1">
      <c r="A61" s="1652" t="s">
        <v>1834</v>
      </c>
      <c r="B61" s="341" t="s">
        <v>668</v>
      </c>
      <c r="C61" s="54">
        <f ca="1">ROUND(F61*F62/10000,1)</f>
        <v>13.9</v>
      </c>
      <c r="D61" s="814" t="s">
        <v>669</v>
      </c>
      <c r="E61" s="784" t="s">
        <v>670</v>
      </c>
      <c r="F61" s="640">
        <f t="shared" si="0"/>
        <v>5</v>
      </c>
      <c r="K61" s="2088"/>
      <c r="O61" s="2427" t="s">
        <v>2390</v>
      </c>
      <c r="P61" s="2425" t="s">
        <v>2398</v>
      </c>
      <c r="Q61" s="2426" t="e">
        <f ca="1">L58</f>
        <v>#DIV/0!</v>
      </c>
      <c r="R61" s="2429" t="s">
        <v>2399</v>
      </c>
    </row>
    <row r="62" spans="1:18" s="2061" customFormat="1" ht="15.75" thickBot="1">
      <c r="A62" s="815"/>
      <c r="B62" s="793"/>
      <c r="C62" s="69"/>
      <c r="D62" s="816"/>
      <c r="E62" s="784" t="s">
        <v>674</v>
      </c>
      <c r="F62" s="785">
        <f t="shared" ca="1" si="0"/>
        <v>27851.409999999996</v>
      </c>
      <c r="I62" s="2411" t="s">
        <v>2371</v>
      </c>
      <c r="J62" s="2412" t="s">
        <v>2372</v>
      </c>
      <c r="K62" s="2412" t="s">
        <v>2373</v>
      </c>
      <c r="L62" s="2412" t="s">
        <v>2354</v>
      </c>
      <c r="M62" s="3133" t="s">
        <v>2954</v>
      </c>
      <c r="O62" s="2427" t="s">
        <v>2392</v>
      </c>
      <c r="P62" s="2425" t="str">
        <f>K59</f>
        <v>建筑物剩余耐用年限下的土地年期修正系数Kn</v>
      </c>
      <c r="Q62" s="2426" t="e">
        <f ca="1">L59</f>
        <v>#DIV/0!</v>
      </c>
      <c r="R62" s="2429" t="s">
        <v>2401</v>
      </c>
    </row>
    <row r="63" spans="1:18" s="2061" customFormat="1" ht="15.75" thickBot="1">
      <c r="A63" s="1650" t="s">
        <v>1890</v>
      </c>
      <c r="B63" s="784" t="s">
        <v>676</v>
      </c>
      <c r="C63" s="53">
        <f ca="1">ROUND(C56*F63,1)</f>
        <v>438.4</v>
      </c>
      <c r="D63" s="2666" t="s">
        <v>1804</v>
      </c>
      <c r="E63" s="784" t="s">
        <v>1748</v>
      </c>
      <c r="F63" s="817">
        <f t="shared" ca="1" si="0"/>
        <v>1.4999999999999999E-2</v>
      </c>
      <c r="I63" s="2411" t="s">
        <v>2374</v>
      </c>
      <c r="J63" s="2412">
        <v>70</v>
      </c>
      <c r="K63" s="2412">
        <v>50</v>
      </c>
      <c r="L63" s="2412">
        <v>80</v>
      </c>
      <c r="M63" s="3134">
        <v>0.02</v>
      </c>
      <c r="O63" s="2424" t="s">
        <v>2395</v>
      </c>
      <c r="P63" s="2425" t="s">
        <v>2412</v>
      </c>
      <c r="Q63" s="2426">
        <f ca="1">Q57+Q58</f>
        <v>48582</v>
      </c>
      <c r="R63" s="2429" t="s">
        <v>2396</v>
      </c>
    </row>
    <row r="64" spans="1:18" s="2061" customFormat="1" ht="16.5" thickBot="1">
      <c r="A64" s="1650" t="s">
        <v>1891</v>
      </c>
      <c r="B64" s="784" t="s">
        <v>679</v>
      </c>
      <c r="C64" s="53">
        <f ca="1">ROUND(C55*F64,1)</f>
        <v>58.5</v>
      </c>
      <c r="D64" s="2666" t="s">
        <v>680</v>
      </c>
      <c r="E64" s="784" t="s">
        <v>1748</v>
      </c>
      <c r="F64" s="818">
        <f t="shared" ca="1" si="0"/>
        <v>2E-3</v>
      </c>
      <c r="I64" s="2411" t="s">
        <v>2375</v>
      </c>
      <c r="J64" s="2412">
        <v>50</v>
      </c>
      <c r="K64" s="2412">
        <v>35</v>
      </c>
      <c r="L64" s="2412">
        <v>60</v>
      </c>
      <c r="M64" s="3135">
        <v>0</v>
      </c>
      <c r="O64" s="2430" t="s">
        <v>2419</v>
      </c>
      <c r="P64" s="1593"/>
      <c r="Q64" s="1605"/>
      <c r="R64" s="1593"/>
    </row>
    <row r="65" spans="1:18" s="2061" customFormat="1" ht="15.75" thickBot="1">
      <c r="A65" s="1650" t="s">
        <v>1892</v>
      </c>
      <c r="B65" s="784" t="s">
        <v>666</v>
      </c>
      <c r="C65" s="53">
        <f ca="1">ROUND(C47*F65,1)</f>
        <v>0</v>
      </c>
      <c r="D65" s="2666" t="s">
        <v>683</v>
      </c>
      <c r="E65" s="784" t="s">
        <v>1748</v>
      </c>
      <c r="F65" s="794">
        <f t="shared" ca="1" si="0"/>
        <v>0.03</v>
      </c>
      <c r="I65" s="2411" t="s">
        <v>2376</v>
      </c>
      <c r="J65" s="2412">
        <v>40</v>
      </c>
      <c r="K65" s="2412">
        <v>30</v>
      </c>
      <c r="L65" s="2412">
        <v>50</v>
      </c>
      <c r="M65" s="3134">
        <v>0.02</v>
      </c>
      <c r="O65" s="2421" t="s">
        <v>2379</v>
      </c>
      <c r="P65" s="2422" t="s">
        <v>2380</v>
      </c>
      <c r="Q65" s="2423" t="s">
        <v>2381</v>
      </c>
      <c r="R65" s="2422" t="s">
        <v>2382</v>
      </c>
    </row>
    <row r="66" spans="1:18" s="2061" customFormat="1" ht="24.75" thickBot="1">
      <c r="A66" s="797" t="s">
        <v>1777</v>
      </c>
      <c r="B66" s="3039" t="s">
        <v>2830</v>
      </c>
      <c r="C66" s="799">
        <f ca="1">C47-C57</f>
        <v>-756</v>
      </c>
      <c r="D66" s="2665" t="s">
        <v>700</v>
      </c>
      <c r="E66" s="2664"/>
      <c r="F66" s="820"/>
      <c r="K66" s="2088"/>
      <c r="O66" s="2424" t="s">
        <v>2383</v>
      </c>
      <c r="P66" s="2425" t="s">
        <v>2413</v>
      </c>
      <c r="Q66" s="2426">
        <f ca="1">C40+J29</f>
        <v>48582</v>
      </c>
      <c r="R66" s="2425" t="s">
        <v>2384</v>
      </c>
    </row>
    <row r="67" spans="1:18" s="2061" customFormat="1" ht="20.25" thickBot="1">
      <c r="A67" s="781" t="s">
        <v>1781</v>
      </c>
      <c r="B67" s="2234" t="s">
        <v>2304</v>
      </c>
      <c r="C67" s="783">
        <f ca="1">ROUND(C66*(1-((1+F69)/(1+F67))^F68)/(F67-F69),0)</f>
        <v>-11360</v>
      </c>
      <c r="D67" s="814" t="s">
        <v>704</v>
      </c>
      <c r="E67" s="784" t="s">
        <v>705</v>
      </c>
      <c r="F67" s="794">
        <f ca="1">F40</f>
        <v>0.06</v>
      </c>
      <c r="K67" s="2088"/>
      <c r="O67" s="2424" t="s">
        <v>2385</v>
      </c>
      <c r="P67" s="2425" t="s">
        <v>2416</v>
      </c>
      <c r="Q67" s="2426">
        <f ca="1">L60</f>
        <v>0</v>
      </c>
      <c r="R67" s="2429" t="s">
        <v>2418</v>
      </c>
    </row>
    <row r="68" spans="1:18" ht="21.75" thickBot="1">
      <c r="A68" s="786"/>
      <c r="B68" s="787"/>
      <c r="C68" s="788"/>
      <c r="D68" s="821" t="s">
        <v>1809</v>
      </c>
      <c r="E68" s="784" t="s">
        <v>1785</v>
      </c>
      <c r="F68" s="822">
        <f ca="1">F41</f>
        <v>39.79</v>
      </c>
      <c r="O68" s="2427" t="s">
        <v>2387</v>
      </c>
      <c r="P68" s="2425" t="s">
        <v>2417</v>
      </c>
      <c r="Q68" s="2431">
        <f ca="1">L51</f>
        <v>-71</v>
      </c>
      <c r="R68" s="2432" t="s">
        <v>2420</v>
      </c>
    </row>
    <row r="69" spans="1:18" ht="20.25" thickBot="1">
      <c r="A69" s="790"/>
      <c r="B69" s="791"/>
      <c r="C69" s="792"/>
      <c r="D69" s="816"/>
      <c r="E69" s="784" t="s">
        <v>710</v>
      </c>
      <c r="F69" s="2373"/>
      <c r="O69" s="2427" t="s">
        <v>2388</v>
      </c>
      <c r="P69" s="2433" t="s">
        <v>2402</v>
      </c>
      <c r="Q69" s="2426">
        <f ca="1">ROUND(Q70-Q71*Q72,0)</f>
        <v>-4</v>
      </c>
      <c r="R69" s="2429"/>
    </row>
    <row r="70" spans="1:18" ht="15.75" thickBot="1">
      <c r="A70" s="823" t="s">
        <v>1788</v>
      </c>
      <c r="B70" s="824" t="s">
        <v>1811</v>
      </c>
      <c r="C70" s="825">
        <f ca="1">ROUND(C67*10000/F70,0)</f>
        <v>-1970</v>
      </c>
      <c r="D70" s="826" t="s">
        <v>1812</v>
      </c>
      <c r="E70" s="827" t="s">
        <v>1813</v>
      </c>
      <c r="F70" s="828">
        <f ca="1">F43</f>
        <v>57666.67</v>
      </c>
      <c r="O70" s="2427" t="s">
        <v>2403</v>
      </c>
      <c r="P70" s="2433" t="s">
        <v>2404</v>
      </c>
      <c r="Q70" s="2426">
        <f ca="1">C39</f>
        <v>2480</v>
      </c>
      <c r="R70" s="2425" t="s">
        <v>2384</v>
      </c>
    </row>
    <row r="71" spans="1:18" ht="15.75" thickBot="1">
      <c r="O71" s="2427" t="s">
        <v>2405</v>
      </c>
      <c r="P71" s="2433" t="s">
        <v>2406</v>
      </c>
      <c r="Q71" s="2426">
        <f ca="1">C13</f>
        <v>29225</v>
      </c>
      <c r="R71" s="2425" t="s">
        <v>2384</v>
      </c>
    </row>
    <row r="72" spans="1:18" ht="15.75" thickBot="1">
      <c r="O72" s="2427" t="s">
        <v>2407</v>
      </c>
      <c r="P72" s="2433" t="s">
        <v>2408</v>
      </c>
      <c r="Q72" s="2428">
        <f ca="1">J36</f>
        <v>8.5000000000000006E-2</v>
      </c>
      <c r="R72" s="2429"/>
    </row>
    <row r="73" spans="1:18" ht="15.75" thickBot="1">
      <c r="O73" s="2427" t="s">
        <v>2390</v>
      </c>
      <c r="P73" s="2425" t="s">
        <v>2397</v>
      </c>
      <c r="Q73" s="2428">
        <f>L52</f>
        <v>0</v>
      </c>
      <c r="R73" s="2429"/>
    </row>
    <row r="74" spans="1:18" ht="20.25" thickBot="1">
      <c r="O74" s="2427" t="s">
        <v>2392</v>
      </c>
      <c r="P74" s="2425" t="s">
        <v>2398</v>
      </c>
      <c r="Q74" s="2426" t="e">
        <f ca="1">L58</f>
        <v>#DIV/0!</v>
      </c>
      <c r="R74" s="2429" t="s">
        <v>2399</v>
      </c>
    </row>
    <row r="75" spans="1:18" ht="15.75" thickBot="1">
      <c r="O75" s="2427" t="s">
        <v>2421</v>
      </c>
      <c r="P75" s="2425" t="str">
        <f>K59</f>
        <v>建筑物剩余耐用年限下的土地年期修正系数Kn</v>
      </c>
      <c r="Q75" s="2426" t="e">
        <f ca="1">L59</f>
        <v>#DIV/0!</v>
      </c>
      <c r="R75" s="2429" t="s">
        <v>2401</v>
      </c>
    </row>
    <row r="76" spans="1:18" ht="15.75" thickBot="1">
      <c r="O76" s="2424" t="s">
        <v>2395</v>
      </c>
      <c r="P76" s="2425" t="s">
        <v>2412</v>
      </c>
      <c r="Q76" s="2426">
        <f ca="1">Q66+Q67</f>
        <v>48582</v>
      </c>
      <c r="R76" s="2429"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8" t="s">
        <v>2477</v>
      </c>
      <c r="B1" s="3459"/>
      <c r="C1" s="3460"/>
      <c r="D1" s="3461">
        <f>SUM(I10,I15,I20,I21,I23)</f>
        <v>0</v>
      </c>
      <c r="E1" s="3461"/>
      <c r="F1" s="3461"/>
      <c r="G1" s="3461"/>
      <c r="H1" s="3461"/>
      <c r="I1" s="3462"/>
    </row>
    <row r="2" spans="1:9">
      <c r="A2" s="3448" t="s">
        <v>2478</v>
      </c>
      <c r="B2" s="3449" t="s">
        <v>2479</v>
      </c>
      <c r="C2" s="3449"/>
      <c r="D2" s="2533" t="s">
        <v>2480</v>
      </c>
      <c r="E2" s="2533" t="s">
        <v>2481</v>
      </c>
      <c r="F2" s="2533" t="s">
        <v>2482</v>
      </c>
      <c r="G2" s="2533" t="s">
        <v>2483</v>
      </c>
      <c r="H2" s="2533" t="s">
        <v>2484</v>
      </c>
      <c r="I2" s="2534" t="s">
        <v>2485</v>
      </c>
    </row>
    <row r="3" spans="1:9">
      <c r="A3" s="3448"/>
      <c r="B3" s="3449" t="s">
        <v>2486</v>
      </c>
      <c r="C3" s="3449"/>
      <c r="D3" s="2535"/>
      <c r="E3" s="2533"/>
      <c r="F3" s="2536"/>
      <c r="G3" s="2536"/>
      <c r="H3" s="2537"/>
      <c r="I3" s="2538">
        <f>ROUND(D3*E3*F3*G3*H3/10000,0)</f>
        <v>0</v>
      </c>
    </row>
    <row r="4" spans="1:9">
      <c r="A4" s="3448"/>
      <c r="B4" s="3449" t="s">
        <v>2487</v>
      </c>
      <c r="C4" s="3449"/>
      <c r="D4" s="2535"/>
      <c r="E4" s="2533"/>
      <c r="F4" s="2536"/>
      <c r="G4" s="2536"/>
      <c r="H4" s="2537"/>
      <c r="I4" s="2538">
        <f t="shared" ref="I4:I9" si="0">ROUND(D4*E4*F4*G4*H4/10000,0)</f>
        <v>0</v>
      </c>
    </row>
    <row r="5" spans="1:9">
      <c r="A5" s="3448"/>
      <c r="B5" s="3449" t="s">
        <v>2488</v>
      </c>
      <c r="C5" s="3449"/>
      <c r="D5" s="2535"/>
      <c r="E5" s="2533"/>
      <c r="F5" s="2536"/>
      <c r="G5" s="2536"/>
      <c r="H5" s="2537"/>
      <c r="I5" s="2538">
        <f t="shared" si="0"/>
        <v>0</v>
      </c>
    </row>
    <row r="6" spans="1:9">
      <c r="A6" s="3448"/>
      <c r="B6" s="3449" t="s">
        <v>2489</v>
      </c>
      <c r="C6" s="3449"/>
      <c r="D6" s="2535"/>
      <c r="E6" s="2533"/>
      <c r="F6" s="2536"/>
      <c r="G6" s="2536"/>
      <c r="H6" s="2537"/>
      <c r="I6" s="2538">
        <f t="shared" si="0"/>
        <v>0</v>
      </c>
    </row>
    <row r="7" spans="1:9">
      <c r="A7" s="3448"/>
      <c r="B7" s="3449" t="s">
        <v>2490</v>
      </c>
      <c r="C7" s="3449"/>
      <c r="D7" s="2535"/>
      <c r="E7" s="2533"/>
      <c r="F7" s="2536"/>
      <c r="G7" s="2536"/>
      <c r="H7" s="2537"/>
      <c r="I7" s="2538">
        <f t="shared" si="0"/>
        <v>0</v>
      </c>
    </row>
    <row r="8" spans="1:9">
      <c r="A8" s="3448"/>
      <c r="B8" s="3449" t="s">
        <v>2491</v>
      </c>
      <c r="C8" s="3449"/>
      <c r="D8" s="2535"/>
      <c r="E8" s="2533"/>
      <c r="F8" s="2536"/>
      <c r="G8" s="2536"/>
      <c r="H8" s="2537"/>
      <c r="I8" s="2538">
        <f t="shared" si="0"/>
        <v>0</v>
      </c>
    </row>
    <row r="9" spans="1:9">
      <c r="A9" s="3448"/>
      <c r="B9" s="3449" t="s">
        <v>2492</v>
      </c>
      <c r="C9" s="3449"/>
      <c r="D9" s="2535"/>
      <c r="E9" s="2533"/>
      <c r="F9" s="2536"/>
      <c r="G9" s="2536"/>
      <c r="H9" s="2537"/>
      <c r="I9" s="2538">
        <f t="shared" si="0"/>
        <v>0</v>
      </c>
    </row>
    <row r="10" spans="1:9">
      <c r="A10" s="3448"/>
      <c r="B10" s="3450" t="s">
        <v>2493</v>
      </c>
      <c r="C10" s="3450"/>
      <c r="D10" s="2539">
        <v>527</v>
      </c>
      <c r="E10" s="2539" t="e">
        <f>ROUND(D1*10000/D10/H9,0)</f>
        <v>#DIV/0!</v>
      </c>
      <c r="F10" s="2540"/>
      <c r="G10" s="2540"/>
      <c r="H10" s="2541"/>
      <c r="I10" s="2542">
        <f>SUM(I3:I9)</f>
        <v>0</v>
      </c>
    </row>
    <row r="11" spans="1:9" ht="14.25">
      <c r="A11" s="3448" t="s">
        <v>2494</v>
      </c>
      <c r="B11" s="3449" t="s">
        <v>2495</v>
      </c>
      <c r="C11" s="3449"/>
      <c r="D11" s="2535" t="s">
        <v>2496</v>
      </c>
      <c r="E11" s="2535" t="s">
        <v>2497</v>
      </c>
      <c r="F11" s="2536" t="s">
        <v>2498</v>
      </c>
      <c r="G11" s="2536" t="s">
        <v>2499</v>
      </c>
      <c r="H11" s="2543" t="s">
        <v>2500</v>
      </c>
      <c r="I11" s="2534" t="s">
        <v>2501</v>
      </c>
    </row>
    <row r="12" spans="1:9">
      <c r="A12" s="3448"/>
      <c r="B12" s="3449" t="s">
        <v>2502</v>
      </c>
      <c r="C12" s="3449"/>
      <c r="D12" s="2535"/>
      <c r="E12" s="2535"/>
      <c r="F12" s="2536"/>
      <c r="G12" s="2537"/>
      <c r="H12" s="2544"/>
      <c r="I12" s="2534">
        <f>ROUND(D12*E12*F12*G12/10000,0)</f>
        <v>0</v>
      </c>
    </row>
    <row r="13" spans="1:9">
      <c r="A13" s="3448"/>
      <c r="B13" s="3449" t="s">
        <v>2503</v>
      </c>
      <c r="C13" s="3449"/>
      <c r="D13" s="2535"/>
      <c r="E13" s="2535"/>
      <c r="F13" s="2536"/>
      <c r="G13" s="2537"/>
      <c r="H13" s="2544"/>
      <c r="I13" s="2534">
        <f>ROUND(D13*E13*F13*G13/10000,0)</f>
        <v>0</v>
      </c>
    </row>
    <row r="14" spans="1:9">
      <c r="A14" s="3448"/>
      <c r="B14" s="3449" t="s">
        <v>2504</v>
      </c>
      <c r="C14" s="3449"/>
      <c r="D14" s="2535"/>
      <c r="E14" s="2535"/>
      <c r="F14" s="2536"/>
      <c r="G14" s="2537"/>
      <c r="H14" s="2544"/>
      <c r="I14" s="2534">
        <f>ROUND(D14*E14*F14*G14/10000,0)</f>
        <v>0</v>
      </c>
    </row>
    <row r="15" spans="1:9">
      <c r="A15" s="3448"/>
      <c r="B15" s="3450" t="s">
        <v>2493</v>
      </c>
      <c r="C15" s="3450"/>
      <c r="D15" s="2539"/>
      <c r="E15" s="2539">
        <f>SUM(E12:E14)</f>
        <v>0</v>
      </c>
      <c r="F15" s="2540"/>
      <c r="G15" s="2537"/>
      <c r="H15" s="2544"/>
      <c r="I15" s="2545">
        <f>SUM(I12:I14)</f>
        <v>0</v>
      </c>
    </row>
    <row r="16" spans="1:9" ht="24">
      <c r="A16" s="3448" t="s">
        <v>2505</v>
      </c>
      <c r="B16" s="3449" t="s">
        <v>2506</v>
      </c>
      <c r="C16" s="3449"/>
      <c r="D16" s="2535" t="s">
        <v>2507</v>
      </c>
      <c r="E16" s="2546" t="s">
        <v>2508</v>
      </c>
      <c r="F16" s="2536" t="s">
        <v>2509</v>
      </c>
      <c r="G16" s="2537" t="s">
        <v>2499</v>
      </c>
      <c r="H16" s="2543" t="s">
        <v>2500</v>
      </c>
      <c r="I16" s="2534" t="s">
        <v>2501</v>
      </c>
    </row>
    <row r="17" spans="1:9" ht="14.25">
      <c r="A17" s="3448"/>
      <c r="B17" s="3449" t="s">
        <v>2510</v>
      </c>
      <c r="C17" s="3449"/>
      <c r="D17" s="2535"/>
      <c r="E17" s="2535"/>
      <c r="F17" s="2536"/>
      <c r="G17" s="2537"/>
      <c r="H17" s="2547"/>
      <c r="I17" s="2548">
        <f>ROUND(D17*E17*F17*G17/10000,0)</f>
        <v>0</v>
      </c>
    </row>
    <row r="18" spans="1:9" ht="14.25">
      <c r="A18" s="3448"/>
      <c r="B18" s="3449" t="s">
        <v>2511</v>
      </c>
      <c r="C18" s="3449"/>
      <c r="D18" s="2535"/>
      <c r="E18" s="2535"/>
      <c r="F18" s="2536"/>
      <c r="G18" s="2537"/>
      <c r="H18" s="2547"/>
      <c r="I18" s="2548">
        <f>ROUND(D18*E18*F18*G18/10000,0)</f>
        <v>0</v>
      </c>
    </row>
    <row r="19" spans="1:9" ht="14.25">
      <c r="A19" s="3448"/>
      <c r="B19" s="3449" t="s">
        <v>2512</v>
      </c>
      <c r="C19" s="3449"/>
      <c r="D19" s="2535"/>
      <c r="E19" s="2535"/>
      <c r="F19" s="2536"/>
      <c r="G19" s="2537"/>
      <c r="H19" s="2547"/>
      <c r="I19" s="2548">
        <f>ROUND(D19*E19*F19*G19/10000,0)</f>
        <v>0</v>
      </c>
    </row>
    <row r="20" spans="1:9">
      <c r="A20" s="3448"/>
      <c r="B20" s="3450" t="s">
        <v>2493</v>
      </c>
      <c r="C20" s="3450"/>
      <c r="D20" s="2539">
        <f>SUM(D17:D19)</f>
        <v>0</v>
      </c>
      <c r="E20" s="2539"/>
      <c r="F20" s="2540"/>
      <c r="G20" s="2537"/>
      <c r="H20" s="2544"/>
      <c r="I20" s="2545">
        <f>SUM(I17:I19)</f>
        <v>0</v>
      </c>
    </row>
    <row r="21" spans="1:9">
      <c r="A21" s="3448" t="s">
        <v>2513</v>
      </c>
      <c r="B21" s="3451"/>
      <c r="C21" s="3451"/>
      <c r="D21" s="3451"/>
      <c r="E21" s="3451"/>
      <c r="F21" s="3451"/>
      <c r="G21" s="3451"/>
      <c r="H21" s="2549">
        <v>0.1</v>
      </c>
      <c r="I21" s="2542">
        <f>ROUND(I10*H21,0)</f>
        <v>0</v>
      </c>
    </row>
    <row r="22" spans="1:9" ht="14.25">
      <c r="A22" s="3452" t="s">
        <v>2514</v>
      </c>
      <c r="B22" s="3453"/>
      <c r="C22" s="3454"/>
      <c r="D22" s="2550" t="s">
        <v>2515</v>
      </c>
      <c r="E22" s="2550" t="s">
        <v>2516</v>
      </c>
      <c r="F22" s="2551" t="s">
        <v>2517</v>
      </c>
      <c r="G22" s="2551" t="s">
        <v>2518</v>
      </c>
      <c r="H22" s="2543" t="s">
        <v>2519</v>
      </c>
      <c r="I22" s="2534" t="s">
        <v>2520</v>
      </c>
    </row>
    <row r="23" spans="1:9" ht="14.25" thickBot="1">
      <c r="A23" s="3455"/>
      <c r="B23" s="3456"/>
      <c r="C23" s="3457"/>
      <c r="D23" s="2552"/>
      <c r="E23" s="2552"/>
      <c r="F23" s="2552"/>
      <c r="G23" s="2553"/>
      <c r="H23" s="2554"/>
      <c r="I23" s="2555">
        <f>ROUND(E23*D23*F23*(1-G23)/10000,0)</f>
        <v>0</v>
      </c>
    </row>
    <row r="26" spans="1:9">
      <c r="A26" s="2556" t="s">
        <v>2521</v>
      </c>
      <c r="B26" s="2556"/>
      <c r="C26" s="2556"/>
      <c r="D26" s="2556"/>
      <c r="E26" s="3445">
        <f>C27-C30-C31-C32</f>
        <v>0</v>
      </c>
      <c r="F26" s="3445"/>
      <c r="G26" s="3445"/>
      <c r="H26" s="3072" t="s">
        <v>2851</v>
      </c>
    </row>
    <row r="27" spans="1:9">
      <c r="A27" s="2557">
        <v>1</v>
      </c>
      <c r="B27" s="2558" t="s">
        <v>2522</v>
      </c>
      <c r="C27" s="2558"/>
      <c r="D27" s="2558"/>
      <c r="E27" s="3446"/>
      <c r="F27" s="3446"/>
      <c r="G27" s="3446"/>
    </row>
    <row r="28" spans="1:9">
      <c r="A28" s="2559" t="s">
        <v>2523</v>
      </c>
      <c r="B28" s="2558" t="s">
        <v>2524</v>
      </c>
      <c r="C28" s="2558"/>
      <c r="D28" s="2558"/>
      <c r="E28" s="3446"/>
      <c r="F28" s="3446"/>
      <c r="G28" s="3446"/>
    </row>
    <row r="29" spans="1:9">
      <c r="A29" s="2559" t="s">
        <v>2525</v>
      </c>
      <c r="B29" s="2558" t="s">
        <v>2465</v>
      </c>
      <c r="C29" s="2558"/>
      <c r="D29" s="2558"/>
      <c r="E29" s="2558" t="s">
        <v>2526</v>
      </c>
      <c r="F29" s="2558"/>
      <c r="G29" s="2558"/>
    </row>
    <row r="30" spans="1:9">
      <c r="A30" s="2557">
        <v>2</v>
      </c>
      <c r="B30" s="2558" t="s">
        <v>2527</v>
      </c>
      <c r="C30" s="2558">
        <f>C27*D30</f>
        <v>0</v>
      </c>
      <c r="D30" s="2560">
        <v>0.2</v>
      </c>
      <c r="E30" s="2558" t="s">
        <v>2528</v>
      </c>
      <c r="F30" s="2558"/>
      <c r="G30" s="2558"/>
    </row>
    <row r="31" spans="1:9">
      <c r="A31" s="2557">
        <v>3</v>
      </c>
      <c r="B31" s="2558" t="s">
        <v>2529</v>
      </c>
      <c r="C31" s="2558">
        <f>C25*D31</f>
        <v>0</v>
      </c>
      <c r="D31" s="2560">
        <v>0.15</v>
      </c>
      <c r="E31" s="2558" t="s">
        <v>2530</v>
      </c>
      <c r="F31" s="2558"/>
      <c r="G31" s="2558"/>
    </row>
    <row r="32" spans="1:9">
      <c r="A32" s="2557">
        <v>4</v>
      </c>
      <c r="B32" s="2558" t="s">
        <v>2531</v>
      </c>
      <c r="C32" s="2558">
        <f>C27*D32</f>
        <v>0</v>
      </c>
      <c r="D32" s="2560">
        <v>0.05</v>
      </c>
      <c r="E32" s="3447"/>
      <c r="F32" s="3447"/>
      <c r="G32" s="3447"/>
    </row>
    <row r="33" spans="1:7" hidden="1">
      <c r="A33" s="3442" t="s">
        <v>2532</v>
      </c>
      <c r="B33" s="3443"/>
      <c r="C33" s="3443"/>
      <c r="D33" s="3444"/>
      <c r="E33" s="3445"/>
      <c r="F33" s="3445"/>
      <c r="G33" s="3445"/>
    </row>
    <row r="34" spans="1:7" hidden="1">
      <c r="A34" s="2561">
        <v>1</v>
      </c>
      <c r="B34" s="2558" t="s">
        <v>2533</v>
      </c>
      <c r="C34" s="2558"/>
      <c r="D34" s="2558"/>
      <c r="E34" s="3446"/>
      <c r="F34" s="3446"/>
      <c r="G34" s="3446"/>
    </row>
    <row r="35" spans="1:7" hidden="1">
      <c r="A35" s="2561">
        <v>2</v>
      </c>
      <c r="B35" s="2558" t="s">
        <v>2534</v>
      </c>
      <c r="C35" s="2558"/>
      <c r="D35" s="2558"/>
      <c r="E35" s="3446"/>
      <c r="F35" s="3446"/>
      <c r="G35" s="3446"/>
    </row>
    <row r="36" spans="1:7" hidden="1">
      <c r="A36" s="2561">
        <v>3</v>
      </c>
      <c r="B36" s="2558" t="s">
        <v>2535</v>
      </c>
      <c r="C36" s="2558"/>
      <c r="D36" s="2558"/>
      <c r="E36" s="3446"/>
      <c r="F36" s="3446"/>
      <c r="G36" s="3446"/>
    </row>
    <row r="37" spans="1:7" hidden="1">
      <c r="A37" s="2561">
        <v>4</v>
      </c>
      <c r="B37" s="2558" t="s">
        <v>2536</v>
      </c>
      <c r="C37" s="2558"/>
      <c r="D37" s="2558"/>
      <c r="E37" s="3446"/>
      <c r="F37" s="3446"/>
      <c r="G37" s="3446"/>
    </row>
    <row r="38" spans="1:7" hidden="1">
      <c r="A38" s="3442" t="s">
        <v>2537</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2444</v>
      </c>
      <c r="B8" s="2498" t="s">
        <v>2446</v>
      </c>
      <c r="C8" s="2499"/>
      <c r="D8" s="749"/>
      <c r="E8" s="750"/>
      <c r="F8" s="750"/>
      <c r="G8" s="751"/>
    </row>
    <row r="9" spans="1:25" s="2185" customFormat="1" ht="13.5" customHeight="1">
      <c r="A9" s="2495" t="s">
        <v>2445</v>
      </c>
      <c r="B9" s="2498" t="s">
        <v>2447</v>
      </c>
      <c r="C9" s="2499"/>
      <c r="D9" s="749"/>
      <c r="E9" s="750"/>
      <c r="F9" s="750"/>
      <c r="G9" s="751"/>
    </row>
    <row r="10" spans="1:25" s="2185" customFormat="1" ht="36">
      <c r="A10" s="2495">
        <v>2</v>
      </c>
      <c r="B10" s="748" t="s">
        <v>613</v>
      </c>
      <c r="C10" s="749">
        <f>C11+C14+C15</f>
        <v>0</v>
      </c>
      <c r="D10" s="760">
        <f>'数据-汇总表'!E3</f>
        <v>1839613.3399999999</v>
      </c>
      <c r="E10" s="749">
        <f>'数据-取费表'!B31</f>
        <v>200</v>
      </c>
      <c r="F10" s="761"/>
      <c r="G10" s="759" t="s">
        <v>614</v>
      </c>
    </row>
    <row r="11" spans="1:25" s="2185" customFormat="1" ht="13.5" customHeight="1">
      <c r="A11" s="2495" t="s">
        <v>2444</v>
      </c>
      <c r="B11" s="752" t="s">
        <v>610</v>
      </c>
      <c r="C11" s="753">
        <f>'数据-取费表'!B29</f>
        <v>0</v>
      </c>
      <c r="D11" s="754"/>
      <c r="E11" s="753"/>
      <c r="F11" s="755"/>
      <c r="G11" s="2504" t="s">
        <v>2455</v>
      </c>
    </row>
    <row r="12" spans="1:25" s="2185" customFormat="1" ht="13.5" customHeight="1">
      <c r="A12" s="2502" t="s">
        <v>2452</v>
      </c>
      <c r="B12" s="756" t="s">
        <v>611</v>
      </c>
      <c r="C12" s="757">
        <f>ROUND(D12*E12/10000,0)</f>
        <v>22094</v>
      </c>
      <c r="D12" s="758">
        <f>'数据-汇总表'!E5</f>
        <v>1299666.67</v>
      </c>
      <c r="E12" s="757">
        <f>'数据-取费表'!B27</f>
        <v>170</v>
      </c>
      <c r="F12" s="755"/>
      <c r="G12" s="759"/>
    </row>
    <row r="13" spans="1:25" s="2185" customFormat="1" ht="13.5" customHeight="1">
      <c r="A13" s="2502" t="s">
        <v>2451</v>
      </c>
      <c r="B13" s="756" t="s">
        <v>612</v>
      </c>
      <c r="C13" s="757">
        <f>ROUND(D13*E13/10000,0)</f>
        <v>9179</v>
      </c>
      <c r="D13" s="758">
        <f>'数据-汇总表'!E6</f>
        <v>539946.66999999993</v>
      </c>
      <c r="E13" s="757">
        <f>'数据-取费表'!B28</f>
        <v>170</v>
      </c>
      <c r="F13" s="755"/>
      <c r="G13" s="759"/>
    </row>
    <row r="14" spans="1:25" s="2185" customFormat="1" ht="13.5" customHeight="1">
      <c r="A14" s="2495" t="s">
        <v>2445</v>
      </c>
      <c r="B14" s="2501" t="s">
        <v>2448</v>
      </c>
      <c r="C14" s="2499"/>
      <c r="D14" s="758"/>
      <c r="E14" s="757"/>
      <c r="F14" s="2500"/>
      <c r="G14" s="2503" t="s">
        <v>2453</v>
      </c>
    </row>
    <row r="15" spans="1:25" s="2185" customFormat="1" ht="13.5" customHeight="1">
      <c r="A15" s="2495" t="s">
        <v>2450</v>
      </c>
      <c r="B15" s="2501" t="s">
        <v>2449</v>
      </c>
      <c r="C15" s="2499"/>
      <c r="D15" s="758"/>
      <c r="E15" s="757"/>
      <c r="F15" s="2500"/>
      <c r="G15" s="2503" t="s">
        <v>2454</v>
      </c>
    </row>
    <row r="16" spans="1:25" s="2186" customFormat="1" ht="48">
      <c r="A16" s="2495">
        <v>3</v>
      </c>
      <c r="B16" s="748" t="s">
        <v>615</v>
      </c>
      <c r="C16" s="2499"/>
      <c r="D16" s="760"/>
      <c r="E16" s="749"/>
      <c r="F16" s="761"/>
      <c r="G16" s="759" t="s">
        <v>2456</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0.2</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0.94899999999999995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c r="E1" s="2652"/>
      <c r="F1" s="283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68" t="s">
        <v>522</v>
      </c>
      <c r="D4" s="3369"/>
      <c r="E4" s="3393" t="s">
        <v>523</v>
      </c>
      <c r="F4" s="3394"/>
      <c r="G4" s="3368" t="s">
        <v>524</v>
      </c>
      <c r="H4" s="3369"/>
      <c r="I4" s="3368" t="s">
        <v>525</v>
      </c>
      <c r="J4" s="3369"/>
      <c r="K4" s="853" t="s">
        <v>526</v>
      </c>
      <c r="L4" s="2135"/>
      <c r="M4" s="2136"/>
      <c r="N4" s="2136"/>
      <c r="O4" s="2136"/>
      <c r="P4" s="3370"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79" t="s">
        <v>2939</v>
      </c>
      <c r="D5" s="3380"/>
      <c r="E5" s="3395" t="s">
        <v>2940</v>
      </c>
      <c r="F5" s="3396"/>
      <c r="G5" s="3379" t="s">
        <v>2941</v>
      </c>
      <c r="H5" s="3380"/>
      <c r="I5" s="3379" t="s">
        <v>2942</v>
      </c>
      <c r="J5" s="3380"/>
      <c r="K5" s="85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97" t="s">
        <v>2943</v>
      </c>
      <c r="D6" s="3378"/>
      <c r="E6" s="3398" t="s">
        <v>2943</v>
      </c>
      <c r="F6" s="3399"/>
      <c r="G6" s="3397" t="s">
        <v>2943</v>
      </c>
      <c r="H6" s="3378"/>
      <c r="I6" s="3397" t="s">
        <v>2943</v>
      </c>
      <c r="J6" s="3378"/>
      <c r="K6" s="85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40"/>
      <c r="B7" s="2947" t="s">
        <v>529</v>
      </c>
      <c r="C7" s="519">
        <f>'数据-取费表'!B2</f>
        <v>43077</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54" t="s">
        <v>530</v>
      </c>
      <c r="Q7" s="3363"/>
      <c r="R7" s="1569" t="s">
        <v>13</v>
      </c>
      <c r="S7" s="1570">
        <f t="shared" ref="S7:S15" si="0">F7</f>
        <v>0</v>
      </c>
      <c r="T7" s="1569" t="s">
        <v>13</v>
      </c>
      <c r="U7" s="1570">
        <f t="shared" ref="U7:U15" si="1">H7</f>
        <v>0</v>
      </c>
      <c r="V7" s="1569" t="s">
        <v>13</v>
      </c>
      <c r="W7" s="1570">
        <f t="shared" ref="W7:W15" si="2">J7</f>
        <v>0</v>
      </c>
      <c r="X7" s="1571"/>
      <c r="Y7" s="3354" t="s">
        <v>530</v>
      </c>
      <c r="Z7" s="3355"/>
      <c r="AA7" s="1572" t="e">
        <f>D7/F7</f>
        <v>#DIV/0!</v>
      </c>
      <c r="AB7" s="1572" t="e">
        <f>D7/H7</f>
        <v>#DIV/0!</v>
      </c>
      <c r="AC7" s="1572" t="e">
        <f>D7/J7</f>
        <v>#DIV/0!</v>
      </c>
    </row>
    <row r="8" spans="1:29" s="1220" customFormat="1" ht="15.75" thickBot="1">
      <c r="A8" s="2941"/>
      <c r="B8" s="2948"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54" t="s">
        <v>533</v>
      </c>
      <c r="Q8" s="3355"/>
      <c r="R8" s="1569" t="s">
        <v>13</v>
      </c>
      <c r="S8" s="1570">
        <f t="shared" si="0"/>
        <v>0</v>
      </c>
      <c r="T8" s="1569" t="s">
        <v>13</v>
      </c>
      <c r="U8" s="1570">
        <f t="shared" si="1"/>
        <v>0</v>
      </c>
      <c r="V8" s="1569" t="s">
        <v>13</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942"/>
      <c r="B9" s="2949" t="s">
        <v>2764</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43"/>
      <c r="B10" s="2948" t="s">
        <v>2765</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44"/>
      <c r="B11" s="2948" t="s">
        <v>2766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62"/>
      <c r="Q11" s="1151" t="str">
        <f t="shared" si="6"/>
        <v>容积率</v>
      </c>
      <c r="R11" s="1569" t="s">
        <v>11</v>
      </c>
      <c r="S11" s="1570" t="e">
        <f t="shared" si="0"/>
        <v>#N/A</v>
      </c>
      <c r="T11" s="1569" t="s">
        <v>11</v>
      </c>
      <c r="U11" s="1570" t="e">
        <f t="shared" si="1"/>
        <v>#N/A</v>
      </c>
      <c r="V11" s="1569" t="s">
        <v>11</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2"/>
      <c r="Q12" s="1151">
        <f t="shared" si="6"/>
        <v>111</v>
      </c>
      <c r="R12" s="1569" t="s">
        <v>11</v>
      </c>
      <c r="S12" s="1570">
        <f t="shared" si="0"/>
        <v>100</v>
      </c>
      <c r="T12" s="1569" t="s">
        <v>11</v>
      </c>
      <c r="U12" s="1570">
        <f t="shared" si="1"/>
        <v>100</v>
      </c>
      <c r="V12" s="1569" t="s">
        <v>11</v>
      </c>
      <c r="W12" s="1570">
        <f t="shared" si="2"/>
        <v>100</v>
      </c>
      <c r="X12" s="1571"/>
      <c r="Y12" s="3319"/>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2"/>
      <c r="Q13" s="1151">
        <f t="shared" si="6"/>
        <v>111</v>
      </c>
      <c r="R13" s="1569" t="s">
        <v>11</v>
      </c>
      <c r="S13" s="1570">
        <f t="shared" si="0"/>
        <v>100</v>
      </c>
      <c r="T13" s="1569" t="s">
        <v>11</v>
      </c>
      <c r="U13" s="1570">
        <f t="shared" si="1"/>
        <v>100</v>
      </c>
      <c r="V13" s="1569" t="s">
        <v>11</v>
      </c>
      <c r="W13" s="1570">
        <f t="shared" si="2"/>
        <v>100</v>
      </c>
      <c r="X13" s="1571"/>
      <c r="Y13" s="3319"/>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2"/>
      <c r="Q14" s="1151">
        <f t="shared" si="6"/>
        <v>111</v>
      </c>
      <c r="R14" s="1569" t="s">
        <v>11</v>
      </c>
      <c r="S14" s="1570">
        <f t="shared" si="0"/>
        <v>100</v>
      </c>
      <c r="T14" s="1569" t="s">
        <v>11</v>
      </c>
      <c r="U14" s="1570">
        <f t="shared" si="1"/>
        <v>100</v>
      </c>
      <c r="V14" s="1569" t="s">
        <v>11</v>
      </c>
      <c r="W14" s="1570">
        <f t="shared" si="2"/>
        <v>100</v>
      </c>
      <c r="X14" s="1571"/>
      <c r="Y14" s="3319"/>
      <c r="Z14" s="1150">
        <f t="shared" si="7"/>
        <v>111</v>
      </c>
      <c r="AA14" s="1572">
        <f t="shared" si="3"/>
        <v>1</v>
      </c>
      <c r="AB14" s="1572">
        <f t="shared" si="4"/>
        <v>1</v>
      </c>
      <c r="AC14" s="1572">
        <f t="shared" si="5"/>
        <v>1</v>
      </c>
    </row>
    <row r="15" spans="1:29" ht="99.75">
      <c r="A15" s="2938" t="s">
        <v>2762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64" t="s">
        <v>540</v>
      </c>
      <c r="Q15" s="1573" t="str">
        <f t="shared" si="6"/>
        <v>居住社区成熟度</v>
      </c>
      <c r="R15" s="1574" t="s">
        <v>11</v>
      </c>
      <c r="S15" s="1575">
        <f t="shared" si="0"/>
        <v>100</v>
      </c>
      <c r="T15" s="1574" t="s">
        <v>11</v>
      </c>
      <c r="U15" s="1575">
        <f t="shared" si="1"/>
        <v>100</v>
      </c>
      <c r="V15" s="1574" t="s">
        <v>11</v>
      </c>
      <c r="W15" s="1575">
        <f t="shared" si="2"/>
        <v>100</v>
      </c>
      <c r="X15" s="1568"/>
      <c r="Y15" s="336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65"/>
      <c r="Q17" s="1573" t="str">
        <f>B17</f>
        <v>交通便捷度</v>
      </c>
      <c r="R17" s="1574" t="s">
        <v>11</v>
      </c>
      <c r="S17" s="1575">
        <f>F17</f>
        <v>100</v>
      </c>
      <c r="T17" s="1574" t="s">
        <v>11</v>
      </c>
      <c r="U17" s="1575">
        <f>H17</f>
        <v>100</v>
      </c>
      <c r="V17" s="1574" t="s">
        <v>11</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65"/>
      <c r="Q18" s="1573"/>
      <c r="R18" s="1574"/>
      <c r="S18" s="1575"/>
      <c r="T18" s="1574"/>
      <c r="U18" s="1575"/>
      <c r="V18" s="1574"/>
      <c r="W18" s="1575"/>
      <c r="X18" s="1568"/>
      <c r="Y18" s="3365"/>
      <c r="Z18" s="1576"/>
      <c r="AA18" s="1577">
        <v>1</v>
      </c>
      <c r="AB18" s="1577">
        <v>1</v>
      </c>
      <c r="AC18" s="1577">
        <v>1</v>
      </c>
    </row>
    <row r="19" spans="1:29" ht="42.75">
      <c r="A19" s="532"/>
      <c r="B19" s="2626"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65"/>
      <c r="Q19" s="1573" t="str">
        <f>B19</f>
        <v>公共配套设施</v>
      </c>
      <c r="R19" s="1574" t="s">
        <v>11</v>
      </c>
      <c r="S19" s="1575">
        <f>F19</f>
        <v>100</v>
      </c>
      <c r="T19" s="1574" t="s">
        <v>11</v>
      </c>
      <c r="U19" s="1575">
        <f>H19</f>
        <v>100</v>
      </c>
      <c r="V19" s="1574" t="s">
        <v>11</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8.5">
      <c r="A21" s="532"/>
      <c r="B21" s="2619"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65"/>
      <c r="Q21" s="2605" t="str">
        <f>B21</f>
        <v>基础设施水平</v>
      </c>
      <c r="R21" s="1574" t="s">
        <v>11</v>
      </c>
      <c r="S21" s="1575">
        <f>F21</f>
        <v>100</v>
      </c>
      <c r="T21" s="1574" t="s">
        <v>11</v>
      </c>
      <c r="U21" s="1575">
        <f>H21</f>
        <v>100</v>
      </c>
      <c r="V21" s="1574" t="s">
        <v>11</v>
      </c>
      <c r="W21" s="1575">
        <f>J21</f>
        <v>100</v>
      </c>
      <c r="X21" s="2607"/>
      <c r="Y21" s="336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365"/>
      <c r="Q22" s="2605"/>
      <c r="R22" s="1574"/>
      <c r="S22" s="1575"/>
      <c r="T22" s="1574"/>
      <c r="U22" s="1575"/>
      <c r="V22" s="1574"/>
      <c r="W22" s="1575"/>
      <c r="X22" s="2607"/>
      <c r="Y22" s="3365"/>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65"/>
      <c r="Q23" s="1573" t="str">
        <f>B23</f>
        <v>自然及人文环境</v>
      </c>
      <c r="R23" s="1574" t="s">
        <v>11</v>
      </c>
      <c r="S23" s="1575">
        <f>F23</f>
        <v>100</v>
      </c>
      <c r="T23" s="1574" t="s">
        <v>11</v>
      </c>
      <c r="U23" s="1575">
        <f>H23</f>
        <v>100</v>
      </c>
      <c r="V23" s="1574" t="s">
        <v>11</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65"/>
      <c r="Q24" s="1573"/>
      <c r="R24" s="1574"/>
      <c r="S24" s="1575"/>
      <c r="T24" s="1574"/>
      <c r="U24" s="1575"/>
      <c r="V24" s="1574"/>
      <c r="W24" s="1575"/>
      <c r="X24" s="1568"/>
      <c r="Y24" s="3365"/>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65"/>
      <c r="Q25" s="1573" t="str">
        <f t="shared" ref="Q25:Q46" si="11">B25</f>
        <v>楼层-1</v>
      </c>
      <c r="R25" s="1574" t="s">
        <v>11</v>
      </c>
      <c r="S25" s="1575">
        <f>F25</f>
        <v>100</v>
      </c>
      <c r="T25" s="1574" t="s">
        <v>11</v>
      </c>
      <c r="U25" s="1575">
        <f>H25</f>
        <v>100</v>
      </c>
      <c r="V25" s="1574" t="s">
        <v>11</v>
      </c>
      <c r="W25" s="1575">
        <f>J25</f>
        <v>100</v>
      </c>
      <c r="X25" s="1568"/>
      <c r="Y25" s="336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65"/>
      <c r="Q26" s="1573" t="str">
        <f t="shared" si="11"/>
        <v>朝向</v>
      </c>
      <c r="R26" s="1574" t="s">
        <v>11</v>
      </c>
      <c r="S26" s="1575">
        <f>F26</f>
        <v>100</v>
      </c>
      <c r="T26" s="1574" t="s">
        <v>11</v>
      </c>
      <c r="U26" s="1575">
        <f>H26</f>
        <v>100</v>
      </c>
      <c r="V26" s="1574" t="s">
        <v>11</v>
      </c>
      <c r="W26" s="1575">
        <f>J26</f>
        <v>100</v>
      </c>
      <c r="X26" s="1568"/>
      <c r="Y26" s="336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65"/>
      <c r="Q27" s="1151" t="str">
        <f t="shared" si="11"/>
        <v>道路级别</v>
      </c>
      <c r="R27" s="1569" t="s">
        <v>11</v>
      </c>
      <c r="S27" s="1570">
        <f>F27</f>
        <v>100</v>
      </c>
      <c r="T27" s="1569" t="s">
        <v>11</v>
      </c>
      <c r="U27" s="1570">
        <f>H27</f>
        <v>100</v>
      </c>
      <c r="V27" s="1569" t="s">
        <v>11</v>
      </c>
      <c r="W27" s="1570">
        <f>J27</f>
        <v>100</v>
      </c>
      <c r="X27" s="1571"/>
      <c r="Y27" s="336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6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65"/>
      <c r="Q29" s="1573">
        <f t="shared" si="11"/>
        <v>111</v>
      </c>
      <c r="R29" s="1574" t="s">
        <v>11</v>
      </c>
      <c r="S29" s="1575">
        <f t="shared" si="12"/>
        <v>100</v>
      </c>
      <c r="T29" s="1574" t="s">
        <v>11</v>
      </c>
      <c r="U29" s="1575">
        <f t="shared" si="13"/>
        <v>100</v>
      </c>
      <c r="V29" s="1574" t="s">
        <v>11</v>
      </c>
      <c r="W29" s="1575">
        <f t="shared" si="14"/>
        <v>100</v>
      </c>
      <c r="X29" s="1568"/>
      <c r="Y29" s="336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65"/>
      <c r="Q30" s="1573">
        <f t="shared" si="11"/>
        <v>111</v>
      </c>
      <c r="R30" s="1574" t="s">
        <v>11</v>
      </c>
      <c r="S30" s="1575">
        <f t="shared" si="12"/>
        <v>100</v>
      </c>
      <c r="T30" s="1574" t="s">
        <v>11</v>
      </c>
      <c r="U30" s="1575">
        <f t="shared" si="13"/>
        <v>100</v>
      </c>
      <c r="V30" s="1574" t="s">
        <v>11</v>
      </c>
      <c r="W30" s="1575">
        <f t="shared" si="14"/>
        <v>100</v>
      </c>
      <c r="X30" s="1568"/>
      <c r="Y30" s="336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65"/>
      <c r="Q31" s="1573">
        <f t="shared" si="11"/>
        <v>111</v>
      </c>
      <c r="R31" s="1574" t="s">
        <v>11</v>
      </c>
      <c r="S31" s="1575">
        <f t="shared" si="12"/>
        <v>100</v>
      </c>
      <c r="T31" s="1574" t="s">
        <v>11</v>
      </c>
      <c r="U31" s="1575">
        <f t="shared" si="13"/>
        <v>100</v>
      </c>
      <c r="V31" s="1574" t="s">
        <v>11</v>
      </c>
      <c r="W31" s="1575">
        <f t="shared" si="14"/>
        <v>100</v>
      </c>
      <c r="X31" s="1568"/>
      <c r="Y31" s="3365"/>
      <c r="Z31" s="1576">
        <f t="shared" si="15"/>
        <v>111</v>
      </c>
      <c r="AA31" s="1577">
        <f t="shared" si="3"/>
        <v>1</v>
      </c>
      <c r="AB31" s="1577">
        <f t="shared" si="4"/>
        <v>1</v>
      </c>
      <c r="AC31" s="1577">
        <f t="shared" si="5"/>
        <v>1</v>
      </c>
    </row>
    <row r="32" spans="1:29" ht="15">
      <c r="A32" s="2935" t="s">
        <v>2763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66" t="s">
        <v>550</v>
      </c>
      <c r="Q32" s="1573" t="str">
        <f t="shared" si="11"/>
        <v>建筑类型</v>
      </c>
      <c r="R32" s="1574" t="s">
        <v>11</v>
      </c>
      <c r="S32" s="1575">
        <f t="shared" si="12"/>
        <v>100</v>
      </c>
      <c r="T32" s="1574" t="s">
        <v>11</v>
      </c>
      <c r="U32" s="1575">
        <f t="shared" si="13"/>
        <v>100</v>
      </c>
      <c r="V32" s="1574" t="s">
        <v>11</v>
      </c>
      <c r="W32" s="1575">
        <f t="shared" si="14"/>
        <v>100</v>
      </c>
      <c r="X32" s="1568"/>
      <c r="Y32" s="336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67"/>
      <c r="Q33" s="1606" t="str">
        <f t="shared" si="11"/>
        <v>项目建筑规模</v>
      </c>
      <c r="R33" s="1578" t="s">
        <v>11</v>
      </c>
      <c r="S33" s="1579" t="e">
        <f t="shared" si="12"/>
        <v>#N/A</v>
      </c>
      <c r="T33" s="1578" t="s">
        <v>11</v>
      </c>
      <c r="U33" s="1579" t="e">
        <f t="shared" si="13"/>
        <v>#N/A</v>
      </c>
      <c r="V33" s="1578" t="s">
        <v>11</v>
      </c>
      <c r="W33" s="1579" t="e">
        <f t="shared" si="14"/>
        <v>#N/A</v>
      </c>
      <c r="X33" s="1580"/>
      <c r="Y33" s="336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67"/>
      <c r="Q34" s="1573" t="str">
        <f t="shared" si="11"/>
        <v>建筑结构</v>
      </c>
      <c r="R34" s="1574" t="s">
        <v>11</v>
      </c>
      <c r="S34" s="1575">
        <f t="shared" si="12"/>
        <v>100</v>
      </c>
      <c r="T34" s="1574" t="s">
        <v>11</v>
      </c>
      <c r="U34" s="1575">
        <f t="shared" si="13"/>
        <v>100</v>
      </c>
      <c r="V34" s="1574" t="s">
        <v>11</v>
      </c>
      <c r="W34" s="1575">
        <f t="shared" si="14"/>
        <v>100</v>
      </c>
      <c r="X34" s="1568"/>
      <c r="Y34" s="336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67"/>
      <c r="Q35" s="1573" t="str">
        <f t="shared" si="11"/>
        <v>建筑品质</v>
      </c>
      <c r="R35" s="1574" t="s">
        <v>11</v>
      </c>
      <c r="S35" s="1575">
        <f t="shared" si="12"/>
        <v>100</v>
      </c>
      <c r="T35" s="1574" t="s">
        <v>11</v>
      </c>
      <c r="U35" s="1575">
        <f t="shared" si="13"/>
        <v>100</v>
      </c>
      <c r="V35" s="1574" t="s">
        <v>11</v>
      </c>
      <c r="W35" s="1575">
        <f t="shared" si="14"/>
        <v>100</v>
      </c>
      <c r="X35" s="1568"/>
      <c r="Y35" s="336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67"/>
      <c r="Q36" s="1573" t="str">
        <f t="shared" si="11"/>
        <v>公共部分装修</v>
      </c>
      <c r="R36" s="1574" t="s">
        <v>11</v>
      </c>
      <c r="S36" s="1575">
        <f t="shared" si="12"/>
        <v>100</v>
      </c>
      <c r="T36" s="1574" t="s">
        <v>11</v>
      </c>
      <c r="U36" s="1575">
        <f t="shared" si="13"/>
        <v>100</v>
      </c>
      <c r="V36" s="1574" t="s">
        <v>11</v>
      </c>
      <c r="W36" s="1575">
        <f t="shared" si="14"/>
        <v>100</v>
      </c>
      <c r="X36" s="1568"/>
      <c r="Y36" s="336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67"/>
      <c r="Q37" s="1151" t="str">
        <f t="shared" si="11"/>
        <v>成新度</v>
      </c>
      <c r="R37" s="1569" t="s">
        <v>11</v>
      </c>
      <c r="S37" s="1570" t="e">
        <f t="shared" si="12"/>
        <v>#N/A</v>
      </c>
      <c r="T37" s="1569" t="s">
        <v>11</v>
      </c>
      <c r="U37" s="1570" t="e">
        <f t="shared" si="13"/>
        <v>#N/A</v>
      </c>
      <c r="V37" s="1569" t="s">
        <v>11</v>
      </c>
      <c r="W37" s="1570" t="e">
        <f t="shared" si="14"/>
        <v>#N/A</v>
      </c>
      <c r="X37" s="1571"/>
      <c r="Y37" s="336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67" t="s">
        <v>550</v>
      </c>
      <c r="Q38" s="1573" t="str">
        <f t="shared" si="11"/>
        <v>物业管理</v>
      </c>
      <c r="R38" s="1574" t="s">
        <v>11</v>
      </c>
      <c r="S38" s="1575">
        <f t="shared" si="12"/>
        <v>100</v>
      </c>
      <c r="T38" s="1574" t="s">
        <v>11</v>
      </c>
      <c r="U38" s="1575">
        <f t="shared" si="13"/>
        <v>100</v>
      </c>
      <c r="V38" s="1574" t="s">
        <v>11</v>
      </c>
      <c r="W38" s="1575">
        <f t="shared" si="14"/>
        <v>100</v>
      </c>
      <c r="X38" s="1568"/>
      <c r="Y38" s="3367" t="s">
        <v>550</v>
      </c>
      <c r="Z38" s="1576" t="str">
        <f t="shared" si="15"/>
        <v>物业管理</v>
      </c>
      <c r="AA38" s="1577">
        <f t="shared" si="3"/>
        <v>1</v>
      </c>
      <c r="AB38" s="1577">
        <f t="shared" si="4"/>
        <v>1</v>
      </c>
      <c r="AC38" s="1577">
        <f t="shared" si="5"/>
        <v>1</v>
      </c>
    </row>
    <row r="39" spans="1:29" ht="15">
      <c r="A39" s="594"/>
      <c r="B39" s="1897" t="s">
        <v>2570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67"/>
      <c r="Q39" s="1573" t="str">
        <f t="shared" si="11"/>
        <v>市政基础设施</v>
      </c>
      <c r="R39" s="1574" t="s">
        <v>11</v>
      </c>
      <c r="S39" s="1575">
        <f t="shared" si="12"/>
        <v>100</v>
      </c>
      <c r="T39" s="1574" t="s">
        <v>11</v>
      </c>
      <c r="U39" s="1575">
        <f t="shared" si="13"/>
        <v>100</v>
      </c>
      <c r="V39" s="1574" t="s">
        <v>11</v>
      </c>
      <c r="W39" s="1575">
        <f t="shared" si="14"/>
        <v>100</v>
      </c>
      <c r="X39" s="1568"/>
      <c r="Y39" s="336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67"/>
      <c r="Q40" s="1573" t="str">
        <f t="shared" si="11"/>
        <v>房型</v>
      </c>
      <c r="R40" s="1574" t="s">
        <v>11</v>
      </c>
      <c r="S40" s="1575">
        <f t="shared" si="12"/>
        <v>100</v>
      </c>
      <c r="T40" s="1574" t="s">
        <v>11</v>
      </c>
      <c r="U40" s="1575">
        <f t="shared" si="13"/>
        <v>100</v>
      </c>
      <c r="V40" s="1574" t="s">
        <v>11</v>
      </c>
      <c r="W40" s="1575">
        <f t="shared" si="14"/>
        <v>100</v>
      </c>
      <c r="X40" s="1568"/>
      <c r="Y40" s="336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67"/>
      <c r="Q41" s="1606" t="str">
        <f t="shared" si="11"/>
        <v>单套/主力户型建筑面积</v>
      </c>
      <c r="R41" s="1578" t="s">
        <v>11</v>
      </c>
      <c r="S41" s="1579">
        <f t="shared" si="12"/>
        <v>100</v>
      </c>
      <c r="T41" s="1578" t="s">
        <v>11</v>
      </c>
      <c r="U41" s="1579">
        <f t="shared" si="13"/>
        <v>100</v>
      </c>
      <c r="V41" s="1578" t="s">
        <v>11</v>
      </c>
      <c r="W41" s="1579">
        <f t="shared" si="14"/>
        <v>100</v>
      </c>
      <c r="X41" s="1580"/>
      <c r="Y41" s="336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67"/>
      <c r="Q42" s="1573" t="str">
        <f t="shared" si="11"/>
        <v>内部装修</v>
      </c>
      <c r="R42" s="1574" t="s">
        <v>11</v>
      </c>
      <c r="S42" s="1575">
        <f t="shared" si="12"/>
        <v>100</v>
      </c>
      <c r="T42" s="1574" t="s">
        <v>11</v>
      </c>
      <c r="U42" s="1575">
        <f t="shared" si="13"/>
        <v>100</v>
      </c>
      <c r="V42" s="1574" t="s">
        <v>11</v>
      </c>
      <c r="W42" s="1575">
        <f t="shared" si="14"/>
        <v>100</v>
      </c>
      <c r="X42" s="1568"/>
      <c r="Y42" s="336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67"/>
      <c r="Q43" s="1573" t="str">
        <f t="shared" si="11"/>
        <v>内部装修维护情况</v>
      </c>
      <c r="R43" s="1574" t="s">
        <v>11</v>
      </c>
      <c r="S43" s="1575">
        <f t="shared" si="12"/>
        <v>100</v>
      </c>
      <c r="T43" s="1574" t="s">
        <v>11</v>
      </c>
      <c r="U43" s="1575">
        <f t="shared" si="13"/>
        <v>100</v>
      </c>
      <c r="V43" s="1574" t="s">
        <v>11</v>
      </c>
      <c r="W43" s="1575">
        <f t="shared" si="14"/>
        <v>100</v>
      </c>
      <c r="X43" s="1568"/>
      <c r="Y43" s="336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67"/>
      <c r="Q44" s="1151">
        <f t="shared" si="11"/>
        <v>111</v>
      </c>
      <c r="R44" s="1569" t="s">
        <v>11</v>
      </c>
      <c r="S44" s="1570">
        <f t="shared" si="12"/>
        <v>100</v>
      </c>
      <c r="T44" s="1569" t="s">
        <v>11</v>
      </c>
      <c r="U44" s="1570">
        <f t="shared" si="13"/>
        <v>100</v>
      </c>
      <c r="V44" s="1569" t="s">
        <v>11</v>
      </c>
      <c r="W44" s="1570">
        <f t="shared" si="14"/>
        <v>100</v>
      </c>
      <c r="X44" s="1571"/>
      <c r="Y44" s="336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67"/>
      <c r="Q45" s="1573">
        <f t="shared" si="11"/>
        <v>111</v>
      </c>
      <c r="R45" s="1574" t="s">
        <v>11</v>
      </c>
      <c r="S45" s="1575">
        <f t="shared" si="12"/>
        <v>100</v>
      </c>
      <c r="T45" s="1574" t="s">
        <v>11</v>
      </c>
      <c r="U45" s="1575">
        <f t="shared" si="13"/>
        <v>100</v>
      </c>
      <c r="V45" s="1574" t="s">
        <v>11</v>
      </c>
      <c r="W45" s="1575">
        <f t="shared" si="14"/>
        <v>100</v>
      </c>
      <c r="X45" s="1568"/>
      <c r="Y45" s="336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5"/>
      <c r="Q46" s="1573">
        <f t="shared" si="11"/>
        <v>111</v>
      </c>
      <c r="R46" s="1574" t="s">
        <v>10</v>
      </c>
      <c r="S46" s="1575">
        <f t="shared" si="12"/>
        <v>100</v>
      </c>
      <c r="T46" s="1574" t="s">
        <v>10</v>
      </c>
      <c r="U46" s="1575">
        <f t="shared" si="13"/>
        <v>100</v>
      </c>
      <c r="V46" s="1574" t="s">
        <v>10</v>
      </c>
      <c r="W46" s="1575">
        <f t="shared" si="14"/>
        <v>100</v>
      </c>
      <c r="X46" s="1568"/>
      <c r="Y46" s="3465"/>
      <c r="Z46" s="1576">
        <f t="shared" si="15"/>
        <v>111</v>
      </c>
      <c r="AA46" s="1577">
        <f t="shared" si="3"/>
        <v>1</v>
      </c>
      <c r="AB46" s="1577">
        <f t="shared" si="4"/>
        <v>1</v>
      </c>
      <c r="AC46" s="1577">
        <f t="shared" si="5"/>
        <v>1</v>
      </c>
    </row>
    <row r="47" spans="1:29" ht="15">
      <c r="A47" s="607" t="s">
        <v>736</v>
      </c>
      <c r="B47" s="887"/>
      <c r="C47" s="2653" t="s">
        <v>9</v>
      </c>
      <c r="D47" s="2654"/>
      <c r="E47" s="2655"/>
      <c r="F47" s="2656"/>
      <c r="G47" s="2657"/>
      <c r="H47" s="2658"/>
      <c r="I47" s="2655"/>
      <c r="J47" s="2658"/>
      <c r="K47" s="1607"/>
      <c r="L47" s="2146"/>
      <c r="M47" s="2147"/>
      <c r="N47" s="2136"/>
      <c r="O47" s="2147"/>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2768</v>
      </c>
      <c r="B48" s="888"/>
      <c r="C48" s="2659" t="e">
        <f>R49</f>
        <v>#DIV/0!</v>
      </c>
      <c r="D48" s="2660"/>
      <c r="E48" s="2661" t="e">
        <f>R48</f>
        <v>#DIV/0!</v>
      </c>
      <c r="F48" s="2661"/>
      <c r="G48" s="2659" t="e">
        <f>T48</f>
        <v>#DIV/0!</v>
      </c>
      <c r="H48" s="2660"/>
      <c r="I48" s="2661" t="e">
        <f>V48</f>
        <v>#DIV/0!</v>
      </c>
      <c r="J48" s="2660"/>
      <c r="K48" s="1608"/>
      <c r="L48" s="2146"/>
      <c r="M48" s="2147"/>
      <c r="N48" s="2147"/>
      <c r="O48" s="2147"/>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2945</v>
      </c>
      <c r="B49" s="622"/>
      <c r="C49" s="2662" t="e">
        <f>R49</f>
        <v>#DIV/0!</v>
      </c>
      <c r="D49" s="2662"/>
      <c r="E49" s="2662"/>
      <c r="F49" s="2662"/>
      <c r="G49" s="2662"/>
      <c r="H49" s="2662"/>
      <c r="I49" s="2662"/>
      <c r="J49" s="2662"/>
      <c r="K49" s="1609"/>
      <c r="L49" s="2146"/>
      <c r="M49" s="2147"/>
      <c r="N49" s="2147"/>
      <c r="O49" s="2147"/>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2563</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2564</v>
      </c>
      <c r="C82" s="2624" t="s">
        <v>2565</v>
      </c>
      <c r="D82" s="2624" t="s">
        <v>2566</v>
      </c>
      <c r="E82" s="2624" t="s">
        <v>2567</v>
      </c>
      <c r="F82" s="2624" t="s">
        <v>2568</v>
      </c>
      <c r="G82" s="2624" t="s">
        <v>2569</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68" t="s">
        <v>522</v>
      </c>
      <c r="D4" s="3369"/>
      <c r="E4" s="3393" t="s">
        <v>523</v>
      </c>
      <c r="F4" s="3394"/>
      <c r="G4" s="3368" t="s">
        <v>524</v>
      </c>
      <c r="H4" s="3369"/>
      <c r="I4" s="3368" t="s">
        <v>525</v>
      </c>
      <c r="J4" s="3369"/>
      <c r="K4" s="514" t="s">
        <v>526</v>
      </c>
      <c r="L4" s="2135"/>
      <c r="M4" s="2136"/>
      <c r="N4" s="2136"/>
      <c r="O4" s="2136"/>
      <c r="P4" s="3370" t="s">
        <v>527</v>
      </c>
      <c r="Q4" s="3371"/>
      <c r="R4" s="3356" t="s">
        <v>523</v>
      </c>
      <c r="S4" s="3357"/>
      <c r="T4" s="3356" t="s">
        <v>524</v>
      </c>
      <c r="U4" s="3357"/>
      <c r="V4" s="3376" t="s">
        <v>525</v>
      </c>
      <c r="W4" s="3376"/>
      <c r="X4" s="1568"/>
      <c r="Y4" s="3356" t="s">
        <v>527</v>
      </c>
      <c r="Z4" s="3357"/>
      <c r="AA4" s="3351" t="s">
        <v>523</v>
      </c>
      <c r="AB4" s="3376" t="s">
        <v>524</v>
      </c>
      <c r="AC4" s="3351" t="s">
        <v>525</v>
      </c>
    </row>
    <row r="5" spans="1:29" ht="15">
      <c r="A5" s="515"/>
      <c r="B5" s="516"/>
      <c r="C5" s="3379" t="s">
        <v>2939</v>
      </c>
      <c r="D5" s="3380"/>
      <c r="E5" s="3395" t="s">
        <v>2940</v>
      </c>
      <c r="F5" s="3396"/>
      <c r="G5" s="3379" t="s">
        <v>2941</v>
      </c>
      <c r="H5" s="3380"/>
      <c r="I5" s="3379" t="s">
        <v>2942</v>
      </c>
      <c r="J5" s="3380"/>
      <c r="K5" s="514"/>
      <c r="L5" s="2135"/>
      <c r="M5" s="2136"/>
      <c r="N5" s="2136"/>
      <c r="O5" s="2136"/>
      <c r="P5" s="3372"/>
      <c r="Q5" s="3373"/>
      <c r="R5" s="3358"/>
      <c r="S5" s="3359"/>
      <c r="T5" s="3358"/>
      <c r="U5" s="3359"/>
      <c r="V5" s="3376"/>
      <c r="W5" s="3376"/>
      <c r="X5" s="1568"/>
      <c r="Y5" s="3358"/>
      <c r="Z5" s="3359"/>
      <c r="AA5" s="3352"/>
      <c r="AB5" s="3376"/>
      <c r="AC5" s="3352"/>
    </row>
    <row r="6" spans="1:29" ht="15.75" thickBot="1">
      <c r="A6" s="517"/>
      <c r="B6" s="518"/>
      <c r="C6" s="3397" t="s">
        <v>2943</v>
      </c>
      <c r="D6" s="3378"/>
      <c r="E6" s="3398" t="s">
        <v>2943</v>
      </c>
      <c r="F6" s="3399"/>
      <c r="G6" s="3397" t="s">
        <v>2943</v>
      </c>
      <c r="H6" s="3378"/>
      <c r="I6" s="3397" t="s">
        <v>2943</v>
      </c>
      <c r="J6" s="3378"/>
      <c r="K6" s="514" t="s">
        <v>528</v>
      </c>
      <c r="L6" s="2135"/>
      <c r="M6" s="2136"/>
      <c r="N6" s="2136"/>
      <c r="O6" s="2136"/>
      <c r="P6" s="3374"/>
      <c r="Q6" s="3375"/>
      <c r="R6" s="3358"/>
      <c r="S6" s="3359"/>
      <c r="T6" s="3360"/>
      <c r="U6" s="3361"/>
      <c r="V6" s="3376"/>
      <c r="W6" s="3376"/>
      <c r="X6" s="1568"/>
      <c r="Y6" s="3360"/>
      <c r="Z6" s="3361"/>
      <c r="AA6" s="3353"/>
      <c r="AB6" s="3376"/>
      <c r="AC6" s="3353"/>
    </row>
    <row r="7" spans="1:29" s="1220" customFormat="1" ht="15.75" thickBot="1">
      <c r="A7" s="2940"/>
      <c r="B7" s="2947" t="s">
        <v>529</v>
      </c>
      <c r="C7" s="519">
        <f>'数据-取费表'!B2</f>
        <v>43077</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941"/>
      <c r="B8" s="2948"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942"/>
      <c r="B9" s="2949" t="s">
        <v>2764</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43"/>
      <c r="B10" s="2948" t="s">
        <v>2765</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44"/>
      <c r="B11" s="2948" t="s">
        <v>2766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938" t="s">
        <v>2762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64" t="s">
        <v>540</v>
      </c>
      <c r="Q15" s="1573" t="str">
        <f t="shared" si="6"/>
        <v>商业繁华度</v>
      </c>
      <c r="R15" s="1574" t="s">
        <v>8</v>
      </c>
      <c r="S15" s="1575">
        <f t="shared" si="0"/>
        <v>100</v>
      </c>
      <c r="T15" s="1574" t="s">
        <v>8</v>
      </c>
      <c r="U15" s="1575">
        <f t="shared" si="1"/>
        <v>100</v>
      </c>
      <c r="V15" s="1574" t="s">
        <v>8</v>
      </c>
      <c r="W15" s="1575">
        <f t="shared" si="2"/>
        <v>100</v>
      </c>
      <c r="X15" s="1568"/>
      <c r="Y15" s="336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5"/>
      <c r="Q18" s="1573"/>
      <c r="R18" s="1574"/>
      <c r="S18" s="1575"/>
      <c r="T18" s="1574"/>
      <c r="U18" s="1575"/>
      <c r="V18" s="1574"/>
      <c r="W18" s="1575"/>
      <c r="X18" s="1568"/>
      <c r="Y18" s="3365"/>
      <c r="Z18" s="1576"/>
      <c r="AA18" s="1577">
        <v>1</v>
      </c>
      <c r="AB18" s="1577">
        <v>1</v>
      </c>
      <c r="AC18" s="1577">
        <v>1</v>
      </c>
    </row>
    <row r="19" spans="1:29" ht="42.75">
      <c r="A19" s="532"/>
      <c r="B19" s="2626"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8.5">
      <c r="A21" s="532"/>
      <c r="B21" s="2619"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65"/>
      <c r="Q21" s="2605" t="str">
        <f>B21</f>
        <v>基础设施水平</v>
      </c>
      <c r="R21" s="1574" t="s">
        <v>8</v>
      </c>
      <c r="S21" s="1575">
        <f>F21</f>
        <v>100</v>
      </c>
      <c r="T21" s="1574" t="s">
        <v>8</v>
      </c>
      <c r="U21" s="1575">
        <f>H21</f>
        <v>100</v>
      </c>
      <c r="V21" s="1574" t="s">
        <v>8</v>
      </c>
      <c r="W21" s="1575">
        <f>J21</f>
        <v>100</v>
      </c>
      <c r="X21" s="2607"/>
      <c r="Y21" s="336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65"/>
      <c r="Q22" s="2605"/>
      <c r="R22" s="1574"/>
      <c r="S22" s="1575"/>
      <c r="T22" s="1574"/>
      <c r="U22" s="1575"/>
      <c r="V22" s="1574"/>
      <c r="W22" s="1575"/>
      <c r="X22" s="2607"/>
      <c r="Y22" s="3365"/>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65"/>
      <c r="Q23" s="1573" t="str">
        <f>B23</f>
        <v>自然及人文环境</v>
      </c>
      <c r="R23" s="1574" t="s">
        <v>8</v>
      </c>
      <c r="S23" s="1575">
        <f>F23</f>
        <v>100</v>
      </c>
      <c r="T23" s="1574" t="s">
        <v>8</v>
      </c>
      <c r="U23" s="1575">
        <f>H23</f>
        <v>100</v>
      </c>
      <c r="V23" s="1574" t="s">
        <v>8</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65"/>
      <c r="Q24" s="1573"/>
      <c r="R24" s="1574"/>
      <c r="S24" s="1575"/>
      <c r="T24" s="1574"/>
      <c r="U24" s="1575"/>
      <c r="V24" s="1574"/>
      <c r="W24" s="1575"/>
      <c r="X24" s="1568"/>
      <c r="Y24" s="336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65"/>
      <c r="Q25" s="1573" t="str">
        <f t="shared" ref="Q25:Q46" si="11">B25</f>
        <v>临街状况</v>
      </c>
      <c r="R25" s="1574" t="s">
        <v>8</v>
      </c>
      <c r="S25" s="1575">
        <f>F25</f>
        <v>100</v>
      </c>
      <c r="T25" s="1574" t="s">
        <v>8</v>
      </c>
      <c r="U25" s="1575">
        <f>H25</f>
        <v>100</v>
      </c>
      <c r="V25" s="1574" t="s">
        <v>8</v>
      </c>
      <c r="W25" s="1575">
        <f>J25</f>
        <v>100</v>
      </c>
      <c r="X25" s="1568"/>
      <c r="Y25" s="336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65"/>
      <c r="Q26" s="1573" t="str">
        <f t="shared" si="11"/>
        <v>平面位置/可视性</v>
      </c>
      <c r="R26" s="1574" t="s">
        <v>8</v>
      </c>
      <c r="S26" s="1575">
        <f>F26</f>
        <v>100</v>
      </c>
      <c r="T26" s="1574" t="s">
        <v>8</v>
      </c>
      <c r="U26" s="1575">
        <f>H26</f>
        <v>100</v>
      </c>
      <c r="V26" s="1574" t="s">
        <v>8</v>
      </c>
      <c r="W26" s="1575">
        <f>J26</f>
        <v>100</v>
      </c>
      <c r="X26" s="1568"/>
      <c r="Y26" s="336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65"/>
      <c r="Q27" s="1151" t="str">
        <f t="shared" si="11"/>
        <v>人流量</v>
      </c>
      <c r="R27" s="1569" t="s">
        <v>8</v>
      </c>
      <c r="S27" s="1570">
        <f>F27</f>
        <v>100</v>
      </c>
      <c r="T27" s="1569" t="s">
        <v>8</v>
      </c>
      <c r="U27" s="1570">
        <f>H27</f>
        <v>100</v>
      </c>
      <c r="V27" s="1569" t="s">
        <v>8</v>
      </c>
      <c r="W27" s="1570">
        <f>J27</f>
        <v>100</v>
      </c>
      <c r="X27" s="1571"/>
      <c r="Y27" s="336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6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65"/>
      <c r="Q29" s="1573">
        <f t="shared" si="11"/>
        <v>111</v>
      </c>
      <c r="R29" s="1574" t="s">
        <v>8</v>
      </c>
      <c r="S29" s="1575">
        <f t="shared" si="12"/>
        <v>100</v>
      </c>
      <c r="T29" s="1574" t="s">
        <v>8</v>
      </c>
      <c r="U29" s="1575">
        <f t="shared" si="13"/>
        <v>100</v>
      </c>
      <c r="V29" s="1574" t="s">
        <v>8</v>
      </c>
      <c r="W29" s="1575">
        <f t="shared" si="14"/>
        <v>100</v>
      </c>
      <c r="X29" s="1568"/>
      <c r="Y29" s="336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65"/>
      <c r="Q30" s="1573">
        <f t="shared" si="11"/>
        <v>111</v>
      </c>
      <c r="R30" s="1574" t="s">
        <v>8</v>
      </c>
      <c r="S30" s="1575">
        <f t="shared" si="12"/>
        <v>100</v>
      </c>
      <c r="T30" s="1574" t="s">
        <v>8</v>
      </c>
      <c r="U30" s="1575">
        <f t="shared" si="13"/>
        <v>100</v>
      </c>
      <c r="V30" s="1574" t="s">
        <v>8</v>
      </c>
      <c r="W30" s="1575">
        <f t="shared" si="14"/>
        <v>100</v>
      </c>
      <c r="X30" s="1568"/>
      <c r="Y30" s="336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65"/>
      <c r="Q31" s="1573">
        <f t="shared" si="11"/>
        <v>111</v>
      </c>
      <c r="R31" s="1574" t="s">
        <v>8</v>
      </c>
      <c r="S31" s="1575">
        <f t="shared" si="12"/>
        <v>100</v>
      </c>
      <c r="T31" s="1574" t="s">
        <v>8</v>
      </c>
      <c r="U31" s="1575">
        <f t="shared" si="13"/>
        <v>100</v>
      </c>
      <c r="V31" s="1574" t="s">
        <v>8</v>
      </c>
      <c r="W31" s="1575">
        <f t="shared" si="14"/>
        <v>100</v>
      </c>
      <c r="X31" s="1568"/>
      <c r="Y31" s="3365"/>
      <c r="Z31" s="1576">
        <f t="shared" si="15"/>
        <v>111</v>
      </c>
      <c r="AA31" s="1577">
        <f t="shared" si="3"/>
        <v>1</v>
      </c>
      <c r="AB31" s="1577">
        <f t="shared" si="4"/>
        <v>1</v>
      </c>
      <c r="AC31" s="1577">
        <f t="shared" si="5"/>
        <v>1</v>
      </c>
    </row>
    <row r="32" spans="1:29" ht="15">
      <c r="A32" s="2935" t="s">
        <v>2763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66" t="s">
        <v>550</v>
      </c>
      <c r="Q32" s="1573" t="str">
        <f t="shared" si="11"/>
        <v>商业类型</v>
      </c>
      <c r="R32" s="1574" t="s">
        <v>8</v>
      </c>
      <c r="S32" s="1575">
        <f t="shared" si="12"/>
        <v>100</v>
      </c>
      <c r="T32" s="1574" t="s">
        <v>8</v>
      </c>
      <c r="U32" s="1575">
        <f t="shared" si="13"/>
        <v>100</v>
      </c>
      <c r="V32" s="1574" t="s">
        <v>8</v>
      </c>
      <c r="W32" s="1575">
        <f t="shared" si="14"/>
        <v>100</v>
      </c>
      <c r="X32" s="1568"/>
      <c r="Y32" s="336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67"/>
      <c r="Q33" s="1606" t="str">
        <f t="shared" si="11"/>
        <v>项目建筑规模</v>
      </c>
      <c r="R33" s="1578" t="s">
        <v>8</v>
      </c>
      <c r="S33" s="1579" t="e">
        <f t="shared" si="12"/>
        <v>#N/A</v>
      </c>
      <c r="T33" s="1578" t="s">
        <v>8</v>
      </c>
      <c r="U33" s="1579" t="e">
        <f t="shared" si="13"/>
        <v>#N/A</v>
      </c>
      <c r="V33" s="1578" t="s">
        <v>8</v>
      </c>
      <c r="W33" s="1579" t="e">
        <f t="shared" si="14"/>
        <v>#N/A</v>
      </c>
      <c r="X33" s="1580"/>
      <c r="Y33" s="336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67"/>
      <c r="Q34" s="1573" t="str">
        <f t="shared" si="11"/>
        <v>建筑结构</v>
      </c>
      <c r="R34" s="1574" t="s">
        <v>8</v>
      </c>
      <c r="S34" s="1575">
        <f t="shared" si="12"/>
        <v>100</v>
      </c>
      <c r="T34" s="1574" t="s">
        <v>8</v>
      </c>
      <c r="U34" s="1575">
        <f t="shared" si="13"/>
        <v>100</v>
      </c>
      <c r="V34" s="1574" t="s">
        <v>8</v>
      </c>
      <c r="W34" s="1575">
        <f t="shared" si="14"/>
        <v>100</v>
      </c>
      <c r="X34" s="1568"/>
      <c r="Y34" s="336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67"/>
      <c r="Q35" s="1573" t="str">
        <f t="shared" si="11"/>
        <v>公共部分装修</v>
      </c>
      <c r="R35" s="1574" t="s">
        <v>8</v>
      </c>
      <c r="S35" s="1575">
        <f t="shared" si="12"/>
        <v>100</v>
      </c>
      <c r="T35" s="1574" t="s">
        <v>8</v>
      </c>
      <c r="U35" s="1575">
        <f t="shared" si="13"/>
        <v>100</v>
      </c>
      <c r="V35" s="1574" t="s">
        <v>8</v>
      </c>
      <c r="W35" s="1575">
        <f t="shared" si="14"/>
        <v>100</v>
      </c>
      <c r="X35" s="1568"/>
      <c r="Y35" s="336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67"/>
      <c r="Q36" s="1573" t="str">
        <f t="shared" si="11"/>
        <v>成新度</v>
      </c>
      <c r="R36" s="1574" t="s">
        <v>8</v>
      </c>
      <c r="S36" s="1575" t="e">
        <f t="shared" si="12"/>
        <v>#N/A</v>
      </c>
      <c r="T36" s="1574" t="s">
        <v>8</v>
      </c>
      <c r="U36" s="1575" t="e">
        <f t="shared" si="13"/>
        <v>#N/A</v>
      </c>
      <c r="V36" s="1574" t="s">
        <v>8</v>
      </c>
      <c r="W36" s="1575" t="e">
        <f t="shared" si="14"/>
        <v>#N/A</v>
      </c>
      <c r="X36" s="1568"/>
      <c r="Y36" s="3367"/>
      <c r="Z36" s="1576" t="str">
        <f t="shared" si="15"/>
        <v>成新度</v>
      </c>
      <c r="AA36" s="1577" t="e">
        <f t="shared" si="3"/>
        <v>#N/A</v>
      </c>
      <c r="AB36" s="1577" t="e">
        <f t="shared" si="4"/>
        <v>#N/A</v>
      </c>
      <c r="AC36" s="1577" t="e">
        <f t="shared" si="5"/>
        <v>#N/A</v>
      </c>
    </row>
    <row r="37" spans="1:29" s="1220" customFormat="1" ht="15">
      <c r="A37" s="600"/>
      <c r="B37" s="1897" t="s">
        <v>2571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67"/>
      <c r="Q37" s="1151" t="str">
        <f t="shared" si="11"/>
        <v>市政基础设施</v>
      </c>
      <c r="R37" s="1569" t="s">
        <v>8</v>
      </c>
      <c r="S37" s="1570">
        <f t="shared" si="12"/>
        <v>100</v>
      </c>
      <c r="T37" s="1569" t="s">
        <v>8</v>
      </c>
      <c r="U37" s="1570">
        <f t="shared" si="13"/>
        <v>100</v>
      </c>
      <c r="V37" s="1569" t="s">
        <v>8</v>
      </c>
      <c r="W37" s="1570">
        <f t="shared" si="14"/>
        <v>100</v>
      </c>
      <c r="X37" s="1571"/>
      <c r="Y37" s="336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67" t="s">
        <v>766</v>
      </c>
      <c r="Q38" s="1573" t="str">
        <f t="shared" si="11"/>
        <v>业态</v>
      </c>
      <c r="R38" s="1574" t="s">
        <v>8</v>
      </c>
      <c r="S38" s="1575">
        <f t="shared" si="12"/>
        <v>100</v>
      </c>
      <c r="T38" s="1574" t="s">
        <v>8</v>
      </c>
      <c r="U38" s="1575">
        <f t="shared" si="13"/>
        <v>100</v>
      </c>
      <c r="V38" s="1574" t="s">
        <v>8</v>
      </c>
      <c r="W38" s="1575">
        <f t="shared" si="14"/>
        <v>100</v>
      </c>
      <c r="X38" s="1568"/>
      <c r="Y38" s="336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7"/>
      <c r="Q39" s="1573" t="str">
        <f t="shared" si="11"/>
        <v>层高</v>
      </c>
      <c r="R39" s="1574" t="s">
        <v>8</v>
      </c>
      <c r="S39" s="1575">
        <f t="shared" si="12"/>
        <v>100</v>
      </c>
      <c r="T39" s="1574" t="s">
        <v>8</v>
      </c>
      <c r="U39" s="1575">
        <f t="shared" si="13"/>
        <v>100</v>
      </c>
      <c r="V39" s="1574" t="s">
        <v>8</v>
      </c>
      <c r="W39" s="1575">
        <f t="shared" si="14"/>
        <v>100</v>
      </c>
      <c r="X39" s="1568"/>
      <c r="Y39" s="336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67"/>
      <c r="Q40" s="1573" t="str">
        <f t="shared" si="11"/>
        <v>单套建筑面积</v>
      </c>
      <c r="R40" s="1574" t="s">
        <v>8</v>
      </c>
      <c r="S40" s="1575">
        <f t="shared" si="12"/>
        <v>100</v>
      </c>
      <c r="T40" s="1574" t="s">
        <v>8</v>
      </c>
      <c r="U40" s="1575">
        <f t="shared" si="13"/>
        <v>100</v>
      </c>
      <c r="V40" s="1574" t="s">
        <v>8</v>
      </c>
      <c r="W40" s="1575">
        <f t="shared" si="14"/>
        <v>100</v>
      </c>
      <c r="X40" s="1568"/>
      <c r="Y40" s="336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67"/>
      <c r="Q41" s="1606" t="str">
        <f t="shared" si="11"/>
        <v>进深比</v>
      </c>
      <c r="R41" s="1578" t="s">
        <v>8</v>
      </c>
      <c r="S41" s="1579">
        <f t="shared" si="12"/>
        <v>100</v>
      </c>
      <c r="T41" s="1578" t="s">
        <v>8</v>
      </c>
      <c r="U41" s="1579">
        <f t="shared" si="13"/>
        <v>100</v>
      </c>
      <c r="V41" s="1578" t="s">
        <v>8</v>
      </c>
      <c r="W41" s="1579">
        <f t="shared" si="14"/>
        <v>100</v>
      </c>
      <c r="X41" s="1580"/>
      <c r="Y41" s="336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67"/>
      <c r="Q42" s="1573" t="str">
        <f t="shared" si="11"/>
        <v>内部装修</v>
      </c>
      <c r="R42" s="1574" t="s">
        <v>8</v>
      </c>
      <c r="S42" s="1575">
        <f t="shared" si="12"/>
        <v>100</v>
      </c>
      <c r="T42" s="1574" t="s">
        <v>8</v>
      </c>
      <c r="U42" s="1575">
        <f t="shared" si="13"/>
        <v>100</v>
      </c>
      <c r="V42" s="1574" t="s">
        <v>8</v>
      </c>
      <c r="W42" s="1575">
        <f t="shared" si="14"/>
        <v>100</v>
      </c>
      <c r="X42" s="1568"/>
      <c r="Y42" s="336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67"/>
      <c r="Q43" s="1573" t="str">
        <f t="shared" si="11"/>
        <v>内部装修维护情况</v>
      </c>
      <c r="R43" s="1574" t="s">
        <v>8</v>
      </c>
      <c r="S43" s="1575">
        <f t="shared" si="12"/>
        <v>100</v>
      </c>
      <c r="T43" s="1574" t="s">
        <v>8</v>
      </c>
      <c r="U43" s="1575">
        <f t="shared" si="13"/>
        <v>100</v>
      </c>
      <c r="V43" s="1574" t="s">
        <v>8</v>
      </c>
      <c r="W43" s="1575">
        <f t="shared" si="14"/>
        <v>100</v>
      </c>
      <c r="X43" s="1568"/>
      <c r="Y43" s="336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67"/>
      <c r="Q44" s="1151">
        <f t="shared" si="11"/>
        <v>111</v>
      </c>
      <c r="R44" s="1569" t="s">
        <v>8</v>
      </c>
      <c r="S44" s="1570">
        <f t="shared" si="12"/>
        <v>100</v>
      </c>
      <c r="T44" s="1569" t="s">
        <v>8</v>
      </c>
      <c r="U44" s="1570">
        <f t="shared" si="13"/>
        <v>100</v>
      </c>
      <c r="V44" s="1569" t="s">
        <v>8</v>
      </c>
      <c r="W44" s="1570">
        <f t="shared" si="14"/>
        <v>100</v>
      </c>
      <c r="X44" s="1571"/>
      <c r="Y44" s="336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67"/>
      <c r="Q45" s="1573">
        <f t="shared" si="11"/>
        <v>111</v>
      </c>
      <c r="R45" s="1574" t="s">
        <v>8</v>
      </c>
      <c r="S45" s="1575">
        <f t="shared" si="12"/>
        <v>100</v>
      </c>
      <c r="T45" s="1574" t="s">
        <v>8</v>
      </c>
      <c r="U45" s="1575">
        <f t="shared" si="13"/>
        <v>100</v>
      </c>
      <c r="V45" s="1574" t="s">
        <v>8</v>
      </c>
      <c r="W45" s="1575">
        <f t="shared" si="14"/>
        <v>100</v>
      </c>
      <c r="X45" s="1568"/>
      <c r="Y45" s="336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5"/>
      <c r="Q46" s="1573">
        <f t="shared" si="11"/>
        <v>111</v>
      </c>
      <c r="R46" s="1574" t="s">
        <v>8</v>
      </c>
      <c r="S46" s="1575">
        <f t="shared" si="12"/>
        <v>100</v>
      </c>
      <c r="T46" s="1574" t="s">
        <v>8</v>
      </c>
      <c r="U46" s="1575">
        <f t="shared" si="13"/>
        <v>100</v>
      </c>
      <c r="V46" s="1574" t="s">
        <v>8</v>
      </c>
      <c r="W46" s="1575">
        <f t="shared" si="14"/>
        <v>100</v>
      </c>
      <c r="X46" s="1568"/>
      <c r="Y46" s="3465"/>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2768</v>
      </c>
      <c r="B48" s="888"/>
      <c r="C48" s="2659" t="e">
        <f>R49</f>
        <v>#DIV/0!</v>
      </c>
      <c r="D48" s="2660"/>
      <c r="E48" s="2661" t="e">
        <f>R48</f>
        <v>#DIV/0!</v>
      </c>
      <c r="F48" s="2661"/>
      <c r="G48" s="2659" t="e">
        <f>T48</f>
        <v>#DIV/0!</v>
      </c>
      <c r="H48" s="2660"/>
      <c r="I48" s="2661" t="e">
        <f>V48</f>
        <v>#DIV/0!</v>
      </c>
      <c r="J48" s="2660"/>
      <c r="K48" s="1613"/>
      <c r="L48" s="2146"/>
      <c r="M48" s="2147"/>
      <c r="N48" s="2136"/>
      <c r="O48" s="2147"/>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2945</v>
      </c>
      <c r="B49" s="622"/>
      <c r="C49" s="2662" t="e">
        <f>R49</f>
        <v>#DIV/0!</v>
      </c>
      <c r="D49" s="2662"/>
      <c r="E49" s="2662"/>
      <c r="F49" s="2662"/>
      <c r="G49" s="2662"/>
      <c r="H49" s="2662"/>
      <c r="I49" s="2662"/>
      <c r="J49" s="2662"/>
      <c r="K49" s="1614"/>
      <c r="L49" s="2146"/>
      <c r="M49" s="2147"/>
      <c r="N49" s="2136"/>
      <c r="O49" s="2147"/>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2563</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2564</v>
      </c>
      <c r="C82" s="2624" t="s">
        <v>2565</v>
      </c>
      <c r="D82" s="2624" t="s">
        <v>2566</v>
      </c>
      <c r="E82" s="2624" t="s">
        <v>2567</v>
      </c>
      <c r="F82" s="2624" t="s">
        <v>2568</v>
      </c>
      <c r="G82" s="2624" t="s">
        <v>2569</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5"/>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68" t="s">
        <v>522</v>
      </c>
      <c r="D4" s="3369"/>
      <c r="E4" s="3393" t="s">
        <v>523</v>
      </c>
      <c r="F4" s="3394"/>
      <c r="G4" s="3368" t="s">
        <v>524</v>
      </c>
      <c r="H4" s="3369"/>
      <c r="I4" s="3368" t="s">
        <v>525</v>
      </c>
      <c r="J4" s="3369"/>
      <c r="K4" s="514" t="s">
        <v>526</v>
      </c>
      <c r="L4" s="2135"/>
      <c r="M4" s="2136"/>
      <c r="N4" s="2136"/>
      <c r="O4" s="2136"/>
      <c r="P4" s="3466"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79" t="s">
        <v>2939</v>
      </c>
      <c r="D5" s="3380"/>
      <c r="E5" s="3395" t="s">
        <v>2940</v>
      </c>
      <c r="F5" s="3396"/>
      <c r="G5" s="3379" t="s">
        <v>2941</v>
      </c>
      <c r="H5" s="3380"/>
      <c r="I5" s="3379" t="s">
        <v>2942</v>
      </c>
      <c r="J5" s="3380"/>
      <c r="K5" s="514"/>
      <c r="L5" s="2135"/>
      <c r="M5" s="2136"/>
      <c r="N5" s="2136"/>
      <c r="O5" s="2136"/>
      <c r="P5" s="3467"/>
      <c r="Q5" s="3373"/>
      <c r="R5" s="3358"/>
      <c r="S5" s="3359"/>
      <c r="T5" s="3358"/>
      <c r="U5" s="3359"/>
      <c r="V5" s="3376"/>
      <c r="W5" s="3376"/>
      <c r="X5" s="1568"/>
      <c r="Y5" s="3358"/>
      <c r="Z5" s="3359"/>
      <c r="AA5" s="3352"/>
      <c r="AB5" s="3352"/>
      <c r="AC5" s="3352"/>
    </row>
    <row r="6" spans="1:29" ht="15.75" thickBot="1">
      <c r="A6" s="517"/>
      <c r="B6" s="518"/>
      <c r="C6" s="3397" t="s">
        <v>2943</v>
      </c>
      <c r="D6" s="3378"/>
      <c r="E6" s="3398" t="s">
        <v>2943</v>
      </c>
      <c r="F6" s="3399"/>
      <c r="G6" s="3397" t="s">
        <v>2943</v>
      </c>
      <c r="H6" s="3378"/>
      <c r="I6" s="3397" t="s">
        <v>2943</v>
      </c>
      <c r="J6" s="3378"/>
      <c r="K6" s="514" t="s">
        <v>528</v>
      </c>
      <c r="L6" s="2135"/>
      <c r="M6" s="2136"/>
      <c r="N6" s="2136"/>
      <c r="O6" s="2136"/>
      <c r="P6" s="3468"/>
      <c r="Q6" s="3375"/>
      <c r="R6" s="3358"/>
      <c r="S6" s="3359"/>
      <c r="T6" s="3360"/>
      <c r="U6" s="3361"/>
      <c r="V6" s="3376"/>
      <c r="W6" s="3376"/>
      <c r="X6" s="1568"/>
      <c r="Y6" s="3360"/>
      <c r="Z6" s="3361"/>
      <c r="AA6" s="3353"/>
      <c r="AB6" s="3353"/>
      <c r="AC6" s="3353"/>
    </row>
    <row r="7" spans="1:29" s="1220" customFormat="1" ht="15.75" thickBot="1">
      <c r="A7" s="2940"/>
      <c r="B7" s="2947" t="s">
        <v>529</v>
      </c>
      <c r="C7" s="519">
        <f>'数据-取费表'!B2</f>
        <v>43077</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63"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941"/>
      <c r="B8" s="2948"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63" t="s">
        <v>533</v>
      </c>
      <c r="Q8" s="3355"/>
      <c r="R8" s="1569" t="s">
        <v>8</v>
      </c>
      <c r="S8" s="1570">
        <f t="shared" si="0"/>
        <v>0</v>
      </c>
      <c r="T8" s="1569" t="s">
        <v>8</v>
      </c>
      <c r="U8" s="1570">
        <f t="shared" si="1"/>
        <v>0</v>
      </c>
      <c r="V8" s="1569" t="s">
        <v>8</v>
      </c>
      <c r="W8" s="1570">
        <f t="shared" si="2"/>
        <v>0</v>
      </c>
      <c r="X8" s="1571"/>
      <c r="Y8" s="3354" t="s">
        <v>533</v>
      </c>
      <c r="Z8" s="3355"/>
      <c r="AA8" s="1572" t="e">
        <f t="shared" ref="AA8:AA47" si="3">D8/F8</f>
        <v>#DIV/0!</v>
      </c>
      <c r="AB8" s="1572" t="e">
        <f t="shared" ref="AB8:AB47" si="4">D8/H8</f>
        <v>#DIV/0!</v>
      </c>
      <c r="AC8" s="1572" t="e">
        <f t="shared" ref="AC8:AC47" si="5">D8/J8</f>
        <v>#DIV/0!</v>
      </c>
    </row>
    <row r="9" spans="1:29" s="1220" customFormat="1" ht="15">
      <c r="A9" s="2942"/>
      <c r="B9" s="2949" t="s">
        <v>2764</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43"/>
      <c r="B10" s="2948" t="s">
        <v>2765</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44"/>
      <c r="B11" s="2948" t="s">
        <v>2766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938" t="s">
        <v>2762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64" t="s">
        <v>540</v>
      </c>
      <c r="Q15" s="1573" t="str">
        <f t="shared" si="6"/>
        <v>办公集聚程度</v>
      </c>
      <c r="R15" s="1574" t="s">
        <v>8</v>
      </c>
      <c r="S15" s="1575">
        <f t="shared" si="0"/>
        <v>100</v>
      </c>
      <c r="T15" s="1574" t="s">
        <v>8</v>
      </c>
      <c r="U15" s="1575">
        <f t="shared" si="1"/>
        <v>100</v>
      </c>
      <c r="V15" s="1574" t="s">
        <v>8</v>
      </c>
      <c r="W15" s="1575">
        <f t="shared" si="2"/>
        <v>100</v>
      </c>
      <c r="X15" s="1568"/>
      <c r="Y15" s="336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65"/>
      <c r="Q16" s="1573"/>
      <c r="R16" s="1574"/>
      <c r="S16" s="1575"/>
      <c r="T16" s="1574"/>
      <c r="U16" s="1575"/>
      <c r="V16" s="1574"/>
      <c r="W16" s="1575"/>
      <c r="X16" s="1568"/>
      <c r="Y16" s="336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65"/>
      <c r="Q18" s="1573"/>
      <c r="R18" s="1574"/>
      <c r="S18" s="1575"/>
      <c r="T18" s="1574"/>
      <c r="U18" s="1575"/>
      <c r="V18" s="1574"/>
      <c r="W18" s="1575"/>
      <c r="X18" s="1568"/>
      <c r="Y18" s="3365"/>
      <c r="Z18" s="1576"/>
      <c r="AA18" s="1577">
        <v>1</v>
      </c>
      <c r="AB18" s="1577">
        <v>1</v>
      </c>
      <c r="AC18" s="1577">
        <v>1</v>
      </c>
    </row>
    <row r="19" spans="1:29" ht="42.75">
      <c r="A19" s="532"/>
      <c r="B19" s="2629" t="s">
        <v>2552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65"/>
      <c r="Q20" s="1573"/>
      <c r="R20" s="1574"/>
      <c r="S20" s="1575"/>
      <c r="T20" s="1574"/>
      <c r="U20" s="1575"/>
      <c r="V20" s="1574"/>
      <c r="W20" s="1575"/>
      <c r="X20" s="1568"/>
      <c r="Y20" s="3365"/>
      <c r="Z20" s="1576"/>
      <c r="AA20" s="1577">
        <v>1</v>
      </c>
      <c r="AB20" s="1577">
        <v>1</v>
      </c>
      <c r="AC20" s="1577">
        <v>1</v>
      </c>
    </row>
    <row r="21" spans="1:29" ht="28.5">
      <c r="A21" s="532"/>
      <c r="B21" s="2617" t="s">
        <v>2564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65"/>
      <c r="Q21" s="2605" t="str">
        <f>B21</f>
        <v>基础设施水平</v>
      </c>
      <c r="R21" s="1574" t="s">
        <v>8</v>
      </c>
      <c r="S21" s="1575">
        <f>F21</f>
        <v>100</v>
      </c>
      <c r="T21" s="1574" t="s">
        <v>8</v>
      </c>
      <c r="U21" s="1575">
        <f>H21</f>
        <v>100</v>
      </c>
      <c r="V21" s="1574" t="s">
        <v>8</v>
      </c>
      <c r="W21" s="1575">
        <f>J21</f>
        <v>100</v>
      </c>
      <c r="X21" s="2607"/>
      <c r="Y21" s="3365"/>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65"/>
      <c r="Q22" s="2605"/>
      <c r="R22" s="1574"/>
      <c r="S22" s="1575"/>
      <c r="T22" s="1574"/>
      <c r="U22" s="1575"/>
      <c r="V22" s="1574"/>
      <c r="W22" s="1575"/>
      <c r="X22" s="2607"/>
      <c r="Y22" s="3365"/>
      <c r="Z22" s="2606"/>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65"/>
      <c r="Q24" s="1573"/>
      <c r="R24" s="1574"/>
      <c r="S24" s="1575"/>
      <c r="T24" s="1574"/>
      <c r="U24" s="1575"/>
      <c r="V24" s="1574"/>
      <c r="W24" s="1575"/>
      <c r="X24" s="1568"/>
      <c r="Y24" s="336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65"/>
      <c r="Q25" s="1573" t="str">
        <f>B25</f>
        <v>毗邻道路的类型与等级</v>
      </c>
      <c r="R25" s="1574" t="s">
        <v>8</v>
      </c>
      <c r="S25" s="1575">
        <f>F25</f>
        <v>100</v>
      </c>
      <c r="T25" s="1574" t="s">
        <v>8</v>
      </c>
      <c r="U25" s="1575">
        <f>H25</f>
        <v>100</v>
      </c>
      <c r="V25" s="1574" t="s">
        <v>8</v>
      </c>
      <c r="W25" s="1575">
        <f>J25</f>
        <v>100</v>
      </c>
      <c r="X25" s="1568"/>
      <c r="Y25" s="336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65"/>
      <c r="Q26" s="1573"/>
      <c r="R26" s="1574"/>
      <c r="S26" s="1575"/>
      <c r="T26" s="1574"/>
      <c r="U26" s="1575"/>
      <c r="V26" s="1574"/>
      <c r="W26" s="1575"/>
      <c r="X26" s="1568"/>
      <c r="Y26" s="336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65"/>
      <c r="Q27" s="1573" t="str">
        <f t="shared" ref="Q27:Q47" si="11">B27</f>
        <v>楼层</v>
      </c>
      <c r="R27" s="1574" t="s">
        <v>8</v>
      </c>
      <c r="S27" s="1575">
        <f>F27</f>
        <v>100</v>
      </c>
      <c r="T27" s="1574" t="s">
        <v>8</v>
      </c>
      <c r="U27" s="1575">
        <f>H27</f>
        <v>100</v>
      </c>
      <c r="V27" s="1574" t="s">
        <v>8</v>
      </c>
      <c r="W27" s="1575">
        <f>J27</f>
        <v>100</v>
      </c>
      <c r="X27" s="1568"/>
      <c r="Y27" s="336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65"/>
      <c r="Q28" s="1151" t="str">
        <f t="shared" si="11"/>
        <v>朝向</v>
      </c>
      <c r="R28" s="1569" t="s">
        <v>8</v>
      </c>
      <c r="S28" s="1570">
        <f>F28</f>
        <v>100</v>
      </c>
      <c r="T28" s="1569" t="s">
        <v>8</v>
      </c>
      <c r="U28" s="1570">
        <f>H28</f>
        <v>100</v>
      </c>
      <c r="V28" s="1569" t="s">
        <v>8</v>
      </c>
      <c r="W28" s="1570">
        <f>J28</f>
        <v>100</v>
      </c>
      <c r="X28" s="1571"/>
      <c r="Y28" s="336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65"/>
      <c r="Q29" s="1573">
        <f t="shared" si="11"/>
        <v>111</v>
      </c>
      <c r="R29" s="1574" t="s">
        <v>8</v>
      </c>
      <c r="S29" s="1575">
        <f t="shared" ref="S29:S47" si="12">F29</f>
        <v>100</v>
      </c>
      <c r="T29" s="1574" t="s">
        <v>8</v>
      </c>
      <c r="U29" s="1575">
        <f t="shared" ref="U29:U47" si="13">H29</f>
        <v>100</v>
      </c>
      <c r="V29" s="1574" t="s">
        <v>8</v>
      </c>
      <c r="W29" s="1575">
        <f t="shared" ref="W29:W47" si="14">J29</f>
        <v>100</v>
      </c>
      <c r="X29" s="1568"/>
      <c r="Y29" s="336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65"/>
      <c r="Q30" s="1573">
        <f t="shared" si="11"/>
        <v>111</v>
      </c>
      <c r="R30" s="1574" t="s">
        <v>8</v>
      </c>
      <c r="S30" s="1575">
        <f t="shared" si="12"/>
        <v>100</v>
      </c>
      <c r="T30" s="1574" t="s">
        <v>8</v>
      </c>
      <c r="U30" s="1575">
        <f t="shared" si="13"/>
        <v>100</v>
      </c>
      <c r="V30" s="1574" t="s">
        <v>8</v>
      </c>
      <c r="W30" s="1575">
        <f t="shared" si="14"/>
        <v>100</v>
      </c>
      <c r="X30" s="1568"/>
      <c r="Y30" s="336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65"/>
      <c r="Q31" s="1573">
        <f t="shared" si="11"/>
        <v>111</v>
      </c>
      <c r="R31" s="1574" t="s">
        <v>8</v>
      </c>
      <c r="S31" s="1575">
        <f t="shared" si="12"/>
        <v>100</v>
      </c>
      <c r="T31" s="1574" t="s">
        <v>8</v>
      </c>
      <c r="U31" s="1575">
        <f t="shared" si="13"/>
        <v>100</v>
      </c>
      <c r="V31" s="1574" t="s">
        <v>8</v>
      </c>
      <c r="W31" s="1575">
        <f t="shared" si="14"/>
        <v>100</v>
      </c>
      <c r="X31" s="1568"/>
      <c r="Y31" s="336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65"/>
      <c r="Q32" s="1573">
        <f t="shared" si="11"/>
        <v>111</v>
      </c>
      <c r="R32" s="1574" t="s">
        <v>8</v>
      </c>
      <c r="S32" s="1575">
        <f t="shared" si="12"/>
        <v>100</v>
      </c>
      <c r="T32" s="1574" t="s">
        <v>8</v>
      </c>
      <c r="U32" s="1575">
        <f t="shared" si="13"/>
        <v>100</v>
      </c>
      <c r="V32" s="1574" t="s">
        <v>8</v>
      </c>
      <c r="W32" s="1575">
        <f t="shared" si="14"/>
        <v>100</v>
      </c>
      <c r="X32" s="1568"/>
      <c r="Y32" s="3365"/>
      <c r="Z32" s="1576">
        <f t="shared" si="15"/>
        <v>111</v>
      </c>
      <c r="AA32" s="1577">
        <f t="shared" si="3"/>
        <v>1</v>
      </c>
      <c r="AB32" s="1577">
        <f t="shared" si="4"/>
        <v>1</v>
      </c>
      <c r="AC32" s="1577">
        <f t="shared" si="5"/>
        <v>1</v>
      </c>
    </row>
    <row r="33" spans="1:29" ht="15">
      <c r="A33" s="2935" t="s">
        <v>2763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66" t="s">
        <v>550</v>
      </c>
      <c r="Q33" s="1573" t="str">
        <f t="shared" si="11"/>
        <v>建筑类型</v>
      </c>
      <c r="R33" s="1574" t="s">
        <v>8</v>
      </c>
      <c r="S33" s="1575">
        <f t="shared" si="12"/>
        <v>100</v>
      </c>
      <c r="T33" s="1574" t="s">
        <v>8</v>
      </c>
      <c r="U33" s="1575">
        <f t="shared" si="13"/>
        <v>100</v>
      </c>
      <c r="V33" s="1574" t="s">
        <v>8</v>
      </c>
      <c r="W33" s="1575">
        <f t="shared" si="14"/>
        <v>100</v>
      </c>
      <c r="X33" s="1568"/>
      <c r="Y33" s="336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67"/>
      <c r="Q34" s="1606" t="str">
        <f t="shared" si="11"/>
        <v>项目建筑规模</v>
      </c>
      <c r="R34" s="1578" t="s">
        <v>8</v>
      </c>
      <c r="S34" s="1579" t="e">
        <f t="shared" si="12"/>
        <v>#N/A</v>
      </c>
      <c r="T34" s="1578" t="s">
        <v>8</v>
      </c>
      <c r="U34" s="1579" t="e">
        <f t="shared" si="13"/>
        <v>#N/A</v>
      </c>
      <c r="V34" s="1578" t="s">
        <v>8</v>
      </c>
      <c r="W34" s="1579" t="e">
        <f t="shared" si="14"/>
        <v>#N/A</v>
      </c>
      <c r="X34" s="1580"/>
      <c r="Y34" s="336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67"/>
      <c r="Q35" s="1573" t="str">
        <f t="shared" si="11"/>
        <v>建筑结构</v>
      </c>
      <c r="R35" s="1574" t="s">
        <v>8</v>
      </c>
      <c r="S35" s="1575">
        <f t="shared" si="12"/>
        <v>100</v>
      </c>
      <c r="T35" s="1574" t="s">
        <v>8</v>
      </c>
      <c r="U35" s="1575">
        <f t="shared" si="13"/>
        <v>100</v>
      </c>
      <c r="V35" s="1574" t="s">
        <v>8</v>
      </c>
      <c r="W35" s="1575">
        <f t="shared" si="14"/>
        <v>100</v>
      </c>
      <c r="X35" s="1568"/>
      <c r="Y35" s="336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67"/>
      <c r="Q36" s="1573" t="str">
        <f t="shared" si="11"/>
        <v>公共部分装修</v>
      </c>
      <c r="R36" s="1574" t="s">
        <v>8</v>
      </c>
      <c r="S36" s="1575">
        <f t="shared" si="12"/>
        <v>100</v>
      </c>
      <c r="T36" s="1574" t="s">
        <v>8</v>
      </c>
      <c r="U36" s="1575">
        <f t="shared" si="13"/>
        <v>100</v>
      </c>
      <c r="V36" s="1574" t="s">
        <v>8</v>
      </c>
      <c r="W36" s="1575">
        <f t="shared" si="14"/>
        <v>100</v>
      </c>
      <c r="X36" s="1568"/>
      <c r="Y36" s="336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67"/>
      <c r="Q37" s="1573" t="str">
        <f t="shared" si="11"/>
        <v>成新度</v>
      </c>
      <c r="R37" s="1574" t="s">
        <v>8</v>
      </c>
      <c r="S37" s="1575" t="e">
        <f t="shared" si="12"/>
        <v>#N/A</v>
      </c>
      <c r="T37" s="1574" t="s">
        <v>8</v>
      </c>
      <c r="U37" s="1575" t="e">
        <f t="shared" si="13"/>
        <v>#N/A</v>
      </c>
      <c r="V37" s="1574" t="s">
        <v>8</v>
      </c>
      <c r="W37" s="1575" t="e">
        <f t="shared" si="14"/>
        <v>#N/A</v>
      </c>
      <c r="X37" s="1568"/>
      <c r="Y37" s="336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67"/>
      <c r="Q38" s="1151" t="str">
        <f t="shared" si="11"/>
        <v>写字楼等级</v>
      </c>
      <c r="R38" s="1569" t="s">
        <v>8</v>
      </c>
      <c r="S38" s="1570">
        <f t="shared" si="12"/>
        <v>100</v>
      </c>
      <c r="T38" s="1569" t="s">
        <v>8</v>
      </c>
      <c r="U38" s="1570">
        <f t="shared" si="13"/>
        <v>100</v>
      </c>
      <c r="V38" s="1569" t="s">
        <v>8</v>
      </c>
      <c r="W38" s="1570">
        <f t="shared" si="14"/>
        <v>100</v>
      </c>
      <c r="X38" s="1571"/>
      <c r="Y38" s="336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67" t="s">
        <v>550</v>
      </c>
      <c r="Q39" s="1573" t="str">
        <f t="shared" si="11"/>
        <v>物业管理</v>
      </c>
      <c r="R39" s="1574" t="s">
        <v>8</v>
      </c>
      <c r="S39" s="1575">
        <f t="shared" si="12"/>
        <v>100</v>
      </c>
      <c r="T39" s="1574" t="s">
        <v>8</v>
      </c>
      <c r="U39" s="1575">
        <f t="shared" si="13"/>
        <v>100</v>
      </c>
      <c r="V39" s="1574" t="s">
        <v>8</v>
      </c>
      <c r="W39" s="1575">
        <f t="shared" si="14"/>
        <v>100</v>
      </c>
      <c r="X39" s="1568"/>
      <c r="Y39" s="3367" t="s">
        <v>550</v>
      </c>
      <c r="Z39" s="1576" t="str">
        <f t="shared" si="15"/>
        <v>物业管理</v>
      </c>
      <c r="AA39" s="1577">
        <f t="shared" si="3"/>
        <v>1</v>
      </c>
      <c r="AB39" s="1577">
        <f t="shared" si="4"/>
        <v>1</v>
      </c>
      <c r="AC39" s="1577">
        <f t="shared" si="5"/>
        <v>1</v>
      </c>
    </row>
    <row r="40" spans="1:29" ht="15">
      <c r="A40" s="594"/>
      <c r="B40" s="1897" t="s">
        <v>2571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67"/>
      <c r="Q40" s="1573" t="str">
        <f t="shared" si="11"/>
        <v>市政基础设施</v>
      </c>
      <c r="R40" s="1574" t="s">
        <v>8</v>
      </c>
      <c r="S40" s="1575">
        <f t="shared" si="12"/>
        <v>100</v>
      </c>
      <c r="T40" s="1574" t="s">
        <v>8</v>
      </c>
      <c r="U40" s="1575">
        <f t="shared" si="13"/>
        <v>100</v>
      </c>
      <c r="V40" s="1574" t="s">
        <v>8</v>
      </c>
      <c r="W40" s="1575">
        <f t="shared" si="14"/>
        <v>100</v>
      </c>
      <c r="X40" s="1568"/>
      <c r="Y40" s="336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67"/>
      <c r="Q41" s="1573" t="str">
        <f t="shared" si="11"/>
        <v>层高</v>
      </c>
      <c r="R41" s="1574" t="s">
        <v>8</v>
      </c>
      <c r="S41" s="1575">
        <f t="shared" si="12"/>
        <v>100</v>
      </c>
      <c r="T41" s="1574" t="s">
        <v>8</v>
      </c>
      <c r="U41" s="1575">
        <f t="shared" si="13"/>
        <v>100</v>
      </c>
      <c r="V41" s="1574" t="s">
        <v>8</v>
      </c>
      <c r="W41" s="1575">
        <f t="shared" si="14"/>
        <v>100</v>
      </c>
      <c r="X41" s="1568"/>
      <c r="Y41" s="336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67"/>
      <c r="Q42" s="1606" t="str">
        <f t="shared" si="11"/>
        <v>单套建筑面积</v>
      </c>
      <c r="R42" s="1578" t="s">
        <v>8</v>
      </c>
      <c r="S42" s="1579">
        <f t="shared" si="12"/>
        <v>100</v>
      </c>
      <c r="T42" s="1578" t="s">
        <v>8</v>
      </c>
      <c r="U42" s="1579">
        <f t="shared" si="13"/>
        <v>100</v>
      </c>
      <c r="V42" s="1578" t="s">
        <v>8</v>
      </c>
      <c r="W42" s="1579">
        <f t="shared" si="14"/>
        <v>100</v>
      </c>
      <c r="X42" s="1580"/>
      <c r="Y42" s="336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67"/>
      <c r="Q43" s="1573" t="str">
        <f t="shared" si="11"/>
        <v>内部装修</v>
      </c>
      <c r="R43" s="1574" t="s">
        <v>8</v>
      </c>
      <c r="S43" s="1575">
        <f t="shared" si="12"/>
        <v>100</v>
      </c>
      <c r="T43" s="1574" t="s">
        <v>8</v>
      </c>
      <c r="U43" s="1575">
        <f t="shared" si="13"/>
        <v>100</v>
      </c>
      <c r="V43" s="1574" t="s">
        <v>8</v>
      </c>
      <c r="W43" s="1575">
        <f t="shared" si="14"/>
        <v>100</v>
      </c>
      <c r="X43" s="1568"/>
      <c r="Y43" s="336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67"/>
      <c r="Q44" s="1573" t="str">
        <f t="shared" si="11"/>
        <v>内部装修维护情况</v>
      </c>
      <c r="R44" s="1574" t="s">
        <v>8</v>
      </c>
      <c r="S44" s="1575">
        <f t="shared" si="12"/>
        <v>100</v>
      </c>
      <c r="T44" s="1574" t="s">
        <v>8</v>
      </c>
      <c r="U44" s="1575">
        <f t="shared" si="13"/>
        <v>100</v>
      </c>
      <c r="V44" s="1574" t="s">
        <v>8</v>
      </c>
      <c r="W44" s="1575">
        <f t="shared" si="14"/>
        <v>100</v>
      </c>
      <c r="X44" s="1568"/>
      <c r="Y44" s="336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67"/>
      <c r="Q45" s="1151">
        <f t="shared" si="11"/>
        <v>111</v>
      </c>
      <c r="R45" s="1569" t="s">
        <v>8</v>
      </c>
      <c r="S45" s="1570">
        <f t="shared" si="12"/>
        <v>100</v>
      </c>
      <c r="T45" s="1569" t="s">
        <v>8</v>
      </c>
      <c r="U45" s="1570">
        <f t="shared" si="13"/>
        <v>100</v>
      </c>
      <c r="V45" s="1569" t="s">
        <v>8</v>
      </c>
      <c r="W45" s="1570">
        <f t="shared" si="14"/>
        <v>100</v>
      </c>
      <c r="X45" s="1571"/>
      <c r="Y45" s="336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67"/>
      <c r="Q46" s="1573">
        <f t="shared" si="11"/>
        <v>111</v>
      </c>
      <c r="R46" s="1574" t="s">
        <v>8</v>
      </c>
      <c r="S46" s="1575">
        <f t="shared" si="12"/>
        <v>100</v>
      </c>
      <c r="T46" s="1574" t="s">
        <v>8</v>
      </c>
      <c r="U46" s="1575">
        <f t="shared" si="13"/>
        <v>100</v>
      </c>
      <c r="V46" s="1574" t="s">
        <v>8</v>
      </c>
      <c r="W46" s="1575">
        <f t="shared" si="14"/>
        <v>100</v>
      </c>
      <c r="X46" s="1568"/>
      <c r="Y46" s="336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5"/>
      <c r="Q47" s="1573">
        <f t="shared" si="11"/>
        <v>111</v>
      </c>
      <c r="R47" s="1574" t="s">
        <v>8</v>
      </c>
      <c r="S47" s="1575">
        <f t="shared" si="12"/>
        <v>100</v>
      </c>
      <c r="T47" s="1574" t="s">
        <v>8</v>
      </c>
      <c r="U47" s="1575">
        <f t="shared" si="13"/>
        <v>100</v>
      </c>
      <c r="V47" s="1574" t="s">
        <v>8</v>
      </c>
      <c r="W47" s="1575">
        <f t="shared" si="14"/>
        <v>100</v>
      </c>
      <c r="X47" s="1568"/>
      <c r="Y47" s="3465"/>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385" t="str">
        <f>A48</f>
        <v>成交单价（元/平方米）</v>
      </c>
      <c r="Q48" s="3362"/>
      <c r="R48" s="3464">
        <f>E48</f>
        <v>0</v>
      </c>
      <c r="S48" s="3464"/>
      <c r="T48" s="3464">
        <f>G48</f>
        <v>0</v>
      </c>
      <c r="U48" s="3464"/>
      <c r="V48" s="3464">
        <f>I48</f>
        <v>0</v>
      </c>
      <c r="W48" s="3464"/>
      <c r="X48" s="1560"/>
      <c r="Y48" s="1582"/>
      <c r="Z48" s="1560"/>
      <c r="AA48" s="1560"/>
      <c r="AB48" s="1560"/>
      <c r="AC48" s="1560"/>
    </row>
    <row r="49" spans="1:29" ht="15.75" thickBot="1">
      <c r="A49" s="615" t="s">
        <v>2768</v>
      </c>
      <c r="B49" s="888"/>
      <c r="C49" s="2659" t="e">
        <f>R50</f>
        <v>#DIV/0!</v>
      </c>
      <c r="D49" s="2660"/>
      <c r="E49" s="2661" t="e">
        <f>R49</f>
        <v>#DIV/0!</v>
      </c>
      <c r="F49" s="2661"/>
      <c r="G49" s="2659" t="e">
        <f>T49</f>
        <v>#DIV/0!</v>
      </c>
      <c r="H49" s="2660"/>
      <c r="I49" s="2661" t="e">
        <f>V49</f>
        <v>#DIV/0!</v>
      </c>
      <c r="J49" s="2660"/>
      <c r="K49" s="1613"/>
      <c r="L49" s="2146"/>
      <c r="M49" s="2136"/>
      <c r="N49" s="2136"/>
      <c r="O49" s="2136"/>
      <c r="P49" s="3385" t="str">
        <f>A49</f>
        <v>比较价格（元/平方米）</v>
      </c>
      <c r="Q49" s="3362"/>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2945</v>
      </c>
      <c r="B50" s="622"/>
      <c r="C50" s="2662" t="e">
        <f>R50</f>
        <v>#DIV/0!</v>
      </c>
      <c r="D50" s="2662"/>
      <c r="E50" s="2662"/>
      <c r="F50" s="2662"/>
      <c r="G50" s="2662"/>
      <c r="H50" s="2662"/>
      <c r="I50" s="2662"/>
      <c r="J50" s="2662"/>
      <c r="K50" s="1614"/>
      <c r="L50" s="2146"/>
      <c r="M50" s="2136"/>
      <c r="N50" s="2136"/>
      <c r="O50" s="2136"/>
      <c r="P50" s="3469" t="str">
        <f>A50</f>
        <v>估价对象XX用房的比较价格（楼面单价，元/平方米）</v>
      </c>
      <c r="Q50" s="3385"/>
      <c r="R50" s="3463" t="e">
        <f>IF(F1="售价",ROUND(AVERAGE(R49:V49),0),ROUND(AVERAGE(R49:V49),1))</f>
        <v>#DIV/0!</v>
      </c>
      <c r="S50" s="3463"/>
      <c r="T50" s="3463"/>
      <c r="U50" s="3463"/>
      <c r="V50" s="3463"/>
      <c r="W50" s="3463"/>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2563</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2564</v>
      </c>
      <c r="C83" s="2624" t="s">
        <v>2565</v>
      </c>
      <c r="D83" s="2624" t="s">
        <v>2566</v>
      </c>
      <c r="E83" s="2624" t="s">
        <v>2567</v>
      </c>
      <c r="F83" s="2624" t="s">
        <v>2568</v>
      </c>
      <c r="G83" s="2624" t="s">
        <v>2569</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68" t="s">
        <v>522</v>
      </c>
      <c r="D4" s="3369"/>
      <c r="E4" s="3393" t="s">
        <v>523</v>
      </c>
      <c r="F4" s="3394"/>
      <c r="G4" s="3368" t="s">
        <v>524</v>
      </c>
      <c r="H4" s="3369"/>
      <c r="I4" s="3368" t="s">
        <v>525</v>
      </c>
      <c r="J4" s="3369"/>
      <c r="K4" s="514" t="s">
        <v>526</v>
      </c>
      <c r="L4" s="2135"/>
      <c r="M4" s="2136"/>
      <c r="N4" s="2136"/>
      <c r="O4" s="2136"/>
      <c r="P4" s="3370" t="s">
        <v>527</v>
      </c>
      <c r="Q4" s="3371"/>
      <c r="R4" s="3356" t="s">
        <v>523</v>
      </c>
      <c r="S4" s="3357"/>
      <c r="T4" s="3356" t="s">
        <v>524</v>
      </c>
      <c r="U4" s="3357"/>
      <c r="V4" s="3376" t="s">
        <v>525</v>
      </c>
      <c r="W4" s="3376"/>
      <c r="X4" s="1568"/>
      <c r="Y4" s="3356" t="s">
        <v>527</v>
      </c>
      <c r="Z4" s="3357"/>
      <c r="AA4" s="3351" t="s">
        <v>523</v>
      </c>
      <c r="AB4" s="3352" t="s">
        <v>524</v>
      </c>
      <c r="AC4" s="3351" t="s">
        <v>525</v>
      </c>
    </row>
    <row r="5" spans="1:29" ht="15">
      <c r="A5" s="515"/>
      <c r="B5" s="516"/>
      <c r="C5" s="3379" t="s">
        <v>2939</v>
      </c>
      <c r="D5" s="3380"/>
      <c r="E5" s="3395" t="s">
        <v>2940</v>
      </c>
      <c r="F5" s="3396"/>
      <c r="G5" s="3379" t="s">
        <v>2941</v>
      </c>
      <c r="H5" s="3380"/>
      <c r="I5" s="3379" t="s">
        <v>2942</v>
      </c>
      <c r="J5" s="3380"/>
      <c r="K5" s="51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97" t="s">
        <v>2943</v>
      </c>
      <c r="D6" s="3378"/>
      <c r="E6" s="3398" t="s">
        <v>2943</v>
      </c>
      <c r="F6" s="3399"/>
      <c r="G6" s="3397" t="s">
        <v>2943</v>
      </c>
      <c r="H6" s="3378"/>
      <c r="I6" s="3397" t="s">
        <v>2943</v>
      </c>
      <c r="J6" s="3378"/>
      <c r="K6" s="51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40"/>
      <c r="B7" s="2947" t="s">
        <v>529</v>
      </c>
      <c r="C7" s="519">
        <f>'数据-取费表'!B2</f>
        <v>43077</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941"/>
      <c r="B8" s="2948"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40" si="3">D8/F8</f>
        <v>#DIV/0!</v>
      </c>
      <c r="AB8" s="1572" t="e">
        <f t="shared" ref="AB8:AB40" si="4">D8/H8</f>
        <v>#DIV/0!</v>
      </c>
      <c r="AC8" s="1572" t="e">
        <f t="shared" ref="AC8:AC40" si="5">D8/J8</f>
        <v>#DIV/0!</v>
      </c>
    </row>
    <row r="9" spans="1:29" s="1220" customFormat="1" ht="15">
      <c r="A9" s="2942"/>
      <c r="B9" s="2949" t="s">
        <v>2764</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43"/>
      <c r="B10" s="2948" t="s">
        <v>2765</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44"/>
      <c r="B11" s="2948" t="s">
        <v>2766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57">
      <c r="A15" s="2938" t="s">
        <v>2762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64" t="s">
        <v>540</v>
      </c>
      <c r="Q15" s="1573" t="str">
        <f t="shared" si="6"/>
        <v>产业集聚程度</v>
      </c>
      <c r="R15" s="1574" t="s">
        <v>8</v>
      </c>
      <c r="S15" s="1575">
        <f t="shared" si="0"/>
        <v>100</v>
      </c>
      <c r="T15" s="1574" t="s">
        <v>8</v>
      </c>
      <c r="U15" s="1575">
        <f t="shared" si="1"/>
        <v>100</v>
      </c>
      <c r="V15" s="1574" t="s">
        <v>8</v>
      </c>
      <c r="W15" s="1575">
        <f t="shared" si="2"/>
        <v>100</v>
      </c>
      <c r="X15" s="1568"/>
      <c r="Y15" s="336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5"/>
      <c r="Q18" s="1573"/>
      <c r="R18" s="1574"/>
      <c r="S18" s="1575"/>
      <c r="T18" s="1574"/>
      <c r="U18" s="1575"/>
      <c r="V18" s="1574"/>
      <c r="W18" s="1575"/>
      <c r="X18" s="1568"/>
      <c r="Y18" s="3365"/>
      <c r="Z18" s="1576"/>
      <c r="AA18" s="1577">
        <v>1</v>
      </c>
      <c r="AB18" s="1577">
        <v>1</v>
      </c>
      <c r="AC18" s="1577">
        <v>1</v>
      </c>
    </row>
    <row r="19" spans="1:29" ht="42.75">
      <c r="A19" s="532"/>
      <c r="B19" s="2629" t="s">
        <v>2552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8.5">
      <c r="A21" s="532"/>
      <c r="B21" s="2617" t="s">
        <v>2564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65"/>
      <c r="Q21" s="2605" t="str">
        <f>B21</f>
        <v>基础设施水平</v>
      </c>
      <c r="R21" s="1574" t="s">
        <v>8</v>
      </c>
      <c r="S21" s="1575">
        <f>F21</f>
        <v>100</v>
      </c>
      <c r="T21" s="1574" t="s">
        <v>8</v>
      </c>
      <c r="U21" s="1575">
        <f>H21</f>
        <v>100</v>
      </c>
      <c r="V21" s="1574" t="s">
        <v>8</v>
      </c>
      <c r="W21" s="1575">
        <f>J21</f>
        <v>100</v>
      </c>
      <c r="X21" s="2607"/>
      <c r="Y21" s="3365"/>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65"/>
      <c r="Q22" s="2605"/>
      <c r="R22" s="1574"/>
      <c r="S22" s="1575"/>
      <c r="T22" s="1574"/>
      <c r="U22" s="1575"/>
      <c r="V22" s="1574"/>
      <c r="W22" s="1575"/>
      <c r="X22" s="2607"/>
      <c r="Y22" s="3365"/>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65"/>
      <c r="Q24" s="1573"/>
      <c r="R24" s="1574"/>
      <c r="S24" s="1575"/>
      <c r="T24" s="1574"/>
      <c r="U24" s="1575"/>
      <c r="V24" s="1574"/>
      <c r="W24" s="1575"/>
      <c r="X24" s="1568"/>
      <c r="Y24" s="336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65"/>
      <c r="Q25" s="1573">
        <f>B25</f>
        <v>111</v>
      </c>
      <c r="R25" s="1574" t="s">
        <v>8</v>
      </c>
      <c r="S25" s="1575">
        <f>F25</f>
        <v>100</v>
      </c>
      <c r="T25" s="1574" t="s">
        <v>8</v>
      </c>
      <c r="U25" s="1575">
        <f>H25</f>
        <v>100</v>
      </c>
      <c r="V25" s="1574" t="s">
        <v>8</v>
      </c>
      <c r="W25" s="1575">
        <f>J25</f>
        <v>100</v>
      </c>
      <c r="X25" s="1568"/>
      <c r="Y25" s="336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65"/>
      <c r="Q26" s="1573">
        <f t="shared" ref="Q26:Q40" si="11">B26</f>
        <v>111</v>
      </c>
      <c r="R26" s="1574" t="s">
        <v>8</v>
      </c>
      <c r="S26" s="1575">
        <f>F26</f>
        <v>100</v>
      </c>
      <c r="T26" s="1574" t="s">
        <v>8</v>
      </c>
      <c r="U26" s="1575">
        <f>H26</f>
        <v>100</v>
      </c>
      <c r="V26" s="1574" t="s">
        <v>8</v>
      </c>
      <c r="W26" s="1575">
        <f>J26</f>
        <v>100</v>
      </c>
      <c r="X26" s="1568"/>
      <c r="Y26" s="336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65"/>
      <c r="Q27" s="1151">
        <f t="shared" si="11"/>
        <v>111</v>
      </c>
      <c r="R27" s="1569" t="s">
        <v>8</v>
      </c>
      <c r="S27" s="1570">
        <f>F27</f>
        <v>100</v>
      </c>
      <c r="T27" s="1569" t="s">
        <v>8</v>
      </c>
      <c r="U27" s="1570">
        <f>H27</f>
        <v>100</v>
      </c>
      <c r="V27" s="1569" t="s">
        <v>8</v>
      </c>
      <c r="W27" s="1570">
        <f>J27</f>
        <v>100</v>
      </c>
      <c r="X27" s="1571"/>
      <c r="Y27" s="336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65"/>
      <c r="Q28" s="1573">
        <f t="shared" si="11"/>
        <v>111</v>
      </c>
      <c r="R28" s="1574" t="s">
        <v>8</v>
      </c>
      <c r="S28" s="1575">
        <f t="shared" ref="S28:S40" si="12">F28</f>
        <v>100</v>
      </c>
      <c r="T28" s="1574" t="s">
        <v>8</v>
      </c>
      <c r="U28" s="1575">
        <f t="shared" ref="U28:U40" si="13">H28</f>
        <v>100</v>
      </c>
      <c r="V28" s="1574" t="s">
        <v>8</v>
      </c>
      <c r="W28" s="1575">
        <f t="shared" ref="W28:W40" si="14">J28</f>
        <v>100</v>
      </c>
      <c r="X28" s="1568"/>
      <c r="Y28" s="3365"/>
      <c r="Z28" s="1576">
        <f t="shared" ref="Z28:Z40" si="15">Q28</f>
        <v>111</v>
      </c>
      <c r="AA28" s="1577">
        <f t="shared" si="3"/>
        <v>1</v>
      </c>
      <c r="AB28" s="1577">
        <f t="shared" si="4"/>
        <v>1</v>
      </c>
      <c r="AC28" s="1577">
        <f t="shared" si="5"/>
        <v>1</v>
      </c>
    </row>
    <row r="29" spans="1:29" ht="15">
      <c r="A29" s="2935" t="s">
        <v>2763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66" t="s">
        <v>550</v>
      </c>
      <c r="Q29" s="1573" t="str">
        <f t="shared" si="11"/>
        <v>建筑类型</v>
      </c>
      <c r="R29" s="1574" t="s">
        <v>8</v>
      </c>
      <c r="S29" s="1575">
        <f t="shared" si="12"/>
        <v>100</v>
      </c>
      <c r="T29" s="1574" t="s">
        <v>8</v>
      </c>
      <c r="U29" s="1575">
        <f t="shared" si="13"/>
        <v>100</v>
      </c>
      <c r="V29" s="1574" t="s">
        <v>8</v>
      </c>
      <c r="W29" s="1575">
        <f t="shared" si="14"/>
        <v>100</v>
      </c>
      <c r="X29" s="1568"/>
      <c r="Y29" s="336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67"/>
      <c r="Q30" s="1606" t="str">
        <f t="shared" si="11"/>
        <v>项目建筑规模</v>
      </c>
      <c r="R30" s="1578" t="s">
        <v>8</v>
      </c>
      <c r="S30" s="1579" t="e">
        <f t="shared" si="12"/>
        <v>#N/A</v>
      </c>
      <c r="T30" s="1578" t="s">
        <v>8</v>
      </c>
      <c r="U30" s="1579" t="e">
        <f t="shared" si="13"/>
        <v>#N/A</v>
      </c>
      <c r="V30" s="1578" t="s">
        <v>8</v>
      </c>
      <c r="W30" s="1579" t="e">
        <f t="shared" si="14"/>
        <v>#N/A</v>
      </c>
      <c r="X30" s="1580"/>
      <c r="Y30" s="336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67"/>
      <c r="Q31" s="1573" t="str">
        <f t="shared" si="11"/>
        <v>建筑结构</v>
      </c>
      <c r="R31" s="1574" t="s">
        <v>8</v>
      </c>
      <c r="S31" s="1575">
        <f t="shared" si="12"/>
        <v>100</v>
      </c>
      <c r="T31" s="1574" t="s">
        <v>8</v>
      </c>
      <c r="U31" s="1575">
        <f t="shared" si="13"/>
        <v>100</v>
      </c>
      <c r="V31" s="1574" t="s">
        <v>8</v>
      </c>
      <c r="W31" s="1575">
        <f t="shared" si="14"/>
        <v>100</v>
      </c>
      <c r="X31" s="1568"/>
      <c r="Y31" s="336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67"/>
      <c r="Q32" s="1573" t="str">
        <f t="shared" si="11"/>
        <v>公共部分装修</v>
      </c>
      <c r="R32" s="1574" t="s">
        <v>8</v>
      </c>
      <c r="S32" s="1575">
        <f t="shared" si="12"/>
        <v>100</v>
      </c>
      <c r="T32" s="1574" t="s">
        <v>8</v>
      </c>
      <c r="U32" s="1575">
        <f t="shared" si="13"/>
        <v>100</v>
      </c>
      <c r="V32" s="1574" t="s">
        <v>8</v>
      </c>
      <c r="W32" s="1575">
        <f t="shared" si="14"/>
        <v>100</v>
      </c>
      <c r="X32" s="1568"/>
      <c r="Y32" s="336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67"/>
      <c r="Q33" s="1573" t="str">
        <f t="shared" si="11"/>
        <v>成新度</v>
      </c>
      <c r="R33" s="1574" t="s">
        <v>8</v>
      </c>
      <c r="S33" s="1575" t="e">
        <f t="shared" si="12"/>
        <v>#N/A</v>
      </c>
      <c r="T33" s="1574" t="s">
        <v>8</v>
      </c>
      <c r="U33" s="1575" t="e">
        <f t="shared" si="13"/>
        <v>#N/A</v>
      </c>
      <c r="V33" s="1574" t="s">
        <v>8</v>
      </c>
      <c r="W33" s="1575" t="e">
        <f t="shared" si="14"/>
        <v>#N/A</v>
      </c>
      <c r="X33" s="1568"/>
      <c r="Y33" s="336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67"/>
      <c r="Q34" s="1151" t="str">
        <f t="shared" si="11"/>
        <v>物业管理</v>
      </c>
      <c r="R34" s="1569" t="s">
        <v>8</v>
      </c>
      <c r="S34" s="1570">
        <f t="shared" si="12"/>
        <v>100</v>
      </c>
      <c r="T34" s="1569" t="s">
        <v>8</v>
      </c>
      <c r="U34" s="1570">
        <f t="shared" si="13"/>
        <v>100</v>
      </c>
      <c r="V34" s="1569" t="s">
        <v>8</v>
      </c>
      <c r="W34" s="1570">
        <f t="shared" si="14"/>
        <v>100</v>
      </c>
      <c r="X34" s="1571"/>
      <c r="Y34" s="3367"/>
      <c r="Z34" s="1150" t="str">
        <f t="shared" si="15"/>
        <v>物业管理</v>
      </c>
      <c r="AA34" s="1572">
        <f t="shared" si="3"/>
        <v>1</v>
      </c>
      <c r="AB34" s="1572">
        <f t="shared" si="4"/>
        <v>1</v>
      </c>
      <c r="AC34" s="1572">
        <f t="shared" si="5"/>
        <v>1</v>
      </c>
    </row>
    <row r="35" spans="1:29" ht="15">
      <c r="A35" s="594"/>
      <c r="B35" s="1897" t="s">
        <v>2571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67" t="s">
        <v>550</v>
      </c>
      <c r="Q35" s="1573" t="str">
        <f t="shared" si="11"/>
        <v>市政基础设施</v>
      </c>
      <c r="R35" s="1574" t="s">
        <v>8</v>
      </c>
      <c r="S35" s="1575">
        <f t="shared" si="12"/>
        <v>100</v>
      </c>
      <c r="T35" s="1574" t="s">
        <v>8</v>
      </c>
      <c r="U35" s="1575">
        <f t="shared" si="13"/>
        <v>100</v>
      </c>
      <c r="V35" s="1574" t="s">
        <v>8</v>
      </c>
      <c r="W35" s="1575">
        <f t="shared" si="14"/>
        <v>100</v>
      </c>
      <c r="X35" s="1568"/>
      <c r="Y35" s="336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67"/>
      <c r="Q36" s="1573" t="str">
        <f t="shared" si="11"/>
        <v>内部装修</v>
      </c>
      <c r="R36" s="1574" t="s">
        <v>8</v>
      </c>
      <c r="S36" s="1575">
        <f t="shared" si="12"/>
        <v>100</v>
      </c>
      <c r="T36" s="1574" t="s">
        <v>8</v>
      </c>
      <c r="U36" s="1575">
        <f t="shared" si="13"/>
        <v>100</v>
      </c>
      <c r="V36" s="1574" t="s">
        <v>8</v>
      </c>
      <c r="W36" s="1575">
        <f t="shared" si="14"/>
        <v>100</v>
      </c>
      <c r="X36" s="1568"/>
      <c r="Y36" s="336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67"/>
      <c r="Q37" s="1573" t="str">
        <f t="shared" si="11"/>
        <v>内部装修状况</v>
      </c>
      <c r="R37" s="1574" t="s">
        <v>8</v>
      </c>
      <c r="S37" s="1575">
        <f t="shared" si="12"/>
        <v>100</v>
      </c>
      <c r="T37" s="1574" t="s">
        <v>8</v>
      </c>
      <c r="U37" s="1575">
        <f t="shared" si="13"/>
        <v>100</v>
      </c>
      <c r="V37" s="1574" t="s">
        <v>8</v>
      </c>
      <c r="W37" s="1575">
        <f t="shared" si="14"/>
        <v>100</v>
      </c>
      <c r="X37" s="1568"/>
      <c r="Y37" s="336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67"/>
      <c r="Q38" s="1606">
        <f t="shared" si="11"/>
        <v>111</v>
      </c>
      <c r="R38" s="1578" t="s">
        <v>8</v>
      </c>
      <c r="S38" s="1579">
        <f t="shared" si="12"/>
        <v>100</v>
      </c>
      <c r="T38" s="1578" t="s">
        <v>8</v>
      </c>
      <c r="U38" s="1579">
        <f t="shared" si="13"/>
        <v>100</v>
      </c>
      <c r="V38" s="1578" t="s">
        <v>8</v>
      </c>
      <c r="W38" s="1579">
        <f t="shared" si="14"/>
        <v>100</v>
      </c>
      <c r="X38" s="1580"/>
      <c r="Y38" s="336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67"/>
      <c r="Q39" s="1573">
        <f t="shared" si="11"/>
        <v>111</v>
      </c>
      <c r="R39" s="1574" t="s">
        <v>8</v>
      </c>
      <c r="S39" s="1575">
        <f t="shared" si="12"/>
        <v>100</v>
      </c>
      <c r="T39" s="1574" t="s">
        <v>8</v>
      </c>
      <c r="U39" s="1575">
        <f t="shared" si="13"/>
        <v>100</v>
      </c>
      <c r="V39" s="1574" t="s">
        <v>8</v>
      </c>
      <c r="W39" s="1575">
        <f t="shared" si="14"/>
        <v>100</v>
      </c>
      <c r="X39" s="1568"/>
      <c r="Y39" s="336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5"/>
      <c r="Q40" s="1573">
        <f t="shared" si="11"/>
        <v>111</v>
      </c>
      <c r="R40" s="1574" t="s">
        <v>8</v>
      </c>
      <c r="S40" s="1575">
        <f t="shared" si="12"/>
        <v>100</v>
      </c>
      <c r="T40" s="1574" t="s">
        <v>8</v>
      </c>
      <c r="U40" s="1575">
        <f t="shared" si="13"/>
        <v>100</v>
      </c>
      <c r="V40" s="1574" t="s">
        <v>8</v>
      </c>
      <c r="W40" s="1575">
        <f t="shared" si="14"/>
        <v>100</v>
      </c>
      <c r="X40" s="1568"/>
      <c r="Y40" s="3465"/>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362" t="str">
        <f>A41</f>
        <v>成交单价（元/平方米）</v>
      </c>
      <c r="Q41" s="3362"/>
      <c r="R41" s="3464">
        <f>E41</f>
        <v>0</v>
      </c>
      <c r="S41" s="3464"/>
      <c r="T41" s="3464">
        <f>G41</f>
        <v>0</v>
      </c>
      <c r="U41" s="3464"/>
      <c r="V41" s="3464">
        <f>I41</f>
        <v>0</v>
      </c>
      <c r="W41" s="3464"/>
      <c r="X41" s="1560"/>
      <c r="Y41" s="1582"/>
      <c r="Z41" s="1560"/>
      <c r="AA41" s="1560"/>
      <c r="AB41" s="1560"/>
      <c r="AC41" s="1560"/>
    </row>
    <row r="42" spans="1:29" ht="15.75" thickBot="1">
      <c r="A42" s="615" t="s">
        <v>2768</v>
      </c>
      <c r="B42" s="888"/>
      <c r="C42" s="2659" t="e">
        <f>R43</f>
        <v>#DIV/0!</v>
      </c>
      <c r="D42" s="2660"/>
      <c r="E42" s="2661" t="e">
        <f>R42</f>
        <v>#DIV/0!</v>
      </c>
      <c r="F42" s="2661"/>
      <c r="G42" s="2659" t="e">
        <f>T42</f>
        <v>#DIV/0!</v>
      </c>
      <c r="H42" s="2660"/>
      <c r="I42" s="2661" t="e">
        <f>V42</f>
        <v>#DIV/0!</v>
      </c>
      <c r="J42" s="2660"/>
      <c r="K42" s="1613"/>
      <c r="L42" s="2146"/>
      <c r="M42" s="2147"/>
      <c r="N42" s="2136"/>
      <c r="O42" s="2147"/>
      <c r="P42" s="3362" t="str">
        <f>A42</f>
        <v>比较价格（元/平方米）</v>
      </c>
      <c r="Q42" s="3362"/>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2945</v>
      </c>
      <c r="B43" s="622"/>
      <c r="C43" s="2662" t="e">
        <f>R43</f>
        <v>#DIV/0!</v>
      </c>
      <c r="D43" s="2662"/>
      <c r="E43" s="2662"/>
      <c r="F43" s="2662"/>
      <c r="G43" s="2662"/>
      <c r="H43" s="2662"/>
      <c r="I43" s="2662"/>
      <c r="J43" s="2662"/>
      <c r="K43" s="1614"/>
      <c r="L43" s="2146"/>
      <c r="M43" s="2147"/>
      <c r="N43" s="2147"/>
      <c r="O43" s="2147"/>
      <c r="P43" s="3384" t="str">
        <f>A43</f>
        <v>估价对象XX用房的比较价格（楼面单价，元/平方米）</v>
      </c>
      <c r="Q43" s="3385"/>
      <c r="R43" s="3463" t="e">
        <f>IF(F1="售价",ROUND(AVERAGE(R42:V42),0),ROUND(AVERAGE(R42:V42),1))</f>
        <v>#DIV/0!</v>
      </c>
      <c r="S43" s="3463"/>
      <c r="T43" s="3463"/>
      <c r="U43" s="3463"/>
      <c r="V43" s="3463"/>
      <c r="W43" s="3463"/>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2563</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2564</v>
      </c>
      <c r="C76" s="2624" t="s">
        <v>2565</v>
      </c>
      <c r="D76" s="2624" t="s">
        <v>2566</v>
      </c>
      <c r="E76" s="2624" t="s">
        <v>2567</v>
      </c>
      <c r="F76" s="2624" t="s">
        <v>2568</v>
      </c>
      <c r="G76" s="2624" t="s">
        <v>2569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8" t="s">
        <v>798</v>
      </c>
      <c r="D4" s="3369"/>
      <c r="E4" s="3368" t="s">
        <v>799</v>
      </c>
      <c r="F4" s="3369"/>
      <c r="G4" s="3368" t="s">
        <v>800</v>
      </c>
      <c r="H4" s="3369"/>
      <c r="I4" s="3368" t="s">
        <v>801</v>
      </c>
      <c r="J4" s="3369"/>
      <c r="K4" s="514" t="s">
        <v>802</v>
      </c>
      <c r="L4" s="2135"/>
      <c r="M4" s="2136"/>
      <c r="N4" s="2136"/>
      <c r="O4" s="2136"/>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79" t="s">
        <v>2939</v>
      </c>
      <c r="D5" s="3380"/>
      <c r="E5" s="3379" t="s">
        <v>2940</v>
      </c>
      <c r="F5" s="3380"/>
      <c r="G5" s="3379" t="s">
        <v>2941</v>
      </c>
      <c r="H5" s="3380"/>
      <c r="I5" s="3379" t="s">
        <v>2942</v>
      </c>
      <c r="J5" s="3380"/>
      <c r="K5" s="51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97" t="s">
        <v>2943</v>
      </c>
      <c r="D6" s="3378"/>
      <c r="E6" s="3381" t="s">
        <v>2943</v>
      </c>
      <c r="F6" s="3382"/>
      <c r="G6" s="3397" t="s">
        <v>2943</v>
      </c>
      <c r="H6" s="3378"/>
      <c r="I6" s="3397" t="s">
        <v>2943</v>
      </c>
      <c r="J6" s="3378"/>
      <c r="K6" s="51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40"/>
      <c r="B7" s="2947" t="s">
        <v>529</v>
      </c>
      <c r="C7" s="519">
        <f>'数据-取费表'!B2</f>
        <v>43077</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941"/>
      <c r="B8" s="2948"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36" si="3">D8/F8</f>
        <v>#DIV/0!</v>
      </c>
      <c r="AB8" s="1572" t="e">
        <f t="shared" ref="AB8:AB36" si="4">D8/H8</f>
        <v>#DIV/0!</v>
      </c>
      <c r="AC8" s="1572" t="e">
        <f t="shared" ref="AC8:AC36" si="5">D8/J8</f>
        <v>#DIV/0!</v>
      </c>
    </row>
    <row r="9" spans="1:29" s="1220" customFormat="1" ht="15">
      <c r="A9" s="2942"/>
      <c r="B9" s="2949" t="s">
        <v>2764</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943"/>
      <c r="B10" s="2948" t="s">
        <v>2765</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938" t="s">
        <v>2762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65"/>
      <c r="Q15" s="1573"/>
      <c r="R15" s="1574"/>
      <c r="S15" s="1575"/>
      <c r="T15" s="1574"/>
      <c r="U15" s="1575"/>
      <c r="V15" s="1574"/>
      <c r="W15" s="1575"/>
      <c r="X15" s="1568"/>
      <c r="Y15" s="3365"/>
      <c r="Z15" s="1576"/>
      <c r="AA15" s="1577">
        <v>1</v>
      </c>
      <c r="AB15" s="1577">
        <v>1</v>
      </c>
      <c r="AC15" s="1577">
        <v>1</v>
      </c>
    </row>
    <row r="16" spans="1:29" ht="42.75">
      <c r="A16" s="515"/>
      <c r="B16" s="2629" t="s">
        <v>2552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65"/>
      <c r="Q17" s="1573"/>
      <c r="R17" s="1574"/>
      <c r="S17" s="1575"/>
      <c r="T17" s="1574"/>
      <c r="U17" s="1575"/>
      <c r="V17" s="1574"/>
      <c r="W17" s="1575"/>
      <c r="X17" s="1568"/>
      <c r="Y17" s="3365"/>
      <c r="Z17" s="1576"/>
      <c r="AA17" s="1577">
        <v>1</v>
      </c>
      <c r="AB17" s="1577">
        <v>1</v>
      </c>
      <c r="AC17" s="1577">
        <v>1</v>
      </c>
    </row>
    <row r="18" spans="1:29" ht="28.5">
      <c r="A18" s="515"/>
      <c r="B18" s="2617" t="s">
        <v>2564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65"/>
      <c r="Q18" s="2605" t="str">
        <f>B18</f>
        <v>基础设施水平</v>
      </c>
      <c r="R18" s="1574" t="s">
        <v>8</v>
      </c>
      <c r="S18" s="1575">
        <f>F18</f>
        <v>100</v>
      </c>
      <c r="T18" s="1574" t="s">
        <v>8</v>
      </c>
      <c r="U18" s="1575">
        <f>H18</f>
        <v>100</v>
      </c>
      <c r="V18" s="1574" t="s">
        <v>8</v>
      </c>
      <c r="W18" s="1575">
        <f>J18</f>
        <v>100</v>
      </c>
      <c r="X18" s="2607"/>
      <c r="Y18" s="3365"/>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65"/>
      <c r="Q19" s="2605"/>
      <c r="R19" s="1574"/>
      <c r="S19" s="1575"/>
      <c r="T19" s="1574"/>
      <c r="U19" s="1575"/>
      <c r="V19" s="1574"/>
      <c r="W19" s="1575"/>
      <c r="X19" s="2607"/>
      <c r="Y19" s="3365"/>
      <c r="Z19" s="2606"/>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65"/>
      <c r="Q21" s="1573"/>
      <c r="R21" s="1574"/>
      <c r="S21" s="1575"/>
      <c r="T21" s="1574"/>
      <c r="U21" s="1575"/>
      <c r="V21" s="1574"/>
      <c r="W21" s="1575"/>
      <c r="X21" s="1568"/>
      <c r="Y21" s="336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65"/>
      <c r="Q24" s="1573">
        <f t="shared" ref="Q24:Q36" si="11">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65"/>
      <c r="Q25" s="1151">
        <f t="shared" si="11"/>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935" t="s">
        <v>2763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6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67"/>
      <c r="Q27" s="1606" t="str">
        <f t="shared" si="11"/>
        <v>项目停车位配比</v>
      </c>
      <c r="R27" s="1578" t="s">
        <v>8</v>
      </c>
      <c r="S27" s="1579">
        <f t="shared" si="12"/>
        <v>100</v>
      </c>
      <c r="T27" s="1578" t="s">
        <v>8</v>
      </c>
      <c r="U27" s="1579">
        <f t="shared" si="13"/>
        <v>100</v>
      </c>
      <c r="V27" s="1578" t="s">
        <v>8</v>
      </c>
      <c r="W27" s="1579">
        <f t="shared" si="14"/>
        <v>100</v>
      </c>
      <c r="X27" s="1580"/>
      <c r="Y27" s="336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67"/>
      <c r="Q28" s="1573" t="str">
        <f t="shared" si="11"/>
        <v>公共部分装修</v>
      </c>
      <c r="R28" s="1574" t="s">
        <v>8</v>
      </c>
      <c r="S28" s="1575">
        <f t="shared" si="12"/>
        <v>100</v>
      </c>
      <c r="T28" s="1574" t="s">
        <v>8</v>
      </c>
      <c r="U28" s="1575">
        <f t="shared" si="13"/>
        <v>100</v>
      </c>
      <c r="V28" s="1574" t="s">
        <v>8</v>
      </c>
      <c r="W28" s="1575">
        <f t="shared" si="14"/>
        <v>100</v>
      </c>
      <c r="X28" s="1568"/>
      <c r="Y28" s="336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67"/>
      <c r="Q29" s="1573" t="str">
        <f t="shared" si="11"/>
        <v>成新率</v>
      </c>
      <c r="R29" s="1574" t="s">
        <v>8</v>
      </c>
      <c r="S29" s="1575" t="e">
        <f t="shared" si="12"/>
        <v>#N/A</v>
      </c>
      <c r="T29" s="1574" t="s">
        <v>8</v>
      </c>
      <c r="U29" s="1575" t="e">
        <f t="shared" si="13"/>
        <v>#N/A</v>
      </c>
      <c r="V29" s="1574" t="s">
        <v>8</v>
      </c>
      <c r="W29" s="1575" t="e">
        <f t="shared" si="14"/>
        <v>#N/A</v>
      </c>
      <c r="X29" s="1568"/>
      <c r="Y29" s="336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67"/>
      <c r="Q30" s="1573" t="str">
        <f t="shared" si="11"/>
        <v>物业等级</v>
      </c>
      <c r="R30" s="1574" t="s">
        <v>8</v>
      </c>
      <c r="S30" s="1575">
        <f t="shared" si="12"/>
        <v>100</v>
      </c>
      <c r="T30" s="1574" t="s">
        <v>8</v>
      </c>
      <c r="U30" s="1575">
        <f t="shared" si="13"/>
        <v>100</v>
      </c>
      <c r="V30" s="1574" t="s">
        <v>8</v>
      </c>
      <c r="W30" s="1575">
        <f t="shared" si="14"/>
        <v>100</v>
      </c>
      <c r="X30" s="1568"/>
      <c r="Y30" s="336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67"/>
      <c r="Q31" s="1151" t="str">
        <f t="shared" si="11"/>
        <v>停车位面积</v>
      </c>
      <c r="R31" s="1569" t="s">
        <v>8</v>
      </c>
      <c r="S31" s="1570" t="e">
        <f t="shared" si="12"/>
        <v>#N/A</v>
      </c>
      <c r="T31" s="1569" t="s">
        <v>8</v>
      </c>
      <c r="U31" s="1570" t="e">
        <f t="shared" si="13"/>
        <v>#N/A</v>
      </c>
      <c r="V31" s="1569" t="s">
        <v>8</v>
      </c>
      <c r="W31" s="1570" t="e">
        <f t="shared" si="14"/>
        <v>#N/A</v>
      </c>
      <c r="X31" s="1571"/>
      <c r="Y31" s="336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67" t="s">
        <v>550</v>
      </c>
      <c r="Q32" s="1573" t="str">
        <f t="shared" si="11"/>
        <v>车位类型</v>
      </c>
      <c r="R32" s="1574" t="s">
        <v>8</v>
      </c>
      <c r="S32" s="1575">
        <f t="shared" si="12"/>
        <v>100</v>
      </c>
      <c r="T32" s="1574" t="s">
        <v>8</v>
      </c>
      <c r="U32" s="1575">
        <f t="shared" si="13"/>
        <v>100</v>
      </c>
      <c r="V32" s="1574" t="s">
        <v>8</v>
      </c>
      <c r="W32" s="1575">
        <f t="shared" si="14"/>
        <v>100</v>
      </c>
      <c r="X32" s="1568"/>
      <c r="Y32" s="336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67"/>
      <c r="Q33" s="1573" t="str">
        <f t="shared" si="11"/>
        <v>是否直接入户</v>
      </c>
      <c r="R33" s="1574" t="s">
        <v>8</v>
      </c>
      <c r="S33" s="1575">
        <f t="shared" si="12"/>
        <v>100</v>
      </c>
      <c r="T33" s="1574" t="s">
        <v>8</v>
      </c>
      <c r="U33" s="1575">
        <f t="shared" si="13"/>
        <v>100</v>
      </c>
      <c r="V33" s="1574" t="s">
        <v>8</v>
      </c>
      <c r="W33" s="1575">
        <f t="shared" si="14"/>
        <v>100</v>
      </c>
      <c r="X33" s="1568"/>
      <c r="Y33" s="336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67"/>
      <c r="Q34" s="1573">
        <f t="shared" si="11"/>
        <v>111</v>
      </c>
      <c r="R34" s="1574" t="s">
        <v>8</v>
      </c>
      <c r="S34" s="1575">
        <f t="shared" si="12"/>
        <v>100</v>
      </c>
      <c r="T34" s="1574" t="s">
        <v>8</v>
      </c>
      <c r="U34" s="1575">
        <f t="shared" si="13"/>
        <v>100</v>
      </c>
      <c r="V34" s="1574" t="s">
        <v>8</v>
      </c>
      <c r="W34" s="1575">
        <f t="shared" si="14"/>
        <v>100</v>
      </c>
      <c r="X34" s="1568"/>
      <c r="Y34" s="336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67"/>
      <c r="Q35" s="1606">
        <f t="shared" si="11"/>
        <v>111</v>
      </c>
      <c r="R35" s="1578" t="s">
        <v>8</v>
      </c>
      <c r="S35" s="1579">
        <f t="shared" si="12"/>
        <v>100</v>
      </c>
      <c r="T35" s="1578" t="s">
        <v>8</v>
      </c>
      <c r="U35" s="1579">
        <f t="shared" si="13"/>
        <v>100</v>
      </c>
      <c r="V35" s="1578" t="s">
        <v>8</v>
      </c>
      <c r="W35" s="1579">
        <f t="shared" si="14"/>
        <v>100</v>
      </c>
      <c r="X35" s="1580"/>
      <c r="Y35" s="336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67"/>
      <c r="Q36" s="1573">
        <f t="shared" si="11"/>
        <v>111</v>
      </c>
      <c r="R36" s="1574" t="s">
        <v>8</v>
      </c>
      <c r="S36" s="1575">
        <f t="shared" si="12"/>
        <v>100</v>
      </c>
      <c r="T36" s="1574" t="s">
        <v>8</v>
      </c>
      <c r="U36" s="1575">
        <f t="shared" si="13"/>
        <v>100</v>
      </c>
      <c r="V36" s="1574" t="s">
        <v>8</v>
      </c>
      <c r="W36" s="1575">
        <f t="shared" si="14"/>
        <v>100</v>
      </c>
      <c r="X36" s="1568"/>
      <c r="Y36" s="3367"/>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3362" t="str">
        <f>A37</f>
        <v>成交单价</v>
      </c>
      <c r="Q37" s="3362"/>
      <c r="R37" s="3464">
        <f>E37</f>
        <v>0</v>
      </c>
      <c r="S37" s="3464"/>
      <c r="T37" s="3464">
        <f>G37</f>
        <v>0</v>
      </c>
      <c r="U37" s="3464"/>
      <c r="V37" s="3464">
        <f>I37</f>
        <v>0</v>
      </c>
      <c r="W37" s="3464"/>
      <c r="X37" s="1560"/>
      <c r="Y37" s="1582"/>
      <c r="Z37" s="1560"/>
      <c r="AA37" s="1560"/>
      <c r="AB37" s="1560"/>
      <c r="AC37" s="1560"/>
    </row>
    <row r="38" spans="1:29" ht="15.75" thickBot="1">
      <c r="A38" s="615" t="s">
        <v>2768</v>
      </c>
      <c r="B38" s="888"/>
      <c r="C38" s="2659" t="e">
        <f>R39</f>
        <v>#DIV/0!</v>
      </c>
      <c r="D38" s="2660"/>
      <c r="E38" s="2661" t="e">
        <f>R38</f>
        <v>#DIV/0!</v>
      </c>
      <c r="F38" s="2661"/>
      <c r="G38" s="2659" t="e">
        <f>T38</f>
        <v>#DIV/0!</v>
      </c>
      <c r="H38" s="2660"/>
      <c r="I38" s="2661" t="e">
        <f>V38</f>
        <v>#DIV/0!</v>
      </c>
      <c r="J38" s="2660"/>
      <c r="K38" s="1613"/>
      <c r="L38" s="2146"/>
      <c r="M38" s="2147"/>
      <c r="N38" s="2147"/>
      <c r="O38" s="2147"/>
      <c r="P38" s="3362" t="str">
        <f>A38</f>
        <v>比较价格（元/平方米）</v>
      </c>
      <c r="Q38" s="3362"/>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2945</v>
      </c>
      <c r="B39" s="622"/>
      <c r="C39" s="2662" t="e">
        <f>R39</f>
        <v>#DIV/0!</v>
      </c>
      <c r="D39" s="2662"/>
      <c r="E39" s="2662"/>
      <c r="F39" s="2662"/>
      <c r="G39" s="2662"/>
      <c r="H39" s="2662"/>
      <c r="I39" s="2662"/>
      <c r="J39" s="2662"/>
      <c r="K39" s="1614"/>
      <c r="L39" s="2146"/>
      <c r="M39" s="2147"/>
      <c r="N39" s="2147"/>
      <c r="O39" s="2147"/>
      <c r="P39" s="3384" t="str">
        <f>A39</f>
        <v>估价对象XX用房的比较价格（楼面单价，元/平方米）</v>
      </c>
      <c r="Q39" s="3385"/>
      <c r="R39" s="3463" t="e">
        <f>IF(F1="售价",ROUND(AVERAGE(R38:V38),0),ROUND(AVERAGE(R38:V38),1))</f>
        <v>#DIV/0!</v>
      </c>
      <c r="S39" s="3463"/>
      <c r="T39" s="3463"/>
      <c r="U39" s="3463"/>
      <c r="V39" s="3463"/>
      <c r="W39" s="3463"/>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2563</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2564</v>
      </c>
      <c r="C67" s="2624" t="s">
        <v>2565</v>
      </c>
      <c r="D67" s="2624" t="s">
        <v>2566</v>
      </c>
      <c r="E67" s="2624" t="s">
        <v>2567</v>
      </c>
      <c r="F67" s="2624" t="s">
        <v>2568</v>
      </c>
      <c r="G67" s="2624" t="s">
        <v>2569</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8" t="s">
        <v>798</v>
      </c>
      <c r="D4" s="3369"/>
      <c r="E4" s="3393" t="s">
        <v>799</v>
      </c>
      <c r="F4" s="3394"/>
      <c r="G4" s="3368" t="s">
        <v>800</v>
      </c>
      <c r="H4" s="3369"/>
      <c r="I4" s="3368" t="s">
        <v>801</v>
      </c>
      <c r="J4" s="3369"/>
      <c r="K4" s="514" t="s">
        <v>802</v>
      </c>
      <c r="L4" s="2135"/>
      <c r="M4" s="2136"/>
      <c r="N4" s="2136"/>
      <c r="O4" s="2136"/>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79" t="s">
        <v>2939</v>
      </c>
      <c r="D5" s="3380"/>
      <c r="E5" s="3395" t="s">
        <v>2940</v>
      </c>
      <c r="F5" s="3396"/>
      <c r="G5" s="3379" t="s">
        <v>2941</v>
      </c>
      <c r="H5" s="3380"/>
      <c r="I5" s="3379" t="s">
        <v>2942</v>
      </c>
      <c r="J5" s="3380"/>
      <c r="K5" s="51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97" t="s">
        <v>2943</v>
      </c>
      <c r="D6" s="3378"/>
      <c r="E6" s="3398" t="s">
        <v>2943</v>
      </c>
      <c r="F6" s="3399"/>
      <c r="G6" s="3397" t="s">
        <v>2943</v>
      </c>
      <c r="H6" s="3378"/>
      <c r="I6" s="3397" t="s">
        <v>2943</v>
      </c>
      <c r="J6" s="3378"/>
      <c r="K6" s="51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40"/>
      <c r="B7" s="2947" t="s">
        <v>529</v>
      </c>
      <c r="C7" s="519">
        <f>'数据-取费表'!B2</f>
        <v>43077</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941"/>
      <c r="B8" s="2948"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34" si="3">D8/F8</f>
        <v>#DIV/0!</v>
      </c>
      <c r="AB8" s="1572" t="e">
        <f t="shared" ref="AB8:AB34" si="4">D8/H8</f>
        <v>#DIV/0!</v>
      </c>
      <c r="AC8" s="1572" t="e">
        <f t="shared" ref="AC8:AC34" si="5">D8/J8</f>
        <v>#DIV/0!</v>
      </c>
    </row>
    <row r="9" spans="1:29" s="1220" customFormat="1" ht="15">
      <c r="A9" s="2942"/>
      <c r="B9" s="2949" t="s">
        <v>2764</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943"/>
      <c r="B10" s="2948" t="s">
        <v>2765</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938" t="s">
        <v>2762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65"/>
      <c r="Q15" s="1573"/>
      <c r="R15" s="1574"/>
      <c r="S15" s="1575"/>
      <c r="T15" s="1574"/>
      <c r="U15" s="1575"/>
      <c r="V15" s="1574"/>
      <c r="W15" s="1575"/>
      <c r="X15" s="1568"/>
      <c r="Y15" s="3365"/>
      <c r="Z15" s="1576"/>
      <c r="AA15" s="1577">
        <v>1</v>
      </c>
      <c r="AB15" s="1577">
        <v>1</v>
      </c>
      <c r="AC15" s="1577">
        <v>1</v>
      </c>
    </row>
    <row r="16" spans="1:29" ht="42.75">
      <c r="A16" s="532"/>
      <c r="B16" s="2629" t="s">
        <v>2552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65"/>
      <c r="Q17" s="1573"/>
      <c r="R17" s="1574"/>
      <c r="S17" s="1575"/>
      <c r="T17" s="1574"/>
      <c r="U17" s="1575"/>
      <c r="V17" s="1574"/>
      <c r="W17" s="1575"/>
      <c r="X17" s="1568"/>
      <c r="Y17" s="3365"/>
      <c r="Z17" s="1576"/>
      <c r="AA17" s="1577">
        <v>1</v>
      </c>
      <c r="AB17" s="1577">
        <v>1</v>
      </c>
      <c r="AC17" s="1577">
        <v>1</v>
      </c>
    </row>
    <row r="18" spans="1:29" ht="28.5">
      <c r="A18" s="532"/>
      <c r="B18" s="2617" t="s">
        <v>2564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65"/>
      <c r="Q18" s="2605" t="str">
        <f>B18</f>
        <v>基础设施水平</v>
      </c>
      <c r="R18" s="1574" t="s">
        <v>8</v>
      </c>
      <c r="S18" s="1575">
        <f>F18</f>
        <v>100</v>
      </c>
      <c r="T18" s="1574" t="s">
        <v>8</v>
      </c>
      <c r="U18" s="1575">
        <f>H18</f>
        <v>100</v>
      </c>
      <c r="V18" s="1574" t="s">
        <v>8</v>
      </c>
      <c r="W18" s="1575">
        <f>J18</f>
        <v>100</v>
      </c>
      <c r="X18" s="2607"/>
      <c r="Y18" s="3365"/>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65"/>
      <c r="Q19" s="2605"/>
      <c r="R19" s="1574"/>
      <c r="S19" s="1575"/>
      <c r="T19" s="1574"/>
      <c r="U19" s="1575"/>
      <c r="V19" s="1574"/>
      <c r="W19" s="1575"/>
      <c r="X19" s="2607"/>
      <c r="Y19" s="3365"/>
      <c r="Z19" s="2606"/>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65"/>
      <c r="Q21" s="1573"/>
      <c r="R21" s="1574"/>
      <c r="S21" s="1575"/>
      <c r="T21" s="1574"/>
      <c r="U21" s="1575"/>
      <c r="V21" s="1574"/>
      <c r="W21" s="1575"/>
      <c r="X21" s="1568"/>
      <c r="Y21" s="336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65"/>
      <c r="Q24" s="1573">
        <f t="shared" ref="Q24:Q34" si="11">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65"/>
      <c r="Q25" s="1151">
        <f t="shared" si="11"/>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935" t="s">
        <v>2763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6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67"/>
      <c r="Q27" s="1606" t="str">
        <f t="shared" si="11"/>
        <v>成新率</v>
      </c>
      <c r="R27" s="1578" t="s">
        <v>8</v>
      </c>
      <c r="S27" s="1579" t="e">
        <f t="shared" si="12"/>
        <v>#N/A</v>
      </c>
      <c r="T27" s="1578" t="s">
        <v>8</v>
      </c>
      <c r="U27" s="1579" t="e">
        <f t="shared" si="13"/>
        <v>#N/A</v>
      </c>
      <c r="V27" s="1578" t="s">
        <v>8</v>
      </c>
      <c r="W27" s="1579" t="e">
        <f t="shared" si="14"/>
        <v>#N/A</v>
      </c>
      <c r="X27" s="1580"/>
      <c r="Y27" s="336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67"/>
      <c r="Q28" s="1573" t="str">
        <f t="shared" si="11"/>
        <v>物业等级</v>
      </c>
      <c r="R28" s="1574" t="s">
        <v>8</v>
      </c>
      <c r="S28" s="1575">
        <f t="shared" si="12"/>
        <v>100</v>
      </c>
      <c r="T28" s="1574" t="s">
        <v>8</v>
      </c>
      <c r="U28" s="1575">
        <f t="shared" si="13"/>
        <v>100</v>
      </c>
      <c r="V28" s="1574" t="s">
        <v>8</v>
      </c>
      <c r="W28" s="1575">
        <f t="shared" si="14"/>
        <v>100</v>
      </c>
      <c r="X28" s="1568"/>
      <c r="Y28" s="336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67"/>
      <c r="Q29" s="1573" t="str">
        <f t="shared" si="11"/>
        <v>有无电梯</v>
      </c>
      <c r="R29" s="1574" t="s">
        <v>8</v>
      </c>
      <c r="S29" s="1575">
        <f t="shared" si="12"/>
        <v>100</v>
      </c>
      <c r="T29" s="1574" t="s">
        <v>8</v>
      </c>
      <c r="U29" s="1575">
        <f t="shared" si="13"/>
        <v>100</v>
      </c>
      <c r="V29" s="1574" t="s">
        <v>8</v>
      </c>
      <c r="W29" s="1575">
        <f t="shared" si="14"/>
        <v>100</v>
      </c>
      <c r="X29" s="1568"/>
      <c r="Y29" s="336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67"/>
      <c r="Q30" s="1573" t="str">
        <f t="shared" si="11"/>
        <v>建筑面积</v>
      </c>
      <c r="R30" s="1574" t="s">
        <v>8</v>
      </c>
      <c r="S30" s="1575" t="e">
        <f t="shared" si="12"/>
        <v>#N/A</v>
      </c>
      <c r="T30" s="1574" t="s">
        <v>8</v>
      </c>
      <c r="U30" s="1575" t="e">
        <f t="shared" si="13"/>
        <v>#N/A</v>
      </c>
      <c r="V30" s="1574" t="s">
        <v>8</v>
      </c>
      <c r="W30" s="1575" t="e">
        <f t="shared" si="14"/>
        <v>#N/A</v>
      </c>
      <c r="X30" s="1568"/>
      <c r="Y30" s="336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67"/>
      <c r="Q31" s="1151" t="str">
        <f t="shared" si="11"/>
        <v>是否封闭</v>
      </c>
      <c r="R31" s="1569" t="s">
        <v>8</v>
      </c>
      <c r="S31" s="1570">
        <f t="shared" si="12"/>
        <v>100</v>
      </c>
      <c r="T31" s="1569" t="s">
        <v>8</v>
      </c>
      <c r="U31" s="1570">
        <f t="shared" si="13"/>
        <v>100</v>
      </c>
      <c r="V31" s="1569" t="s">
        <v>8</v>
      </c>
      <c r="W31" s="1570">
        <f t="shared" si="14"/>
        <v>100</v>
      </c>
      <c r="X31" s="1571"/>
      <c r="Y31" s="336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67" t="s">
        <v>550</v>
      </c>
      <c r="Q32" s="1573">
        <f t="shared" si="11"/>
        <v>111</v>
      </c>
      <c r="R32" s="1574" t="s">
        <v>8</v>
      </c>
      <c r="S32" s="1575">
        <f t="shared" si="12"/>
        <v>100</v>
      </c>
      <c r="T32" s="1574" t="s">
        <v>8</v>
      </c>
      <c r="U32" s="1575">
        <f t="shared" si="13"/>
        <v>100</v>
      </c>
      <c r="V32" s="1574" t="s">
        <v>8</v>
      </c>
      <c r="W32" s="1575">
        <f t="shared" si="14"/>
        <v>100</v>
      </c>
      <c r="X32" s="1568"/>
      <c r="Y32" s="336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67"/>
      <c r="Q33" s="1573">
        <f t="shared" si="11"/>
        <v>111</v>
      </c>
      <c r="R33" s="1574" t="s">
        <v>8</v>
      </c>
      <c r="S33" s="1575">
        <f t="shared" si="12"/>
        <v>100</v>
      </c>
      <c r="T33" s="1574" t="s">
        <v>8</v>
      </c>
      <c r="U33" s="1575">
        <f t="shared" si="13"/>
        <v>100</v>
      </c>
      <c r="V33" s="1574" t="s">
        <v>8</v>
      </c>
      <c r="W33" s="1575">
        <f t="shared" si="14"/>
        <v>100</v>
      </c>
      <c r="X33" s="1568"/>
      <c r="Y33" s="336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67"/>
      <c r="Q34" s="1573">
        <f t="shared" si="11"/>
        <v>111</v>
      </c>
      <c r="R34" s="1574" t="s">
        <v>8</v>
      </c>
      <c r="S34" s="1575">
        <f t="shared" si="12"/>
        <v>100</v>
      </c>
      <c r="T34" s="1574" t="s">
        <v>8</v>
      </c>
      <c r="U34" s="1575">
        <f t="shared" si="13"/>
        <v>100</v>
      </c>
      <c r="V34" s="1574" t="s">
        <v>8</v>
      </c>
      <c r="W34" s="1575">
        <f t="shared" si="14"/>
        <v>100</v>
      </c>
      <c r="X34" s="1568"/>
      <c r="Y34" s="3367"/>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362" t="str">
        <f>A35</f>
        <v>成交单价（元/平方米）</v>
      </c>
      <c r="Q35" s="3362"/>
      <c r="R35" s="3464">
        <f>E35</f>
        <v>0</v>
      </c>
      <c r="S35" s="3464"/>
      <c r="T35" s="3464">
        <f>G35</f>
        <v>0</v>
      </c>
      <c r="U35" s="3464"/>
      <c r="V35" s="3464">
        <f>I35</f>
        <v>0</v>
      </c>
      <c r="W35" s="3464"/>
      <c r="X35" s="1560"/>
      <c r="Y35" s="1582"/>
      <c r="Z35" s="1560"/>
      <c r="AA35" s="1560"/>
      <c r="AB35" s="1560"/>
      <c r="AC35" s="1560"/>
    </row>
    <row r="36" spans="1:29" ht="15.75" thickBot="1">
      <c r="A36" s="615" t="s">
        <v>2768</v>
      </c>
      <c r="B36" s="888"/>
      <c r="C36" s="2659" t="e">
        <f>R37</f>
        <v>#DIV/0!</v>
      </c>
      <c r="D36" s="2660"/>
      <c r="E36" s="2661" t="e">
        <f>R36</f>
        <v>#DIV/0!</v>
      </c>
      <c r="F36" s="2661"/>
      <c r="G36" s="2659" t="e">
        <f>T36</f>
        <v>#DIV/0!</v>
      </c>
      <c r="H36" s="2660"/>
      <c r="I36" s="2661" t="e">
        <f>V36</f>
        <v>#DIV/0!</v>
      </c>
      <c r="J36" s="2660"/>
      <c r="K36" s="1613"/>
      <c r="L36" s="2146"/>
      <c r="M36" s="2147"/>
      <c r="N36" s="2136"/>
      <c r="O36" s="2147"/>
      <c r="P36" s="3362" t="str">
        <f>A36</f>
        <v>比较价格（元/平方米）</v>
      </c>
      <c r="Q36" s="3362"/>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2945</v>
      </c>
      <c r="B37" s="622"/>
      <c r="C37" s="2662" t="e">
        <f>R37</f>
        <v>#DIV/0!</v>
      </c>
      <c r="D37" s="2662"/>
      <c r="E37" s="2662"/>
      <c r="F37" s="2662"/>
      <c r="G37" s="2662"/>
      <c r="H37" s="2662"/>
      <c r="I37" s="2662"/>
      <c r="J37" s="2662"/>
      <c r="K37" s="1614"/>
      <c r="L37" s="2146"/>
      <c r="M37" s="2147"/>
      <c r="N37" s="2147"/>
      <c r="O37" s="2147"/>
      <c r="P37" s="3384" t="str">
        <f>A37</f>
        <v>估价对象XX用房的比较价格（楼面单价，元/平方米）</v>
      </c>
      <c r="Q37" s="3385"/>
      <c r="R37" s="3463" t="e">
        <f>IF(F1="售价",ROUND(AVERAGE(R36:V36),0),ROUND(AVERAGE(R36:V36),1))</f>
        <v>#DIV/0!</v>
      </c>
      <c r="S37" s="3463"/>
      <c r="T37" s="3463"/>
      <c r="U37" s="3463"/>
      <c r="V37" s="3463"/>
      <c r="W37" s="3463"/>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2563</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2564</v>
      </c>
      <c r="C65" s="2624" t="s">
        <v>2565</v>
      </c>
      <c r="D65" s="2624" t="s">
        <v>2566</v>
      </c>
      <c r="E65" s="2624" t="s">
        <v>2567</v>
      </c>
      <c r="F65" s="2624" t="s">
        <v>2568</v>
      </c>
      <c r="G65" s="2624" t="s">
        <v>2569</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3" t="s">
        <v>2307</v>
      </c>
      <c r="D1" s="3474"/>
      <c r="E1" s="3474"/>
      <c r="F1" s="3474"/>
      <c r="G1" s="3474"/>
      <c r="H1" s="3474"/>
      <c r="I1" s="3474"/>
      <c r="J1" s="3474"/>
      <c r="K1" s="3474"/>
      <c r="L1" s="3474"/>
      <c r="M1" s="3474"/>
      <c r="N1" s="3474"/>
      <c r="O1" s="3474"/>
      <c r="P1" s="3474"/>
      <c r="Q1" s="3474"/>
      <c r="R1" s="3474"/>
      <c r="S1" s="3475"/>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8" t="s">
        <v>2938</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20" t="s">
        <v>2937</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20" t="s">
        <v>2936</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9"/>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8" t="s">
        <v>2951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8" t="s">
        <v>2935</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8" t="s">
        <v>2934</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受贵公司委托，我公司对郑州市荥阳市出让国有建设用地使用权抵押价格进行了预评估。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郑州市荥阳市出让国有建设用地使用权。根据《国有土地使用证》[]，估价对象（分摊）出让国有建设用地使用权面积为664499.4平方米。根据《建设工程规划许可证》[]、《出让合同》[]，估价对象规划建筑面积为1839613.34平方米。</v>
      </c>
    </row>
    <row r="7" spans="1:4" ht="93.75">
      <c r="A7" s="2901" t="s">
        <v>2756</v>
      </c>
    </row>
    <row r="8" spans="1:4" ht="18.75">
      <c r="A8" s="1796" t="s">
        <v>1907</v>
      </c>
    </row>
    <row r="9" spans="1:4" ht="75">
      <c r="A9" s="1798" t="str">
        <f>IF(项目基本情况!B8="抵押",IF(项目基本情况!B5=项目基本情况!B6,定义!C51,定义!B51),定义!D51)</f>
        <v>拟使用郑州市荥阳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2017年12月8日（评估专业人员勘察现场之日）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根据《国有土地使用证》[]，估价对象（分摊）出让国有建设用地使用权面积为664499.4平方米。根据《建设工程规划许可证》[]、《出让合同》[]，估价对象规划建筑面积为1839613.34平方米。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2757</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2017年12月8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2796</v>
      </c>
      <c r="C1" s="3032">
        <f>项目基本情况!D3</f>
        <v>43077</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2827</v>
      </c>
      <c r="C2" s="3033">
        <f>'数据-取费表'!B22</f>
        <v>3</v>
      </c>
      <c r="D2" s="3028" t="s">
        <v>2797</v>
      </c>
      <c r="E2" s="3031">
        <f ca="1">INDIRECT("I"&amp;$I$1)/100</f>
        <v>4.7500000000000001E-2</v>
      </c>
      <c r="G2" s="2968"/>
      <c r="H2" s="2968"/>
      <c r="I2" s="2968" t="s">
        <v>2798</v>
      </c>
      <c r="K2" s="2968"/>
      <c r="L2" s="2968"/>
      <c r="M2" s="2968"/>
      <c r="N2" s="2968" t="s">
        <v>2799</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2829</v>
      </c>
      <c r="C3" s="3030">
        <f>'数据-取费表'!B19</f>
        <v>0</v>
      </c>
      <c r="D3" s="3028" t="s">
        <v>2797</v>
      </c>
      <c r="E3" s="3031">
        <f ca="1">INDIRECT("J"&amp;$J$1)/100</f>
        <v>0</v>
      </c>
      <c r="G3" s="2970" t="s">
        <v>2800</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2828</v>
      </c>
      <c r="C4" s="3031">
        <f ca="1">N4/100</f>
        <v>1.4999999999999999E-2</v>
      </c>
      <c r="G4" s="2976" t="s">
        <v>2801</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2802</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2803</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2804</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2805</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2806</v>
      </c>
      <c r="C10" s="2995"/>
      <c r="D10" s="2995"/>
      <c r="E10" s="2995"/>
      <c r="F10" s="2995"/>
      <c r="G10" s="2995"/>
      <c r="H10" s="2995"/>
      <c r="I10" s="2969"/>
      <c r="J10" s="2969"/>
      <c r="K10" s="2995"/>
      <c r="L10" s="2996" t="s">
        <v>2807</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2808</v>
      </c>
      <c r="C11" s="3000" t="s">
        <v>2809</v>
      </c>
      <c r="D11" s="3001" t="s">
        <v>2810</v>
      </c>
      <c r="E11" s="3002"/>
      <c r="F11" s="3001" t="s">
        <v>2811</v>
      </c>
      <c r="G11" s="3003"/>
      <c r="H11" s="3002"/>
      <c r="I11" s="3001" t="s">
        <v>2812</v>
      </c>
      <c r="J11" s="3002"/>
      <c r="K11" s="2998"/>
      <c r="L11" s="2999" t="s">
        <v>2808</v>
      </c>
      <c r="M11" s="3000" t="s">
        <v>2809</v>
      </c>
      <c r="N11" s="2999" t="s">
        <v>2813</v>
      </c>
      <c r="O11" s="3001" t="s">
        <v>2814</v>
      </c>
      <c r="P11" s="3003"/>
      <c r="Q11" s="3003"/>
      <c r="R11" s="3003"/>
      <c r="S11" s="3003"/>
      <c r="T11" s="3002"/>
      <c r="U11" s="3001" t="s">
        <v>2815</v>
      </c>
      <c r="V11" s="3003"/>
      <c r="W11" s="3002"/>
      <c r="X11" s="2999" t="s">
        <v>2816</v>
      </c>
      <c r="Y11" s="2999" t="s">
        <v>2817</v>
      </c>
      <c r="Z11" s="2999" t="s">
        <v>2818</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2819</v>
      </c>
      <c r="E12" s="3008" t="s">
        <v>2820</v>
      </c>
      <c r="F12" s="3008" t="s">
        <v>2821</v>
      </c>
      <c r="G12" s="3008" t="s">
        <v>2822</v>
      </c>
      <c r="H12" s="3008" t="s">
        <v>2804</v>
      </c>
      <c r="I12" s="3009" t="s">
        <v>2823</v>
      </c>
      <c r="J12" s="3009" t="s">
        <v>2823</v>
      </c>
      <c r="K12" s="3005"/>
      <c r="L12" s="3006"/>
      <c r="M12" s="3007"/>
      <c r="N12" s="3006"/>
      <c r="O12" s="3009" t="s">
        <v>2824</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2825</v>
      </c>
      <c r="C13" s="3013">
        <v>42301</v>
      </c>
      <c r="D13" s="3014">
        <v>4.3499999999999996</v>
      </c>
      <c r="E13" s="3014">
        <v>4.3499999999999996</v>
      </c>
      <c r="F13" s="3014">
        <v>4.75</v>
      </c>
      <c r="G13" s="3014">
        <v>4.75</v>
      </c>
      <c r="H13" s="3014">
        <v>4.9000000000000004</v>
      </c>
      <c r="I13" s="3014">
        <v>2.75</v>
      </c>
      <c r="J13" s="3014">
        <v>3.25</v>
      </c>
      <c r="K13" s="3011"/>
      <c r="L13" s="3012" t="s">
        <v>2825</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2826</v>
      </c>
      <c r="Y42" s="3018" t="s">
        <v>2826</v>
      </c>
      <c r="Z42" s="3018" t="s">
        <v>2826</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2826</v>
      </c>
      <c r="Y43" s="3018" t="s">
        <v>2826</v>
      </c>
      <c r="Z43" s="3018" t="s">
        <v>2826</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2826</v>
      </c>
      <c r="Y44" s="3018" t="s">
        <v>2826</v>
      </c>
      <c r="Z44" s="3018" t="s">
        <v>2826</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2826</v>
      </c>
      <c r="Y45" s="3018" t="s">
        <v>2826</v>
      </c>
      <c r="Z45" s="3018" t="s">
        <v>2826</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2826</v>
      </c>
      <c r="Y46" s="3018" t="s">
        <v>2826</v>
      </c>
      <c r="Z46" s="3018" t="s">
        <v>2826</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2826</v>
      </c>
      <c r="Y47" s="3018" t="s">
        <v>2826</v>
      </c>
      <c r="Z47" s="3018" t="s">
        <v>2826</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2826</v>
      </c>
      <c r="Y48" s="3018" t="s">
        <v>2826</v>
      </c>
      <c r="Z48" s="3018" t="s">
        <v>2826</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2826</v>
      </c>
      <c r="Y49" s="3018" t="s">
        <v>2826</v>
      </c>
      <c r="Z49" s="3018" t="s">
        <v>2826</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2826</v>
      </c>
      <c r="Y50" s="3018" t="s">
        <v>2826</v>
      </c>
      <c r="Z50" s="3018" t="s">
        <v>2826</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2826</v>
      </c>
      <c r="V51" s="3018" t="s">
        <v>2826</v>
      </c>
      <c r="W51" s="3018" t="s">
        <v>2826</v>
      </c>
      <c r="X51" s="3018" t="s">
        <v>2826</v>
      </c>
      <c r="Y51" s="3018" t="s">
        <v>2826</v>
      </c>
      <c r="Z51" s="3018" t="s">
        <v>2826</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2826</v>
      </c>
      <c r="J55" s="3018" t="s">
        <v>2826</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C2:M21"/>
  <sheetViews>
    <sheetView workbookViewId="0">
      <selection activeCell="I9" sqref="I9:M16"/>
    </sheetView>
  </sheetViews>
  <sheetFormatPr defaultRowHeight="13.5"/>
  <cols>
    <col min="4" max="4" width="11.625" bestFit="1" customWidth="1"/>
    <col min="5" max="5" width="12.625" customWidth="1"/>
    <col min="6" max="6" width="12.75" bestFit="1" customWidth="1"/>
    <col min="9" max="9" width="15" customWidth="1"/>
    <col min="10" max="10" width="17.25" customWidth="1"/>
    <col min="11" max="11" width="12.5" customWidth="1"/>
    <col min="12" max="12" width="11.625" customWidth="1"/>
    <col min="13" max="13" width="10.625" customWidth="1"/>
  </cols>
  <sheetData>
    <row r="2" spans="3:13">
      <c r="D2" s="3170" t="s">
        <v>3090</v>
      </c>
      <c r="E2" s="3170">
        <v>666666.69999999995</v>
      </c>
      <c r="F2" s="3170">
        <v>2.06</v>
      </c>
    </row>
    <row r="3" spans="3:13">
      <c r="D3" s="3176"/>
      <c r="F3" s="3176"/>
    </row>
    <row r="8" spans="3:13">
      <c r="D8" s="3170" t="s">
        <v>3098</v>
      </c>
      <c r="E8">
        <f>SUM(E9:E13)</f>
        <v>1373333.3399999999</v>
      </c>
      <c r="F8" s="3476">
        <f>E8+E17</f>
        <v>1845613.3399999999</v>
      </c>
      <c r="K8" s="3179"/>
      <c r="L8" s="3477"/>
      <c r="M8" s="3476"/>
    </row>
    <row r="9" spans="3:13">
      <c r="D9" s="3170" t="s">
        <v>3091</v>
      </c>
      <c r="E9">
        <v>1299666.67</v>
      </c>
      <c r="F9" s="3476"/>
      <c r="I9" s="3478" t="s">
        <v>3130</v>
      </c>
      <c r="J9" s="3478"/>
      <c r="K9" s="3479" t="s">
        <v>3127</v>
      </c>
      <c r="L9" s="3479" t="s">
        <v>3128</v>
      </c>
      <c r="M9" s="3479" t="s">
        <v>3129</v>
      </c>
    </row>
    <row r="10" spans="3:13">
      <c r="D10" s="3170" t="s">
        <v>3092</v>
      </c>
      <c r="E10">
        <v>53666.67</v>
      </c>
      <c r="F10" s="3476"/>
      <c r="I10" s="3478" t="s">
        <v>3131</v>
      </c>
      <c r="J10" s="3479" t="s">
        <v>3120</v>
      </c>
      <c r="K10" s="3480">
        <v>1299666.67</v>
      </c>
      <c r="L10" s="3478">
        <f>SUM(K10:K14)</f>
        <v>1373333.3399999999</v>
      </c>
      <c r="M10" s="3481">
        <f>SUM(L10:L16)</f>
        <v>1845613.3399999999</v>
      </c>
    </row>
    <row r="11" spans="3:13">
      <c r="D11" s="3170" t="s">
        <v>3093</v>
      </c>
      <c r="E11">
        <v>4000</v>
      </c>
      <c r="F11" s="3476"/>
      <c r="I11" s="3478"/>
      <c r="J11" s="3479" t="s">
        <v>3121</v>
      </c>
      <c r="K11" s="3480">
        <f>E10</f>
        <v>53666.67</v>
      </c>
      <c r="L11" s="3478"/>
      <c r="M11" s="3481"/>
    </row>
    <row r="12" spans="3:13">
      <c r="D12" s="3170" t="s">
        <v>3094</v>
      </c>
      <c r="E12">
        <v>6000</v>
      </c>
      <c r="F12" s="3476"/>
      <c r="I12" s="3478"/>
      <c r="J12" s="3479" t="s">
        <v>3122</v>
      </c>
      <c r="K12" s="3480">
        <f>E11</f>
        <v>4000</v>
      </c>
      <c r="L12" s="3478"/>
      <c r="M12" s="3481"/>
    </row>
    <row r="13" spans="3:13">
      <c r="D13" s="3170" t="s">
        <v>3095</v>
      </c>
      <c r="E13">
        <v>10000</v>
      </c>
      <c r="F13" s="3476"/>
      <c r="I13" s="3478"/>
      <c r="J13" s="3479" t="s">
        <v>3123</v>
      </c>
      <c r="K13" s="3480">
        <f>E12</f>
        <v>6000</v>
      </c>
      <c r="L13" s="3478"/>
      <c r="M13" s="3481"/>
    </row>
    <row r="14" spans="3:13">
      <c r="D14" s="3170"/>
      <c r="F14" s="3476"/>
      <c r="I14" s="3478"/>
      <c r="J14" s="3479" t="s">
        <v>3124</v>
      </c>
      <c r="K14" s="3480">
        <f>E13</f>
        <v>10000</v>
      </c>
      <c r="L14" s="3478"/>
      <c r="M14" s="3481"/>
    </row>
    <row r="15" spans="3:13">
      <c r="D15" s="3170" t="s">
        <v>3096</v>
      </c>
      <c r="E15">
        <v>11041</v>
      </c>
      <c r="F15" s="3476"/>
      <c r="I15" s="3478" t="s">
        <v>3132</v>
      </c>
      <c r="J15" s="3479" t="s">
        <v>3125</v>
      </c>
      <c r="K15" s="3480">
        <v>11041</v>
      </c>
      <c r="L15" s="3478">
        <f>SUM(K15:K16)</f>
        <v>472280</v>
      </c>
      <c r="M15" s="3481"/>
    </row>
    <row r="16" spans="3:13">
      <c r="C16">
        <f>E17-E15</f>
        <v>461239</v>
      </c>
      <c r="F16" s="3476"/>
      <c r="I16" s="3481"/>
      <c r="J16" s="3479" t="s">
        <v>3126</v>
      </c>
      <c r="K16" s="3480">
        <v>461239</v>
      </c>
      <c r="L16" s="3478"/>
      <c r="M16" s="3481"/>
    </row>
    <row r="17" spans="3:6">
      <c r="C17">
        <f>C16/2</f>
        <v>230619.5</v>
      </c>
      <c r="D17" s="3170" t="s">
        <v>3097</v>
      </c>
      <c r="E17">
        <v>472280</v>
      </c>
      <c r="F17" s="3476"/>
    </row>
    <row r="19" spans="3:6">
      <c r="D19">
        <f>E8-E15</f>
        <v>1362292.3399999999</v>
      </c>
    </row>
    <row r="21" spans="3:6">
      <c r="D21">
        <f>F8-C17-E15</f>
        <v>1603952.8399999999</v>
      </c>
    </row>
  </sheetData>
  <mergeCells count="8">
    <mergeCell ref="F8:F17"/>
    <mergeCell ref="L8:M8"/>
    <mergeCell ref="L10:L14"/>
    <mergeCell ref="L15:L16"/>
    <mergeCell ref="M10:M16"/>
    <mergeCell ref="I9:J9"/>
    <mergeCell ref="I10:I14"/>
    <mergeCell ref="I15:I16"/>
  </mergeCells>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
  <sheetViews>
    <sheetView topLeftCell="A34" workbookViewId="0">
      <selection activeCell="Z148" sqref="Z148"/>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topLeftCell="A16" workbookViewId="0">
      <selection activeCell="P18" sqref="P18"/>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Q51"/>
  <sheetViews>
    <sheetView workbookViewId="0">
      <selection activeCell="Q30" sqref="Q30"/>
    </sheetView>
  </sheetViews>
  <sheetFormatPr defaultRowHeight="13.5"/>
  <cols>
    <col min="1" max="1" width="27.75" style="3172" customWidth="1"/>
    <col min="2" max="2" width="6.25" style="3172" customWidth="1"/>
    <col min="3" max="3" width="7.875" style="3172" customWidth="1"/>
    <col min="4" max="4" width="6.25" style="3172" customWidth="1"/>
    <col min="5" max="5" width="27.75" style="3172" customWidth="1"/>
    <col min="6" max="6" width="7.875" style="3172" customWidth="1"/>
    <col min="7" max="8" width="13.875" style="3172" customWidth="1"/>
    <col min="9" max="9" width="19.125" style="3172" customWidth="1"/>
    <col min="10" max="10" width="9" style="3172" customWidth="1"/>
    <col min="11" max="11" width="26.125" style="3172" customWidth="1"/>
    <col min="12" max="12" width="10.625" style="3172" customWidth="1"/>
    <col min="13" max="13" width="16" style="3172" customWidth="1"/>
    <col min="14" max="14" width="14.375" style="3172" customWidth="1"/>
    <col min="15" max="15" width="6.25" style="3172" customWidth="1"/>
    <col min="16" max="256" width="9" style="3172"/>
    <col min="257" max="257" width="27.75" style="3172" customWidth="1"/>
    <col min="258" max="258" width="6.25" style="3172" customWidth="1"/>
    <col min="259" max="259" width="7.875" style="3172" customWidth="1"/>
    <col min="260" max="260" width="6.25" style="3172" customWidth="1"/>
    <col min="261" max="261" width="27.75" style="3172" customWidth="1"/>
    <col min="262" max="262" width="7.875" style="3172" customWidth="1"/>
    <col min="263" max="264" width="13.875" style="3172" customWidth="1"/>
    <col min="265" max="265" width="19.125" style="3172" customWidth="1"/>
    <col min="266" max="266" width="9" style="3172" customWidth="1"/>
    <col min="267" max="267" width="26.125" style="3172" customWidth="1"/>
    <col min="268" max="268" width="10.625" style="3172" customWidth="1"/>
    <col min="269" max="269" width="16" style="3172" customWidth="1"/>
    <col min="270" max="270" width="14.375" style="3172" customWidth="1"/>
    <col min="271" max="271" width="6.25" style="3172" customWidth="1"/>
    <col min="272" max="512" width="9" style="3172"/>
    <col min="513" max="513" width="27.75" style="3172" customWidth="1"/>
    <col min="514" max="514" width="6.25" style="3172" customWidth="1"/>
    <col min="515" max="515" width="7.875" style="3172" customWidth="1"/>
    <col min="516" max="516" width="6.25" style="3172" customWidth="1"/>
    <col min="517" max="517" width="27.75" style="3172" customWidth="1"/>
    <col min="518" max="518" width="7.875" style="3172" customWidth="1"/>
    <col min="519" max="520" width="13.875" style="3172" customWidth="1"/>
    <col min="521" max="521" width="19.125" style="3172" customWidth="1"/>
    <col min="522" max="522" width="9" style="3172" customWidth="1"/>
    <col min="523" max="523" width="26.125" style="3172" customWidth="1"/>
    <col min="524" max="524" width="10.625" style="3172" customWidth="1"/>
    <col min="525" max="525" width="16" style="3172" customWidth="1"/>
    <col min="526" max="526" width="14.375" style="3172" customWidth="1"/>
    <col min="527" max="527" width="6.25" style="3172" customWidth="1"/>
    <col min="528" max="768" width="9" style="3172"/>
    <col min="769" max="769" width="27.75" style="3172" customWidth="1"/>
    <col min="770" max="770" width="6.25" style="3172" customWidth="1"/>
    <col min="771" max="771" width="7.875" style="3172" customWidth="1"/>
    <col min="772" max="772" width="6.25" style="3172" customWidth="1"/>
    <col min="773" max="773" width="27.75" style="3172" customWidth="1"/>
    <col min="774" max="774" width="7.875" style="3172" customWidth="1"/>
    <col min="775" max="776" width="13.875" style="3172" customWidth="1"/>
    <col min="777" max="777" width="19.125" style="3172" customWidth="1"/>
    <col min="778" max="778" width="9" style="3172" customWidth="1"/>
    <col min="779" max="779" width="26.125" style="3172" customWidth="1"/>
    <col min="780" max="780" width="10.625" style="3172" customWidth="1"/>
    <col min="781" max="781" width="16" style="3172" customWidth="1"/>
    <col min="782" max="782" width="14.375" style="3172" customWidth="1"/>
    <col min="783" max="783" width="6.25" style="3172" customWidth="1"/>
    <col min="784" max="1024" width="9" style="3172"/>
    <col min="1025" max="1025" width="27.75" style="3172" customWidth="1"/>
    <col min="1026" max="1026" width="6.25" style="3172" customWidth="1"/>
    <col min="1027" max="1027" width="7.875" style="3172" customWidth="1"/>
    <col min="1028" max="1028" width="6.25" style="3172" customWidth="1"/>
    <col min="1029" max="1029" width="27.75" style="3172" customWidth="1"/>
    <col min="1030" max="1030" width="7.875" style="3172" customWidth="1"/>
    <col min="1031" max="1032" width="13.875" style="3172" customWidth="1"/>
    <col min="1033" max="1033" width="19.125" style="3172" customWidth="1"/>
    <col min="1034" max="1034" width="9" style="3172" customWidth="1"/>
    <col min="1035" max="1035" width="26.125" style="3172" customWidth="1"/>
    <col min="1036" max="1036" width="10.625" style="3172" customWidth="1"/>
    <col min="1037" max="1037" width="16" style="3172" customWidth="1"/>
    <col min="1038" max="1038" width="14.375" style="3172" customWidth="1"/>
    <col min="1039" max="1039" width="6.25" style="3172" customWidth="1"/>
    <col min="1040" max="1280" width="9" style="3172"/>
    <col min="1281" max="1281" width="27.75" style="3172" customWidth="1"/>
    <col min="1282" max="1282" width="6.25" style="3172" customWidth="1"/>
    <col min="1283" max="1283" width="7.875" style="3172" customWidth="1"/>
    <col min="1284" max="1284" width="6.25" style="3172" customWidth="1"/>
    <col min="1285" max="1285" width="27.75" style="3172" customWidth="1"/>
    <col min="1286" max="1286" width="7.875" style="3172" customWidth="1"/>
    <col min="1287" max="1288" width="13.875" style="3172" customWidth="1"/>
    <col min="1289" max="1289" width="19.125" style="3172" customWidth="1"/>
    <col min="1290" max="1290" width="9" style="3172" customWidth="1"/>
    <col min="1291" max="1291" width="26.125" style="3172" customWidth="1"/>
    <col min="1292" max="1292" width="10.625" style="3172" customWidth="1"/>
    <col min="1293" max="1293" width="16" style="3172" customWidth="1"/>
    <col min="1294" max="1294" width="14.375" style="3172" customWidth="1"/>
    <col min="1295" max="1295" width="6.25" style="3172" customWidth="1"/>
    <col min="1296" max="1536" width="9" style="3172"/>
    <col min="1537" max="1537" width="27.75" style="3172" customWidth="1"/>
    <col min="1538" max="1538" width="6.25" style="3172" customWidth="1"/>
    <col min="1539" max="1539" width="7.875" style="3172" customWidth="1"/>
    <col min="1540" max="1540" width="6.25" style="3172" customWidth="1"/>
    <col min="1541" max="1541" width="27.75" style="3172" customWidth="1"/>
    <col min="1542" max="1542" width="7.875" style="3172" customWidth="1"/>
    <col min="1543" max="1544" width="13.875" style="3172" customWidth="1"/>
    <col min="1545" max="1545" width="19.125" style="3172" customWidth="1"/>
    <col min="1546" max="1546" width="9" style="3172" customWidth="1"/>
    <col min="1547" max="1547" width="26.125" style="3172" customWidth="1"/>
    <col min="1548" max="1548" width="10.625" style="3172" customWidth="1"/>
    <col min="1549" max="1549" width="16" style="3172" customWidth="1"/>
    <col min="1550" max="1550" width="14.375" style="3172" customWidth="1"/>
    <col min="1551" max="1551" width="6.25" style="3172" customWidth="1"/>
    <col min="1552" max="1792" width="9" style="3172"/>
    <col min="1793" max="1793" width="27.75" style="3172" customWidth="1"/>
    <col min="1794" max="1794" width="6.25" style="3172" customWidth="1"/>
    <col min="1795" max="1795" width="7.875" style="3172" customWidth="1"/>
    <col min="1796" max="1796" width="6.25" style="3172" customWidth="1"/>
    <col min="1797" max="1797" width="27.75" style="3172" customWidth="1"/>
    <col min="1798" max="1798" width="7.875" style="3172" customWidth="1"/>
    <col min="1799" max="1800" width="13.875" style="3172" customWidth="1"/>
    <col min="1801" max="1801" width="19.125" style="3172" customWidth="1"/>
    <col min="1802" max="1802" width="9" style="3172" customWidth="1"/>
    <col min="1803" max="1803" width="26.125" style="3172" customWidth="1"/>
    <col min="1804" max="1804" width="10.625" style="3172" customWidth="1"/>
    <col min="1805" max="1805" width="16" style="3172" customWidth="1"/>
    <col min="1806" max="1806" width="14.375" style="3172" customWidth="1"/>
    <col min="1807" max="1807" width="6.25" style="3172" customWidth="1"/>
    <col min="1808" max="2048" width="9" style="3172"/>
    <col min="2049" max="2049" width="27.75" style="3172" customWidth="1"/>
    <col min="2050" max="2050" width="6.25" style="3172" customWidth="1"/>
    <col min="2051" max="2051" width="7.875" style="3172" customWidth="1"/>
    <col min="2052" max="2052" width="6.25" style="3172" customWidth="1"/>
    <col min="2053" max="2053" width="27.75" style="3172" customWidth="1"/>
    <col min="2054" max="2054" width="7.875" style="3172" customWidth="1"/>
    <col min="2055" max="2056" width="13.875" style="3172" customWidth="1"/>
    <col min="2057" max="2057" width="19.125" style="3172" customWidth="1"/>
    <col min="2058" max="2058" width="9" style="3172" customWidth="1"/>
    <col min="2059" max="2059" width="26.125" style="3172" customWidth="1"/>
    <col min="2060" max="2060" width="10.625" style="3172" customWidth="1"/>
    <col min="2061" max="2061" width="16" style="3172" customWidth="1"/>
    <col min="2062" max="2062" width="14.375" style="3172" customWidth="1"/>
    <col min="2063" max="2063" width="6.25" style="3172" customWidth="1"/>
    <col min="2064" max="2304" width="9" style="3172"/>
    <col min="2305" max="2305" width="27.75" style="3172" customWidth="1"/>
    <col min="2306" max="2306" width="6.25" style="3172" customWidth="1"/>
    <col min="2307" max="2307" width="7.875" style="3172" customWidth="1"/>
    <col min="2308" max="2308" width="6.25" style="3172" customWidth="1"/>
    <col min="2309" max="2309" width="27.75" style="3172" customWidth="1"/>
    <col min="2310" max="2310" width="7.875" style="3172" customWidth="1"/>
    <col min="2311" max="2312" width="13.875" style="3172" customWidth="1"/>
    <col min="2313" max="2313" width="19.125" style="3172" customWidth="1"/>
    <col min="2314" max="2314" width="9" style="3172" customWidth="1"/>
    <col min="2315" max="2315" width="26.125" style="3172" customWidth="1"/>
    <col min="2316" max="2316" width="10.625" style="3172" customWidth="1"/>
    <col min="2317" max="2317" width="16" style="3172" customWidth="1"/>
    <col min="2318" max="2318" width="14.375" style="3172" customWidth="1"/>
    <col min="2319" max="2319" width="6.25" style="3172" customWidth="1"/>
    <col min="2320" max="2560" width="9" style="3172"/>
    <col min="2561" max="2561" width="27.75" style="3172" customWidth="1"/>
    <col min="2562" max="2562" width="6.25" style="3172" customWidth="1"/>
    <col min="2563" max="2563" width="7.875" style="3172" customWidth="1"/>
    <col min="2564" max="2564" width="6.25" style="3172" customWidth="1"/>
    <col min="2565" max="2565" width="27.75" style="3172" customWidth="1"/>
    <col min="2566" max="2566" width="7.875" style="3172" customWidth="1"/>
    <col min="2567" max="2568" width="13.875" style="3172" customWidth="1"/>
    <col min="2569" max="2569" width="19.125" style="3172" customWidth="1"/>
    <col min="2570" max="2570" width="9" style="3172" customWidth="1"/>
    <col min="2571" max="2571" width="26.125" style="3172" customWidth="1"/>
    <col min="2572" max="2572" width="10.625" style="3172" customWidth="1"/>
    <col min="2573" max="2573" width="16" style="3172" customWidth="1"/>
    <col min="2574" max="2574" width="14.375" style="3172" customWidth="1"/>
    <col min="2575" max="2575" width="6.25" style="3172" customWidth="1"/>
    <col min="2576" max="2816" width="9" style="3172"/>
    <col min="2817" max="2817" width="27.75" style="3172" customWidth="1"/>
    <col min="2818" max="2818" width="6.25" style="3172" customWidth="1"/>
    <col min="2819" max="2819" width="7.875" style="3172" customWidth="1"/>
    <col min="2820" max="2820" width="6.25" style="3172" customWidth="1"/>
    <col min="2821" max="2821" width="27.75" style="3172" customWidth="1"/>
    <col min="2822" max="2822" width="7.875" style="3172" customWidth="1"/>
    <col min="2823" max="2824" width="13.875" style="3172" customWidth="1"/>
    <col min="2825" max="2825" width="19.125" style="3172" customWidth="1"/>
    <col min="2826" max="2826" width="9" style="3172" customWidth="1"/>
    <col min="2827" max="2827" width="26.125" style="3172" customWidth="1"/>
    <col min="2828" max="2828" width="10.625" style="3172" customWidth="1"/>
    <col min="2829" max="2829" width="16" style="3172" customWidth="1"/>
    <col min="2830" max="2830" width="14.375" style="3172" customWidth="1"/>
    <col min="2831" max="2831" width="6.25" style="3172" customWidth="1"/>
    <col min="2832" max="3072" width="9" style="3172"/>
    <col min="3073" max="3073" width="27.75" style="3172" customWidth="1"/>
    <col min="3074" max="3074" width="6.25" style="3172" customWidth="1"/>
    <col min="3075" max="3075" width="7.875" style="3172" customWidth="1"/>
    <col min="3076" max="3076" width="6.25" style="3172" customWidth="1"/>
    <col min="3077" max="3077" width="27.75" style="3172" customWidth="1"/>
    <col min="3078" max="3078" width="7.875" style="3172" customWidth="1"/>
    <col min="3079" max="3080" width="13.875" style="3172" customWidth="1"/>
    <col min="3081" max="3081" width="19.125" style="3172" customWidth="1"/>
    <col min="3082" max="3082" width="9" style="3172" customWidth="1"/>
    <col min="3083" max="3083" width="26.125" style="3172" customWidth="1"/>
    <col min="3084" max="3084" width="10.625" style="3172" customWidth="1"/>
    <col min="3085" max="3085" width="16" style="3172" customWidth="1"/>
    <col min="3086" max="3086" width="14.375" style="3172" customWidth="1"/>
    <col min="3087" max="3087" width="6.25" style="3172" customWidth="1"/>
    <col min="3088" max="3328" width="9" style="3172"/>
    <col min="3329" max="3329" width="27.75" style="3172" customWidth="1"/>
    <col min="3330" max="3330" width="6.25" style="3172" customWidth="1"/>
    <col min="3331" max="3331" width="7.875" style="3172" customWidth="1"/>
    <col min="3332" max="3332" width="6.25" style="3172" customWidth="1"/>
    <col min="3333" max="3333" width="27.75" style="3172" customWidth="1"/>
    <col min="3334" max="3334" width="7.875" style="3172" customWidth="1"/>
    <col min="3335" max="3336" width="13.875" style="3172" customWidth="1"/>
    <col min="3337" max="3337" width="19.125" style="3172" customWidth="1"/>
    <col min="3338" max="3338" width="9" style="3172" customWidth="1"/>
    <col min="3339" max="3339" width="26.125" style="3172" customWidth="1"/>
    <col min="3340" max="3340" width="10.625" style="3172" customWidth="1"/>
    <col min="3341" max="3341" width="16" style="3172" customWidth="1"/>
    <col min="3342" max="3342" width="14.375" style="3172" customWidth="1"/>
    <col min="3343" max="3343" width="6.25" style="3172" customWidth="1"/>
    <col min="3344" max="3584" width="9" style="3172"/>
    <col min="3585" max="3585" width="27.75" style="3172" customWidth="1"/>
    <col min="3586" max="3586" width="6.25" style="3172" customWidth="1"/>
    <col min="3587" max="3587" width="7.875" style="3172" customWidth="1"/>
    <col min="3588" max="3588" width="6.25" style="3172" customWidth="1"/>
    <col min="3589" max="3589" width="27.75" style="3172" customWidth="1"/>
    <col min="3590" max="3590" width="7.875" style="3172" customWidth="1"/>
    <col min="3591" max="3592" width="13.875" style="3172" customWidth="1"/>
    <col min="3593" max="3593" width="19.125" style="3172" customWidth="1"/>
    <col min="3594" max="3594" width="9" style="3172" customWidth="1"/>
    <col min="3595" max="3595" width="26.125" style="3172" customWidth="1"/>
    <col min="3596" max="3596" width="10.625" style="3172" customWidth="1"/>
    <col min="3597" max="3597" width="16" style="3172" customWidth="1"/>
    <col min="3598" max="3598" width="14.375" style="3172" customWidth="1"/>
    <col min="3599" max="3599" width="6.25" style="3172" customWidth="1"/>
    <col min="3600" max="3840" width="9" style="3172"/>
    <col min="3841" max="3841" width="27.75" style="3172" customWidth="1"/>
    <col min="3842" max="3842" width="6.25" style="3172" customWidth="1"/>
    <col min="3843" max="3843" width="7.875" style="3172" customWidth="1"/>
    <col min="3844" max="3844" width="6.25" style="3172" customWidth="1"/>
    <col min="3845" max="3845" width="27.75" style="3172" customWidth="1"/>
    <col min="3846" max="3846" width="7.875" style="3172" customWidth="1"/>
    <col min="3847" max="3848" width="13.875" style="3172" customWidth="1"/>
    <col min="3849" max="3849" width="19.125" style="3172" customWidth="1"/>
    <col min="3850" max="3850" width="9" style="3172" customWidth="1"/>
    <col min="3851" max="3851" width="26.125" style="3172" customWidth="1"/>
    <col min="3852" max="3852" width="10.625" style="3172" customWidth="1"/>
    <col min="3853" max="3853" width="16" style="3172" customWidth="1"/>
    <col min="3854" max="3854" width="14.375" style="3172" customWidth="1"/>
    <col min="3855" max="3855" width="6.25" style="3172" customWidth="1"/>
    <col min="3856" max="4096" width="9" style="3172"/>
    <col min="4097" max="4097" width="27.75" style="3172" customWidth="1"/>
    <col min="4098" max="4098" width="6.25" style="3172" customWidth="1"/>
    <col min="4099" max="4099" width="7.875" style="3172" customWidth="1"/>
    <col min="4100" max="4100" width="6.25" style="3172" customWidth="1"/>
    <col min="4101" max="4101" width="27.75" style="3172" customWidth="1"/>
    <col min="4102" max="4102" width="7.875" style="3172" customWidth="1"/>
    <col min="4103" max="4104" width="13.875" style="3172" customWidth="1"/>
    <col min="4105" max="4105" width="19.125" style="3172" customWidth="1"/>
    <col min="4106" max="4106" width="9" style="3172" customWidth="1"/>
    <col min="4107" max="4107" width="26.125" style="3172" customWidth="1"/>
    <col min="4108" max="4108" width="10.625" style="3172" customWidth="1"/>
    <col min="4109" max="4109" width="16" style="3172" customWidth="1"/>
    <col min="4110" max="4110" width="14.375" style="3172" customWidth="1"/>
    <col min="4111" max="4111" width="6.25" style="3172" customWidth="1"/>
    <col min="4112" max="4352" width="9" style="3172"/>
    <col min="4353" max="4353" width="27.75" style="3172" customWidth="1"/>
    <col min="4354" max="4354" width="6.25" style="3172" customWidth="1"/>
    <col min="4355" max="4355" width="7.875" style="3172" customWidth="1"/>
    <col min="4356" max="4356" width="6.25" style="3172" customWidth="1"/>
    <col min="4357" max="4357" width="27.75" style="3172" customWidth="1"/>
    <col min="4358" max="4358" width="7.875" style="3172" customWidth="1"/>
    <col min="4359" max="4360" width="13.875" style="3172" customWidth="1"/>
    <col min="4361" max="4361" width="19.125" style="3172" customWidth="1"/>
    <col min="4362" max="4362" width="9" style="3172" customWidth="1"/>
    <col min="4363" max="4363" width="26.125" style="3172" customWidth="1"/>
    <col min="4364" max="4364" width="10.625" style="3172" customWidth="1"/>
    <col min="4365" max="4365" width="16" style="3172" customWidth="1"/>
    <col min="4366" max="4366" width="14.375" style="3172" customWidth="1"/>
    <col min="4367" max="4367" width="6.25" style="3172" customWidth="1"/>
    <col min="4368" max="4608" width="9" style="3172"/>
    <col min="4609" max="4609" width="27.75" style="3172" customWidth="1"/>
    <col min="4610" max="4610" width="6.25" style="3172" customWidth="1"/>
    <col min="4611" max="4611" width="7.875" style="3172" customWidth="1"/>
    <col min="4612" max="4612" width="6.25" style="3172" customWidth="1"/>
    <col min="4613" max="4613" width="27.75" style="3172" customWidth="1"/>
    <col min="4614" max="4614" width="7.875" style="3172" customWidth="1"/>
    <col min="4615" max="4616" width="13.875" style="3172" customWidth="1"/>
    <col min="4617" max="4617" width="19.125" style="3172" customWidth="1"/>
    <col min="4618" max="4618" width="9" style="3172" customWidth="1"/>
    <col min="4619" max="4619" width="26.125" style="3172" customWidth="1"/>
    <col min="4620" max="4620" width="10.625" style="3172" customWidth="1"/>
    <col min="4621" max="4621" width="16" style="3172" customWidth="1"/>
    <col min="4622" max="4622" width="14.375" style="3172" customWidth="1"/>
    <col min="4623" max="4623" width="6.25" style="3172" customWidth="1"/>
    <col min="4624" max="4864" width="9" style="3172"/>
    <col min="4865" max="4865" width="27.75" style="3172" customWidth="1"/>
    <col min="4866" max="4866" width="6.25" style="3172" customWidth="1"/>
    <col min="4867" max="4867" width="7.875" style="3172" customWidth="1"/>
    <col min="4868" max="4868" width="6.25" style="3172" customWidth="1"/>
    <col min="4869" max="4869" width="27.75" style="3172" customWidth="1"/>
    <col min="4870" max="4870" width="7.875" style="3172" customWidth="1"/>
    <col min="4871" max="4872" width="13.875" style="3172" customWidth="1"/>
    <col min="4873" max="4873" width="19.125" style="3172" customWidth="1"/>
    <col min="4874" max="4874" width="9" style="3172" customWidth="1"/>
    <col min="4875" max="4875" width="26.125" style="3172" customWidth="1"/>
    <col min="4876" max="4876" width="10.625" style="3172" customWidth="1"/>
    <col min="4877" max="4877" width="16" style="3172" customWidth="1"/>
    <col min="4878" max="4878" width="14.375" style="3172" customWidth="1"/>
    <col min="4879" max="4879" width="6.25" style="3172" customWidth="1"/>
    <col min="4880" max="5120" width="9" style="3172"/>
    <col min="5121" max="5121" width="27.75" style="3172" customWidth="1"/>
    <col min="5122" max="5122" width="6.25" style="3172" customWidth="1"/>
    <col min="5123" max="5123" width="7.875" style="3172" customWidth="1"/>
    <col min="5124" max="5124" width="6.25" style="3172" customWidth="1"/>
    <col min="5125" max="5125" width="27.75" style="3172" customWidth="1"/>
    <col min="5126" max="5126" width="7.875" style="3172" customWidth="1"/>
    <col min="5127" max="5128" width="13.875" style="3172" customWidth="1"/>
    <col min="5129" max="5129" width="19.125" style="3172" customWidth="1"/>
    <col min="5130" max="5130" width="9" style="3172" customWidth="1"/>
    <col min="5131" max="5131" width="26.125" style="3172" customWidth="1"/>
    <col min="5132" max="5132" width="10.625" style="3172" customWidth="1"/>
    <col min="5133" max="5133" width="16" style="3172" customWidth="1"/>
    <col min="5134" max="5134" width="14.375" style="3172" customWidth="1"/>
    <col min="5135" max="5135" width="6.25" style="3172" customWidth="1"/>
    <col min="5136" max="5376" width="9" style="3172"/>
    <col min="5377" max="5377" width="27.75" style="3172" customWidth="1"/>
    <col min="5378" max="5378" width="6.25" style="3172" customWidth="1"/>
    <col min="5379" max="5379" width="7.875" style="3172" customWidth="1"/>
    <col min="5380" max="5380" width="6.25" style="3172" customWidth="1"/>
    <col min="5381" max="5381" width="27.75" style="3172" customWidth="1"/>
    <col min="5382" max="5382" width="7.875" style="3172" customWidth="1"/>
    <col min="5383" max="5384" width="13.875" style="3172" customWidth="1"/>
    <col min="5385" max="5385" width="19.125" style="3172" customWidth="1"/>
    <col min="5386" max="5386" width="9" style="3172" customWidth="1"/>
    <col min="5387" max="5387" width="26.125" style="3172" customWidth="1"/>
    <col min="5388" max="5388" width="10.625" style="3172" customWidth="1"/>
    <col min="5389" max="5389" width="16" style="3172" customWidth="1"/>
    <col min="5390" max="5390" width="14.375" style="3172" customWidth="1"/>
    <col min="5391" max="5391" width="6.25" style="3172" customWidth="1"/>
    <col min="5392" max="5632" width="9" style="3172"/>
    <col min="5633" max="5633" width="27.75" style="3172" customWidth="1"/>
    <col min="5634" max="5634" width="6.25" style="3172" customWidth="1"/>
    <col min="5635" max="5635" width="7.875" style="3172" customWidth="1"/>
    <col min="5636" max="5636" width="6.25" style="3172" customWidth="1"/>
    <col min="5637" max="5637" width="27.75" style="3172" customWidth="1"/>
    <col min="5638" max="5638" width="7.875" style="3172" customWidth="1"/>
    <col min="5639" max="5640" width="13.875" style="3172" customWidth="1"/>
    <col min="5641" max="5641" width="19.125" style="3172" customWidth="1"/>
    <col min="5642" max="5642" width="9" style="3172" customWidth="1"/>
    <col min="5643" max="5643" width="26.125" style="3172" customWidth="1"/>
    <col min="5644" max="5644" width="10.625" style="3172" customWidth="1"/>
    <col min="5645" max="5645" width="16" style="3172" customWidth="1"/>
    <col min="5646" max="5646" width="14.375" style="3172" customWidth="1"/>
    <col min="5647" max="5647" width="6.25" style="3172" customWidth="1"/>
    <col min="5648" max="5888" width="9" style="3172"/>
    <col min="5889" max="5889" width="27.75" style="3172" customWidth="1"/>
    <col min="5890" max="5890" width="6.25" style="3172" customWidth="1"/>
    <col min="5891" max="5891" width="7.875" style="3172" customWidth="1"/>
    <col min="5892" max="5892" width="6.25" style="3172" customWidth="1"/>
    <col min="5893" max="5893" width="27.75" style="3172" customWidth="1"/>
    <col min="5894" max="5894" width="7.875" style="3172" customWidth="1"/>
    <col min="5895" max="5896" width="13.875" style="3172" customWidth="1"/>
    <col min="5897" max="5897" width="19.125" style="3172" customWidth="1"/>
    <col min="5898" max="5898" width="9" style="3172" customWidth="1"/>
    <col min="5899" max="5899" width="26.125" style="3172" customWidth="1"/>
    <col min="5900" max="5900" width="10.625" style="3172" customWidth="1"/>
    <col min="5901" max="5901" width="16" style="3172" customWidth="1"/>
    <col min="5902" max="5902" width="14.375" style="3172" customWidth="1"/>
    <col min="5903" max="5903" width="6.25" style="3172" customWidth="1"/>
    <col min="5904" max="6144" width="9" style="3172"/>
    <col min="6145" max="6145" width="27.75" style="3172" customWidth="1"/>
    <col min="6146" max="6146" width="6.25" style="3172" customWidth="1"/>
    <col min="6147" max="6147" width="7.875" style="3172" customWidth="1"/>
    <col min="6148" max="6148" width="6.25" style="3172" customWidth="1"/>
    <col min="6149" max="6149" width="27.75" style="3172" customWidth="1"/>
    <col min="6150" max="6150" width="7.875" style="3172" customWidth="1"/>
    <col min="6151" max="6152" width="13.875" style="3172" customWidth="1"/>
    <col min="6153" max="6153" width="19.125" style="3172" customWidth="1"/>
    <col min="6154" max="6154" width="9" style="3172" customWidth="1"/>
    <col min="6155" max="6155" width="26.125" style="3172" customWidth="1"/>
    <col min="6156" max="6156" width="10.625" style="3172" customWidth="1"/>
    <col min="6157" max="6157" width="16" style="3172" customWidth="1"/>
    <col min="6158" max="6158" width="14.375" style="3172" customWidth="1"/>
    <col min="6159" max="6159" width="6.25" style="3172" customWidth="1"/>
    <col min="6160" max="6400" width="9" style="3172"/>
    <col min="6401" max="6401" width="27.75" style="3172" customWidth="1"/>
    <col min="6402" max="6402" width="6.25" style="3172" customWidth="1"/>
    <col min="6403" max="6403" width="7.875" style="3172" customWidth="1"/>
    <col min="6404" max="6404" width="6.25" style="3172" customWidth="1"/>
    <col min="6405" max="6405" width="27.75" style="3172" customWidth="1"/>
    <col min="6406" max="6406" width="7.875" style="3172" customWidth="1"/>
    <col min="6407" max="6408" width="13.875" style="3172" customWidth="1"/>
    <col min="6409" max="6409" width="19.125" style="3172" customWidth="1"/>
    <col min="6410" max="6410" width="9" style="3172" customWidth="1"/>
    <col min="6411" max="6411" width="26.125" style="3172" customWidth="1"/>
    <col min="6412" max="6412" width="10.625" style="3172" customWidth="1"/>
    <col min="6413" max="6413" width="16" style="3172" customWidth="1"/>
    <col min="6414" max="6414" width="14.375" style="3172" customWidth="1"/>
    <col min="6415" max="6415" width="6.25" style="3172" customWidth="1"/>
    <col min="6416" max="6656" width="9" style="3172"/>
    <col min="6657" max="6657" width="27.75" style="3172" customWidth="1"/>
    <col min="6658" max="6658" width="6.25" style="3172" customWidth="1"/>
    <col min="6659" max="6659" width="7.875" style="3172" customWidth="1"/>
    <col min="6660" max="6660" width="6.25" style="3172" customWidth="1"/>
    <col min="6661" max="6661" width="27.75" style="3172" customWidth="1"/>
    <col min="6662" max="6662" width="7.875" style="3172" customWidth="1"/>
    <col min="6663" max="6664" width="13.875" style="3172" customWidth="1"/>
    <col min="6665" max="6665" width="19.125" style="3172" customWidth="1"/>
    <col min="6666" max="6666" width="9" style="3172" customWidth="1"/>
    <col min="6667" max="6667" width="26.125" style="3172" customWidth="1"/>
    <col min="6668" max="6668" width="10.625" style="3172" customWidth="1"/>
    <col min="6669" max="6669" width="16" style="3172" customWidth="1"/>
    <col min="6670" max="6670" width="14.375" style="3172" customWidth="1"/>
    <col min="6671" max="6671" width="6.25" style="3172" customWidth="1"/>
    <col min="6672" max="6912" width="9" style="3172"/>
    <col min="6913" max="6913" width="27.75" style="3172" customWidth="1"/>
    <col min="6914" max="6914" width="6.25" style="3172" customWidth="1"/>
    <col min="6915" max="6915" width="7.875" style="3172" customWidth="1"/>
    <col min="6916" max="6916" width="6.25" style="3172" customWidth="1"/>
    <col min="6917" max="6917" width="27.75" style="3172" customWidth="1"/>
    <col min="6918" max="6918" width="7.875" style="3172" customWidth="1"/>
    <col min="6919" max="6920" width="13.875" style="3172" customWidth="1"/>
    <col min="6921" max="6921" width="19.125" style="3172" customWidth="1"/>
    <col min="6922" max="6922" width="9" style="3172" customWidth="1"/>
    <col min="6923" max="6923" width="26.125" style="3172" customWidth="1"/>
    <col min="6924" max="6924" width="10.625" style="3172" customWidth="1"/>
    <col min="6925" max="6925" width="16" style="3172" customWidth="1"/>
    <col min="6926" max="6926" width="14.375" style="3172" customWidth="1"/>
    <col min="6927" max="6927" width="6.25" style="3172" customWidth="1"/>
    <col min="6928" max="7168" width="9" style="3172"/>
    <col min="7169" max="7169" width="27.75" style="3172" customWidth="1"/>
    <col min="7170" max="7170" width="6.25" style="3172" customWidth="1"/>
    <col min="7171" max="7171" width="7.875" style="3172" customWidth="1"/>
    <col min="7172" max="7172" width="6.25" style="3172" customWidth="1"/>
    <col min="7173" max="7173" width="27.75" style="3172" customWidth="1"/>
    <col min="7174" max="7174" width="7.875" style="3172" customWidth="1"/>
    <col min="7175" max="7176" width="13.875" style="3172" customWidth="1"/>
    <col min="7177" max="7177" width="19.125" style="3172" customWidth="1"/>
    <col min="7178" max="7178" width="9" style="3172" customWidth="1"/>
    <col min="7179" max="7179" width="26.125" style="3172" customWidth="1"/>
    <col min="7180" max="7180" width="10.625" style="3172" customWidth="1"/>
    <col min="7181" max="7181" width="16" style="3172" customWidth="1"/>
    <col min="7182" max="7182" width="14.375" style="3172" customWidth="1"/>
    <col min="7183" max="7183" width="6.25" style="3172" customWidth="1"/>
    <col min="7184" max="7424" width="9" style="3172"/>
    <col min="7425" max="7425" width="27.75" style="3172" customWidth="1"/>
    <col min="7426" max="7426" width="6.25" style="3172" customWidth="1"/>
    <col min="7427" max="7427" width="7.875" style="3172" customWidth="1"/>
    <col min="7428" max="7428" width="6.25" style="3172" customWidth="1"/>
    <col min="7429" max="7429" width="27.75" style="3172" customWidth="1"/>
    <col min="7430" max="7430" width="7.875" style="3172" customWidth="1"/>
    <col min="7431" max="7432" width="13.875" style="3172" customWidth="1"/>
    <col min="7433" max="7433" width="19.125" style="3172" customWidth="1"/>
    <col min="7434" max="7434" width="9" style="3172" customWidth="1"/>
    <col min="7435" max="7435" width="26.125" style="3172" customWidth="1"/>
    <col min="7436" max="7436" width="10.625" style="3172" customWidth="1"/>
    <col min="7437" max="7437" width="16" style="3172" customWidth="1"/>
    <col min="7438" max="7438" width="14.375" style="3172" customWidth="1"/>
    <col min="7439" max="7439" width="6.25" style="3172" customWidth="1"/>
    <col min="7440" max="7680" width="9" style="3172"/>
    <col min="7681" max="7681" width="27.75" style="3172" customWidth="1"/>
    <col min="7682" max="7682" width="6.25" style="3172" customWidth="1"/>
    <col min="7683" max="7683" width="7.875" style="3172" customWidth="1"/>
    <col min="7684" max="7684" width="6.25" style="3172" customWidth="1"/>
    <col min="7685" max="7685" width="27.75" style="3172" customWidth="1"/>
    <col min="7686" max="7686" width="7.875" style="3172" customWidth="1"/>
    <col min="7687" max="7688" width="13.875" style="3172" customWidth="1"/>
    <col min="7689" max="7689" width="19.125" style="3172" customWidth="1"/>
    <col min="7690" max="7690" width="9" style="3172" customWidth="1"/>
    <col min="7691" max="7691" width="26.125" style="3172" customWidth="1"/>
    <col min="7692" max="7692" width="10.625" style="3172" customWidth="1"/>
    <col min="7693" max="7693" width="16" style="3172" customWidth="1"/>
    <col min="7694" max="7694" width="14.375" style="3172" customWidth="1"/>
    <col min="7695" max="7695" width="6.25" style="3172" customWidth="1"/>
    <col min="7696" max="7936" width="9" style="3172"/>
    <col min="7937" max="7937" width="27.75" style="3172" customWidth="1"/>
    <col min="7938" max="7938" width="6.25" style="3172" customWidth="1"/>
    <col min="7939" max="7939" width="7.875" style="3172" customWidth="1"/>
    <col min="7940" max="7940" width="6.25" style="3172" customWidth="1"/>
    <col min="7941" max="7941" width="27.75" style="3172" customWidth="1"/>
    <col min="7942" max="7942" width="7.875" style="3172" customWidth="1"/>
    <col min="7943" max="7944" width="13.875" style="3172" customWidth="1"/>
    <col min="7945" max="7945" width="19.125" style="3172" customWidth="1"/>
    <col min="7946" max="7946" width="9" style="3172" customWidth="1"/>
    <col min="7947" max="7947" width="26.125" style="3172" customWidth="1"/>
    <col min="7948" max="7948" width="10.625" style="3172" customWidth="1"/>
    <col min="7949" max="7949" width="16" style="3172" customWidth="1"/>
    <col min="7950" max="7950" width="14.375" style="3172" customWidth="1"/>
    <col min="7951" max="7951" width="6.25" style="3172" customWidth="1"/>
    <col min="7952" max="8192" width="9" style="3172"/>
    <col min="8193" max="8193" width="27.75" style="3172" customWidth="1"/>
    <col min="8194" max="8194" width="6.25" style="3172" customWidth="1"/>
    <col min="8195" max="8195" width="7.875" style="3172" customWidth="1"/>
    <col min="8196" max="8196" width="6.25" style="3172" customWidth="1"/>
    <col min="8197" max="8197" width="27.75" style="3172" customWidth="1"/>
    <col min="8198" max="8198" width="7.875" style="3172" customWidth="1"/>
    <col min="8199" max="8200" width="13.875" style="3172" customWidth="1"/>
    <col min="8201" max="8201" width="19.125" style="3172" customWidth="1"/>
    <col min="8202" max="8202" width="9" style="3172" customWidth="1"/>
    <col min="8203" max="8203" width="26.125" style="3172" customWidth="1"/>
    <col min="8204" max="8204" width="10.625" style="3172" customWidth="1"/>
    <col min="8205" max="8205" width="16" style="3172" customWidth="1"/>
    <col min="8206" max="8206" width="14.375" style="3172" customWidth="1"/>
    <col min="8207" max="8207" width="6.25" style="3172" customWidth="1"/>
    <col min="8208" max="8448" width="9" style="3172"/>
    <col min="8449" max="8449" width="27.75" style="3172" customWidth="1"/>
    <col min="8450" max="8450" width="6.25" style="3172" customWidth="1"/>
    <col min="8451" max="8451" width="7.875" style="3172" customWidth="1"/>
    <col min="8452" max="8452" width="6.25" style="3172" customWidth="1"/>
    <col min="8453" max="8453" width="27.75" style="3172" customWidth="1"/>
    <col min="8454" max="8454" width="7.875" style="3172" customWidth="1"/>
    <col min="8455" max="8456" width="13.875" style="3172" customWidth="1"/>
    <col min="8457" max="8457" width="19.125" style="3172" customWidth="1"/>
    <col min="8458" max="8458" width="9" style="3172" customWidth="1"/>
    <col min="8459" max="8459" width="26.125" style="3172" customWidth="1"/>
    <col min="8460" max="8460" width="10.625" style="3172" customWidth="1"/>
    <col min="8461" max="8461" width="16" style="3172" customWidth="1"/>
    <col min="8462" max="8462" width="14.375" style="3172" customWidth="1"/>
    <col min="8463" max="8463" width="6.25" style="3172" customWidth="1"/>
    <col min="8464" max="8704" width="9" style="3172"/>
    <col min="8705" max="8705" width="27.75" style="3172" customWidth="1"/>
    <col min="8706" max="8706" width="6.25" style="3172" customWidth="1"/>
    <col min="8707" max="8707" width="7.875" style="3172" customWidth="1"/>
    <col min="8708" max="8708" width="6.25" style="3172" customWidth="1"/>
    <col min="8709" max="8709" width="27.75" style="3172" customWidth="1"/>
    <col min="8710" max="8710" width="7.875" style="3172" customWidth="1"/>
    <col min="8711" max="8712" width="13.875" style="3172" customWidth="1"/>
    <col min="8713" max="8713" width="19.125" style="3172" customWidth="1"/>
    <col min="8714" max="8714" width="9" style="3172" customWidth="1"/>
    <col min="8715" max="8715" width="26.125" style="3172" customWidth="1"/>
    <col min="8716" max="8716" width="10.625" style="3172" customWidth="1"/>
    <col min="8717" max="8717" width="16" style="3172" customWidth="1"/>
    <col min="8718" max="8718" width="14.375" style="3172" customWidth="1"/>
    <col min="8719" max="8719" width="6.25" style="3172" customWidth="1"/>
    <col min="8720" max="8960" width="9" style="3172"/>
    <col min="8961" max="8961" width="27.75" style="3172" customWidth="1"/>
    <col min="8962" max="8962" width="6.25" style="3172" customWidth="1"/>
    <col min="8963" max="8963" width="7.875" style="3172" customWidth="1"/>
    <col min="8964" max="8964" width="6.25" style="3172" customWidth="1"/>
    <col min="8965" max="8965" width="27.75" style="3172" customWidth="1"/>
    <col min="8966" max="8966" width="7.875" style="3172" customWidth="1"/>
    <col min="8967" max="8968" width="13.875" style="3172" customWidth="1"/>
    <col min="8969" max="8969" width="19.125" style="3172" customWidth="1"/>
    <col min="8970" max="8970" width="9" style="3172" customWidth="1"/>
    <col min="8971" max="8971" width="26.125" style="3172" customWidth="1"/>
    <col min="8972" max="8972" width="10.625" style="3172" customWidth="1"/>
    <col min="8973" max="8973" width="16" style="3172" customWidth="1"/>
    <col min="8974" max="8974" width="14.375" style="3172" customWidth="1"/>
    <col min="8975" max="8975" width="6.25" style="3172" customWidth="1"/>
    <col min="8976" max="9216" width="9" style="3172"/>
    <col min="9217" max="9217" width="27.75" style="3172" customWidth="1"/>
    <col min="9218" max="9218" width="6.25" style="3172" customWidth="1"/>
    <col min="9219" max="9219" width="7.875" style="3172" customWidth="1"/>
    <col min="9220" max="9220" width="6.25" style="3172" customWidth="1"/>
    <col min="9221" max="9221" width="27.75" style="3172" customWidth="1"/>
    <col min="9222" max="9222" width="7.875" style="3172" customWidth="1"/>
    <col min="9223" max="9224" width="13.875" style="3172" customWidth="1"/>
    <col min="9225" max="9225" width="19.125" style="3172" customWidth="1"/>
    <col min="9226" max="9226" width="9" style="3172" customWidth="1"/>
    <col min="9227" max="9227" width="26.125" style="3172" customWidth="1"/>
    <col min="9228" max="9228" width="10.625" style="3172" customWidth="1"/>
    <col min="9229" max="9229" width="16" style="3172" customWidth="1"/>
    <col min="9230" max="9230" width="14.375" style="3172" customWidth="1"/>
    <col min="9231" max="9231" width="6.25" style="3172" customWidth="1"/>
    <col min="9232" max="9472" width="9" style="3172"/>
    <col min="9473" max="9473" width="27.75" style="3172" customWidth="1"/>
    <col min="9474" max="9474" width="6.25" style="3172" customWidth="1"/>
    <col min="9475" max="9475" width="7.875" style="3172" customWidth="1"/>
    <col min="9476" max="9476" width="6.25" style="3172" customWidth="1"/>
    <col min="9477" max="9477" width="27.75" style="3172" customWidth="1"/>
    <col min="9478" max="9478" width="7.875" style="3172" customWidth="1"/>
    <col min="9479" max="9480" width="13.875" style="3172" customWidth="1"/>
    <col min="9481" max="9481" width="19.125" style="3172" customWidth="1"/>
    <col min="9482" max="9482" width="9" style="3172" customWidth="1"/>
    <col min="9483" max="9483" width="26.125" style="3172" customWidth="1"/>
    <col min="9484" max="9484" width="10.625" style="3172" customWidth="1"/>
    <col min="9485" max="9485" width="16" style="3172" customWidth="1"/>
    <col min="9486" max="9486" width="14.375" style="3172" customWidth="1"/>
    <col min="9487" max="9487" width="6.25" style="3172" customWidth="1"/>
    <col min="9488" max="9728" width="9" style="3172"/>
    <col min="9729" max="9729" width="27.75" style="3172" customWidth="1"/>
    <col min="9730" max="9730" width="6.25" style="3172" customWidth="1"/>
    <col min="9731" max="9731" width="7.875" style="3172" customWidth="1"/>
    <col min="9732" max="9732" width="6.25" style="3172" customWidth="1"/>
    <col min="9733" max="9733" width="27.75" style="3172" customWidth="1"/>
    <col min="9734" max="9734" width="7.875" style="3172" customWidth="1"/>
    <col min="9735" max="9736" width="13.875" style="3172" customWidth="1"/>
    <col min="9737" max="9737" width="19.125" style="3172" customWidth="1"/>
    <col min="9738" max="9738" width="9" style="3172" customWidth="1"/>
    <col min="9739" max="9739" width="26.125" style="3172" customWidth="1"/>
    <col min="9740" max="9740" width="10.625" style="3172" customWidth="1"/>
    <col min="9741" max="9741" width="16" style="3172" customWidth="1"/>
    <col min="9742" max="9742" width="14.375" style="3172" customWidth="1"/>
    <col min="9743" max="9743" width="6.25" style="3172" customWidth="1"/>
    <col min="9744" max="9984" width="9" style="3172"/>
    <col min="9985" max="9985" width="27.75" style="3172" customWidth="1"/>
    <col min="9986" max="9986" width="6.25" style="3172" customWidth="1"/>
    <col min="9987" max="9987" width="7.875" style="3172" customWidth="1"/>
    <col min="9988" max="9988" width="6.25" style="3172" customWidth="1"/>
    <col min="9989" max="9989" width="27.75" style="3172" customWidth="1"/>
    <col min="9990" max="9990" width="7.875" style="3172" customWidth="1"/>
    <col min="9991" max="9992" width="13.875" style="3172" customWidth="1"/>
    <col min="9993" max="9993" width="19.125" style="3172" customWidth="1"/>
    <col min="9994" max="9994" width="9" style="3172" customWidth="1"/>
    <col min="9995" max="9995" width="26.125" style="3172" customWidth="1"/>
    <col min="9996" max="9996" width="10.625" style="3172" customWidth="1"/>
    <col min="9997" max="9997" width="16" style="3172" customWidth="1"/>
    <col min="9998" max="9998" width="14.375" style="3172" customWidth="1"/>
    <col min="9999" max="9999" width="6.25" style="3172" customWidth="1"/>
    <col min="10000" max="10240" width="9" style="3172"/>
    <col min="10241" max="10241" width="27.75" style="3172" customWidth="1"/>
    <col min="10242" max="10242" width="6.25" style="3172" customWidth="1"/>
    <col min="10243" max="10243" width="7.875" style="3172" customWidth="1"/>
    <col min="10244" max="10244" width="6.25" style="3172" customWidth="1"/>
    <col min="10245" max="10245" width="27.75" style="3172" customWidth="1"/>
    <col min="10246" max="10246" width="7.875" style="3172" customWidth="1"/>
    <col min="10247" max="10248" width="13.875" style="3172" customWidth="1"/>
    <col min="10249" max="10249" width="19.125" style="3172" customWidth="1"/>
    <col min="10250" max="10250" width="9" style="3172" customWidth="1"/>
    <col min="10251" max="10251" width="26.125" style="3172" customWidth="1"/>
    <col min="10252" max="10252" width="10.625" style="3172" customWidth="1"/>
    <col min="10253" max="10253" width="16" style="3172" customWidth="1"/>
    <col min="10254" max="10254" width="14.375" style="3172" customWidth="1"/>
    <col min="10255" max="10255" width="6.25" style="3172" customWidth="1"/>
    <col min="10256" max="10496" width="9" style="3172"/>
    <col min="10497" max="10497" width="27.75" style="3172" customWidth="1"/>
    <col min="10498" max="10498" width="6.25" style="3172" customWidth="1"/>
    <col min="10499" max="10499" width="7.875" style="3172" customWidth="1"/>
    <col min="10500" max="10500" width="6.25" style="3172" customWidth="1"/>
    <col min="10501" max="10501" width="27.75" style="3172" customWidth="1"/>
    <col min="10502" max="10502" width="7.875" style="3172" customWidth="1"/>
    <col min="10503" max="10504" width="13.875" style="3172" customWidth="1"/>
    <col min="10505" max="10505" width="19.125" style="3172" customWidth="1"/>
    <col min="10506" max="10506" width="9" style="3172" customWidth="1"/>
    <col min="10507" max="10507" width="26.125" style="3172" customWidth="1"/>
    <col min="10508" max="10508" width="10.625" style="3172" customWidth="1"/>
    <col min="10509" max="10509" width="16" style="3172" customWidth="1"/>
    <col min="10510" max="10510" width="14.375" style="3172" customWidth="1"/>
    <col min="10511" max="10511" width="6.25" style="3172" customWidth="1"/>
    <col min="10512" max="10752" width="9" style="3172"/>
    <col min="10753" max="10753" width="27.75" style="3172" customWidth="1"/>
    <col min="10754" max="10754" width="6.25" style="3172" customWidth="1"/>
    <col min="10755" max="10755" width="7.875" style="3172" customWidth="1"/>
    <col min="10756" max="10756" width="6.25" style="3172" customWidth="1"/>
    <col min="10757" max="10757" width="27.75" style="3172" customWidth="1"/>
    <col min="10758" max="10758" width="7.875" style="3172" customWidth="1"/>
    <col min="10759" max="10760" width="13.875" style="3172" customWidth="1"/>
    <col min="10761" max="10761" width="19.125" style="3172" customWidth="1"/>
    <col min="10762" max="10762" width="9" style="3172" customWidth="1"/>
    <col min="10763" max="10763" width="26.125" style="3172" customWidth="1"/>
    <col min="10764" max="10764" width="10.625" style="3172" customWidth="1"/>
    <col min="10765" max="10765" width="16" style="3172" customWidth="1"/>
    <col min="10766" max="10766" width="14.375" style="3172" customWidth="1"/>
    <col min="10767" max="10767" width="6.25" style="3172" customWidth="1"/>
    <col min="10768" max="11008" width="9" style="3172"/>
    <col min="11009" max="11009" width="27.75" style="3172" customWidth="1"/>
    <col min="11010" max="11010" width="6.25" style="3172" customWidth="1"/>
    <col min="11011" max="11011" width="7.875" style="3172" customWidth="1"/>
    <col min="11012" max="11012" width="6.25" style="3172" customWidth="1"/>
    <col min="11013" max="11013" width="27.75" style="3172" customWidth="1"/>
    <col min="11014" max="11014" width="7.875" style="3172" customWidth="1"/>
    <col min="11015" max="11016" width="13.875" style="3172" customWidth="1"/>
    <col min="11017" max="11017" width="19.125" style="3172" customWidth="1"/>
    <col min="11018" max="11018" width="9" style="3172" customWidth="1"/>
    <col min="11019" max="11019" width="26.125" style="3172" customWidth="1"/>
    <col min="11020" max="11020" width="10.625" style="3172" customWidth="1"/>
    <col min="11021" max="11021" width="16" style="3172" customWidth="1"/>
    <col min="11022" max="11022" width="14.375" style="3172" customWidth="1"/>
    <col min="11023" max="11023" width="6.25" style="3172" customWidth="1"/>
    <col min="11024" max="11264" width="9" style="3172"/>
    <col min="11265" max="11265" width="27.75" style="3172" customWidth="1"/>
    <col min="11266" max="11266" width="6.25" style="3172" customWidth="1"/>
    <col min="11267" max="11267" width="7.875" style="3172" customWidth="1"/>
    <col min="11268" max="11268" width="6.25" style="3172" customWidth="1"/>
    <col min="11269" max="11269" width="27.75" style="3172" customWidth="1"/>
    <col min="11270" max="11270" width="7.875" style="3172" customWidth="1"/>
    <col min="11271" max="11272" width="13.875" style="3172" customWidth="1"/>
    <col min="11273" max="11273" width="19.125" style="3172" customWidth="1"/>
    <col min="11274" max="11274" width="9" style="3172" customWidth="1"/>
    <col min="11275" max="11275" width="26.125" style="3172" customWidth="1"/>
    <col min="11276" max="11276" width="10.625" style="3172" customWidth="1"/>
    <col min="11277" max="11277" width="16" style="3172" customWidth="1"/>
    <col min="11278" max="11278" width="14.375" style="3172" customWidth="1"/>
    <col min="11279" max="11279" width="6.25" style="3172" customWidth="1"/>
    <col min="11280" max="11520" width="9" style="3172"/>
    <col min="11521" max="11521" width="27.75" style="3172" customWidth="1"/>
    <col min="11522" max="11522" width="6.25" style="3172" customWidth="1"/>
    <col min="11523" max="11523" width="7.875" style="3172" customWidth="1"/>
    <col min="11524" max="11524" width="6.25" style="3172" customWidth="1"/>
    <col min="11525" max="11525" width="27.75" style="3172" customWidth="1"/>
    <col min="11526" max="11526" width="7.875" style="3172" customWidth="1"/>
    <col min="11527" max="11528" width="13.875" style="3172" customWidth="1"/>
    <col min="11529" max="11529" width="19.125" style="3172" customWidth="1"/>
    <col min="11530" max="11530" width="9" style="3172" customWidth="1"/>
    <col min="11531" max="11531" width="26.125" style="3172" customWidth="1"/>
    <col min="11532" max="11532" width="10.625" style="3172" customWidth="1"/>
    <col min="11533" max="11533" width="16" style="3172" customWidth="1"/>
    <col min="11534" max="11534" width="14.375" style="3172" customWidth="1"/>
    <col min="11535" max="11535" width="6.25" style="3172" customWidth="1"/>
    <col min="11536" max="11776" width="9" style="3172"/>
    <col min="11777" max="11777" width="27.75" style="3172" customWidth="1"/>
    <col min="11778" max="11778" width="6.25" style="3172" customWidth="1"/>
    <col min="11779" max="11779" width="7.875" style="3172" customWidth="1"/>
    <col min="11780" max="11780" width="6.25" style="3172" customWidth="1"/>
    <col min="11781" max="11781" width="27.75" style="3172" customWidth="1"/>
    <col min="11782" max="11782" width="7.875" style="3172" customWidth="1"/>
    <col min="11783" max="11784" width="13.875" style="3172" customWidth="1"/>
    <col min="11785" max="11785" width="19.125" style="3172" customWidth="1"/>
    <col min="11786" max="11786" width="9" style="3172" customWidth="1"/>
    <col min="11787" max="11787" width="26.125" style="3172" customWidth="1"/>
    <col min="11788" max="11788" width="10.625" style="3172" customWidth="1"/>
    <col min="11789" max="11789" width="16" style="3172" customWidth="1"/>
    <col min="11790" max="11790" width="14.375" style="3172" customWidth="1"/>
    <col min="11791" max="11791" width="6.25" style="3172" customWidth="1"/>
    <col min="11792" max="12032" width="9" style="3172"/>
    <col min="12033" max="12033" width="27.75" style="3172" customWidth="1"/>
    <col min="12034" max="12034" width="6.25" style="3172" customWidth="1"/>
    <col min="12035" max="12035" width="7.875" style="3172" customWidth="1"/>
    <col min="12036" max="12036" width="6.25" style="3172" customWidth="1"/>
    <col min="12037" max="12037" width="27.75" style="3172" customWidth="1"/>
    <col min="12038" max="12038" width="7.875" style="3172" customWidth="1"/>
    <col min="12039" max="12040" width="13.875" style="3172" customWidth="1"/>
    <col min="12041" max="12041" width="19.125" style="3172" customWidth="1"/>
    <col min="12042" max="12042" width="9" style="3172" customWidth="1"/>
    <col min="12043" max="12043" width="26.125" style="3172" customWidth="1"/>
    <col min="12044" max="12044" width="10.625" style="3172" customWidth="1"/>
    <col min="12045" max="12045" width="16" style="3172" customWidth="1"/>
    <col min="12046" max="12046" width="14.375" style="3172" customWidth="1"/>
    <col min="12047" max="12047" width="6.25" style="3172" customWidth="1"/>
    <col min="12048" max="12288" width="9" style="3172"/>
    <col min="12289" max="12289" width="27.75" style="3172" customWidth="1"/>
    <col min="12290" max="12290" width="6.25" style="3172" customWidth="1"/>
    <col min="12291" max="12291" width="7.875" style="3172" customWidth="1"/>
    <col min="12292" max="12292" width="6.25" style="3172" customWidth="1"/>
    <col min="12293" max="12293" width="27.75" style="3172" customWidth="1"/>
    <col min="12294" max="12294" width="7.875" style="3172" customWidth="1"/>
    <col min="12295" max="12296" width="13.875" style="3172" customWidth="1"/>
    <col min="12297" max="12297" width="19.125" style="3172" customWidth="1"/>
    <col min="12298" max="12298" width="9" style="3172" customWidth="1"/>
    <col min="12299" max="12299" width="26.125" style="3172" customWidth="1"/>
    <col min="12300" max="12300" width="10.625" style="3172" customWidth="1"/>
    <col min="12301" max="12301" width="16" style="3172" customWidth="1"/>
    <col min="12302" max="12302" width="14.375" style="3172" customWidth="1"/>
    <col min="12303" max="12303" width="6.25" style="3172" customWidth="1"/>
    <col min="12304" max="12544" width="9" style="3172"/>
    <col min="12545" max="12545" width="27.75" style="3172" customWidth="1"/>
    <col min="12546" max="12546" width="6.25" style="3172" customWidth="1"/>
    <col min="12547" max="12547" width="7.875" style="3172" customWidth="1"/>
    <col min="12548" max="12548" width="6.25" style="3172" customWidth="1"/>
    <col min="12549" max="12549" width="27.75" style="3172" customWidth="1"/>
    <col min="12550" max="12550" width="7.875" style="3172" customWidth="1"/>
    <col min="12551" max="12552" width="13.875" style="3172" customWidth="1"/>
    <col min="12553" max="12553" width="19.125" style="3172" customWidth="1"/>
    <col min="12554" max="12554" width="9" style="3172" customWidth="1"/>
    <col min="12555" max="12555" width="26.125" style="3172" customWidth="1"/>
    <col min="12556" max="12556" width="10.625" style="3172" customWidth="1"/>
    <col min="12557" max="12557" width="16" style="3172" customWidth="1"/>
    <col min="12558" max="12558" width="14.375" style="3172" customWidth="1"/>
    <col min="12559" max="12559" width="6.25" style="3172" customWidth="1"/>
    <col min="12560" max="12800" width="9" style="3172"/>
    <col min="12801" max="12801" width="27.75" style="3172" customWidth="1"/>
    <col min="12802" max="12802" width="6.25" style="3172" customWidth="1"/>
    <col min="12803" max="12803" width="7.875" style="3172" customWidth="1"/>
    <col min="12804" max="12804" width="6.25" style="3172" customWidth="1"/>
    <col min="12805" max="12805" width="27.75" style="3172" customWidth="1"/>
    <col min="12806" max="12806" width="7.875" style="3172" customWidth="1"/>
    <col min="12807" max="12808" width="13.875" style="3172" customWidth="1"/>
    <col min="12809" max="12809" width="19.125" style="3172" customWidth="1"/>
    <col min="12810" max="12810" width="9" style="3172" customWidth="1"/>
    <col min="12811" max="12811" width="26.125" style="3172" customWidth="1"/>
    <col min="12812" max="12812" width="10.625" style="3172" customWidth="1"/>
    <col min="12813" max="12813" width="16" style="3172" customWidth="1"/>
    <col min="12814" max="12814" width="14.375" style="3172" customWidth="1"/>
    <col min="12815" max="12815" width="6.25" style="3172" customWidth="1"/>
    <col min="12816" max="13056" width="9" style="3172"/>
    <col min="13057" max="13057" width="27.75" style="3172" customWidth="1"/>
    <col min="13058" max="13058" width="6.25" style="3172" customWidth="1"/>
    <col min="13059" max="13059" width="7.875" style="3172" customWidth="1"/>
    <col min="13060" max="13060" width="6.25" style="3172" customWidth="1"/>
    <col min="13061" max="13061" width="27.75" style="3172" customWidth="1"/>
    <col min="13062" max="13062" width="7.875" style="3172" customWidth="1"/>
    <col min="13063" max="13064" width="13.875" style="3172" customWidth="1"/>
    <col min="13065" max="13065" width="19.125" style="3172" customWidth="1"/>
    <col min="13066" max="13066" width="9" style="3172" customWidth="1"/>
    <col min="13067" max="13067" width="26.125" style="3172" customWidth="1"/>
    <col min="13068" max="13068" width="10.625" style="3172" customWidth="1"/>
    <col min="13069" max="13069" width="16" style="3172" customWidth="1"/>
    <col min="13070" max="13070" width="14.375" style="3172" customWidth="1"/>
    <col min="13071" max="13071" width="6.25" style="3172" customWidth="1"/>
    <col min="13072" max="13312" width="9" style="3172"/>
    <col min="13313" max="13313" width="27.75" style="3172" customWidth="1"/>
    <col min="13314" max="13314" width="6.25" style="3172" customWidth="1"/>
    <col min="13315" max="13315" width="7.875" style="3172" customWidth="1"/>
    <col min="13316" max="13316" width="6.25" style="3172" customWidth="1"/>
    <col min="13317" max="13317" width="27.75" style="3172" customWidth="1"/>
    <col min="13318" max="13318" width="7.875" style="3172" customWidth="1"/>
    <col min="13319" max="13320" width="13.875" style="3172" customWidth="1"/>
    <col min="13321" max="13321" width="19.125" style="3172" customWidth="1"/>
    <col min="13322" max="13322" width="9" style="3172" customWidth="1"/>
    <col min="13323" max="13323" width="26.125" style="3172" customWidth="1"/>
    <col min="13324" max="13324" width="10.625" style="3172" customWidth="1"/>
    <col min="13325" max="13325" width="16" style="3172" customWidth="1"/>
    <col min="13326" max="13326" width="14.375" style="3172" customWidth="1"/>
    <col min="13327" max="13327" width="6.25" style="3172" customWidth="1"/>
    <col min="13328" max="13568" width="9" style="3172"/>
    <col min="13569" max="13569" width="27.75" style="3172" customWidth="1"/>
    <col min="13570" max="13570" width="6.25" style="3172" customWidth="1"/>
    <col min="13571" max="13571" width="7.875" style="3172" customWidth="1"/>
    <col min="13572" max="13572" width="6.25" style="3172" customWidth="1"/>
    <col min="13573" max="13573" width="27.75" style="3172" customWidth="1"/>
    <col min="13574" max="13574" width="7.875" style="3172" customWidth="1"/>
    <col min="13575" max="13576" width="13.875" style="3172" customWidth="1"/>
    <col min="13577" max="13577" width="19.125" style="3172" customWidth="1"/>
    <col min="13578" max="13578" width="9" style="3172" customWidth="1"/>
    <col min="13579" max="13579" width="26.125" style="3172" customWidth="1"/>
    <col min="13580" max="13580" width="10.625" style="3172" customWidth="1"/>
    <col min="13581" max="13581" width="16" style="3172" customWidth="1"/>
    <col min="13582" max="13582" width="14.375" style="3172" customWidth="1"/>
    <col min="13583" max="13583" width="6.25" style="3172" customWidth="1"/>
    <col min="13584" max="13824" width="9" style="3172"/>
    <col min="13825" max="13825" width="27.75" style="3172" customWidth="1"/>
    <col min="13826" max="13826" width="6.25" style="3172" customWidth="1"/>
    <col min="13827" max="13827" width="7.875" style="3172" customWidth="1"/>
    <col min="13828" max="13828" width="6.25" style="3172" customWidth="1"/>
    <col min="13829" max="13829" width="27.75" style="3172" customWidth="1"/>
    <col min="13830" max="13830" width="7.875" style="3172" customWidth="1"/>
    <col min="13831" max="13832" width="13.875" style="3172" customWidth="1"/>
    <col min="13833" max="13833" width="19.125" style="3172" customWidth="1"/>
    <col min="13834" max="13834" width="9" style="3172" customWidth="1"/>
    <col min="13835" max="13835" width="26.125" style="3172" customWidth="1"/>
    <col min="13836" max="13836" width="10.625" style="3172" customWidth="1"/>
    <col min="13837" max="13837" width="16" style="3172" customWidth="1"/>
    <col min="13838" max="13838" width="14.375" style="3172" customWidth="1"/>
    <col min="13839" max="13839" width="6.25" style="3172" customWidth="1"/>
    <col min="13840" max="14080" width="9" style="3172"/>
    <col min="14081" max="14081" width="27.75" style="3172" customWidth="1"/>
    <col min="14082" max="14082" width="6.25" style="3172" customWidth="1"/>
    <col min="14083" max="14083" width="7.875" style="3172" customWidth="1"/>
    <col min="14084" max="14084" width="6.25" style="3172" customWidth="1"/>
    <col min="14085" max="14085" width="27.75" style="3172" customWidth="1"/>
    <col min="14086" max="14086" width="7.875" style="3172" customWidth="1"/>
    <col min="14087" max="14088" width="13.875" style="3172" customWidth="1"/>
    <col min="14089" max="14089" width="19.125" style="3172" customWidth="1"/>
    <col min="14090" max="14090" width="9" style="3172" customWidth="1"/>
    <col min="14091" max="14091" width="26.125" style="3172" customWidth="1"/>
    <col min="14092" max="14092" width="10.625" style="3172" customWidth="1"/>
    <col min="14093" max="14093" width="16" style="3172" customWidth="1"/>
    <col min="14094" max="14094" width="14.375" style="3172" customWidth="1"/>
    <col min="14095" max="14095" width="6.25" style="3172" customWidth="1"/>
    <col min="14096" max="14336" width="9" style="3172"/>
    <col min="14337" max="14337" width="27.75" style="3172" customWidth="1"/>
    <col min="14338" max="14338" width="6.25" style="3172" customWidth="1"/>
    <col min="14339" max="14339" width="7.875" style="3172" customWidth="1"/>
    <col min="14340" max="14340" width="6.25" style="3172" customWidth="1"/>
    <col min="14341" max="14341" width="27.75" style="3172" customWidth="1"/>
    <col min="14342" max="14342" width="7.875" style="3172" customWidth="1"/>
    <col min="14343" max="14344" width="13.875" style="3172" customWidth="1"/>
    <col min="14345" max="14345" width="19.125" style="3172" customWidth="1"/>
    <col min="14346" max="14346" width="9" style="3172" customWidth="1"/>
    <col min="14347" max="14347" width="26.125" style="3172" customWidth="1"/>
    <col min="14348" max="14348" width="10.625" style="3172" customWidth="1"/>
    <col min="14349" max="14349" width="16" style="3172" customWidth="1"/>
    <col min="14350" max="14350" width="14.375" style="3172" customWidth="1"/>
    <col min="14351" max="14351" width="6.25" style="3172" customWidth="1"/>
    <col min="14352" max="14592" width="9" style="3172"/>
    <col min="14593" max="14593" width="27.75" style="3172" customWidth="1"/>
    <col min="14594" max="14594" width="6.25" style="3172" customWidth="1"/>
    <col min="14595" max="14595" width="7.875" style="3172" customWidth="1"/>
    <col min="14596" max="14596" width="6.25" style="3172" customWidth="1"/>
    <col min="14597" max="14597" width="27.75" style="3172" customWidth="1"/>
    <col min="14598" max="14598" width="7.875" style="3172" customWidth="1"/>
    <col min="14599" max="14600" width="13.875" style="3172" customWidth="1"/>
    <col min="14601" max="14601" width="19.125" style="3172" customWidth="1"/>
    <col min="14602" max="14602" width="9" style="3172" customWidth="1"/>
    <col min="14603" max="14603" width="26.125" style="3172" customWidth="1"/>
    <col min="14604" max="14604" width="10.625" style="3172" customWidth="1"/>
    <col min="14605" max="14605" width="16" style="3172" customWidth="1"/>
    <col min="14606" max="14606" width="14.375" style="3172" customWidth="1"/>
    <col min="14607" max="14607" width="6.25" style="3172" customWidth="1"/>
    <col min="14608" max="14848" width="9" style="3172"/>
    <col min="14849" max="14849" width="27.75" style="3172" customWidth="1"/>
    <col min="14850" max="14850" width="6.25" style="3172" customWidth="1"/>
    <col min="14851" max="14851" width="7.875" style="3172" customWidth="1"/>
    <col min="14852" max="14852" width="6.25" style="3172" customWidth="1"/>
    <col min="14853" max="14853" width="27.75" style="3172" customWidth="1"/>
    <col min="14854" max="14854" width="7.875" style="3172" customWidth="1"/>
    <col min="14855" max="14856" width="13.875" style="3172" customWidth="1"/>
    <col min="14857" max="14857" width="19.125" style="3172" customWidth="1"/>
    <col min="14858" max="14858" width="9" style="3172" customWidth="1"/>
    <col min="14859" max="14859" width="26.125" style="3172" customWidth="1"/>
    <col min="14860" max="14860" width="10.625" style="3172" customWidth="1"/>
    <col min="14861" max="14861" width="16" style="3172" customWidth="1"/>
    <col min="14862" max="14862" width="14.375" style="3172" customWidth="1"/>
    <col min="14863" max="14863" width="6.25" style="3172" customWidth="1"/>
    <col min="14864" max="15104" width="9" style="3172"/>
    <col min="15105" max="15105" width="27.75" style="3172" customWidth="1"/>
    <col min="15106" max="15106" width="6.25" style="3172" customWidth="1"/>
    <col min="15107" max="15107" width="7.875" style="3172" customWidth="1"/>
    <col min="15108" max="15108" width="6.25" style="3172" customWidth="1"/>
    <col min="15109" max="15109" width="27.75" style="3172" customWidth="1"/>
    <col min="15110" max="15110" width="7.875" style="3172" customWidth="1"/>
    <col min="15111" max="15112" width="13.875" style="3172" customWidth="1"/>
    <col min="15113" max="15113" width="19.125" style="3172" customWidth="1"/>
    <col min="15114" max="15114" width="9" style="3172" customWidth="1"/>
    <col min="15115" max="15115" width="26.125" style="3172" customWidth="1"/>
    <col min="15116" max="15116" width="10.625" style="3172" customWidth="1"/>
    <col min="15117" max="15117" width="16" style="3172" customWidth="1"/>
    <col min="15118" max="15118" width="14.375" style="3172" customWidth="1"/>
    <col min="15119" max="15119" width="6.25" style="3172" customWidth="1"/>
    <col min="15120" max="15360" width="9" style="3172"/>
    <col min="15361" max="15361" width="27.75" style="3172" customWidth="1"/>
    <col min="15362" max="15362" width="6.25" style="3172" customWidth="1"/>
    <col min="15363" max="15363" width="7.875" style="3172" customWidth="1"/>
    <col min="15364" max="15364" width="6.25" style="3172" customWidth="1"/>
    <col min="15365" max="15365" width="27.75" style="3172" customWidth="1"/>
    <col min="15366" max="15366" width="7.875" style="3172" customWidth="1"/>
    <col min="15367" max="15368" width="13.875" style="3172" customWidth="1"/>
    <col min="15369" max="15369" width="19.125" style="3172" customWidth="1"/>
    <col min="15370" max="15370" width="9" style="3172" customWidth="1"/>
    <col min="15371" max="15371" width="26.125" style="3172" customWidth="1"/>
    <col min="15372" max="15372" width="10.625" style="3172" customWidth="1"/>
    <col min="15373" max="15373" width="16" style="3172" customWidth="1"/>
    <col min="15374" max="15374" width="14.375" style="3172" customWidth="1"/>
    <col min="15375" max="15375" width="6.25" style="3172" customWidth="1"/>
    <col min="15376" max="15616" width="9" style="3172"/>
    <col min="15617" max="15617" width="27.75" style="3172" customWidth="1"/>
    <col min="15618" max="15618" width="6.25" style="3172" customWidth="1"/>
    <col min="15619" max="15619" width="7.875" style="3172" customWidth="1"/>
    <col min="15620" max="15620" width="6.25" style="3172" customWidth="1"/>
    <col min="15621" max="15621" width="27.75" style="3172" customWidth="1"/>
    <col min="15622" max="15622" width="7.875" style="3172" customWidth="1"/>
    <col min="15623" max="15624" width="13.875" style="3172" customWidth="1"/>
    <col min="15625" max="15625" width="19.125" style="3172" customWidth="1"/>
    <col min="15626" max="15626" width="9" style="3172" customWidth="1"/>
    <col min="15627" max="15627" width="26.125" style="3172" customWidth="1"/>
    <col min="15628" max="15628" width="10.625" style="3172" customWidth="1"/>
    <col min="15629" max="15629" width="16" style="3172" customWidth="1"/>
    <col min="15630" max="15630" width="14.375" style="3172" customWidth="1"/>
    <col min="15631" max="15631" width="6.25" style="3172" customWidth="1"/>
    <col min="15632" max="15872" width="9" style="3172"/>
    <col min="15873" max="15873" width="27.75" style="3172" customWidth="1"/>
    <col min="15874" max="15874" width="6.25" style="3172" customWidth="1"/>
    <col min="15875" max="15875" width="7.875" style="3172" customWidth="1"/>
    <col min="15876" max="15876" width="6.25" style="3172" customWidth="1"/>
    <col min="15877" max="15877" width="27.75" style="3172" customWidth="1"/>
    <col min="15878" max="15878" width="7.875" style="3172" customWidth="1"/>
    <col min="15879" max="15880" width="13.875" style="3172" customWidth="1"/>
    <col min="15881" max="15881" width="19.125" style="3172" customWidth="1"/>
    <col min="15882" max="15882" width="9" style="3172" customWidth="1"/>
    <col min="15883" max="15883" width="26.125" style="3172" customWidth="1"/>
    <col min="15884" max="15884" width="10.625" style="3172" customWidth="1"/>
    <col min="15885" max="15885" width="16" style="3172" customWidth="1"/>
    <col min="15886" max="15886" width="14.375" style="3172" customWidth="1"/>
    <col min="15887" max="15887" width="6.25" style="3172" customWidth="1"/>
    <col min="15888" max="16128" width="9" style="3172"/>
    <col min="16129" max="16129" width="27.75" style="3172" customWidth="1"/>
    <col min="16130" max="16130" width="6.25" style="3172" customWidth="1"/>
    <col min="16131" max="16131" width="7.875" style="3172" customWidth="1"/>
    <col min="16132" max="16132" width="6.25" style="3172" customWidth="1"/>
    <col min="16133" max="16133" width="27.75" style="3172" customWidth="1"/>
    <col min="16134" max="16134" width="7.875" style="3172" customWidth="1"/>
    <col min="16135" max="16136" width="13.875" style="3172" customWidth="1"/>
    <col min="16137" max="16137" width="19.125" style="3172" customWidth="1"/>
    <col min="16138" max="16138" width="9" style="3172" customWidth="1"/>
    <col min="16139" max="16139" width="26.125" style="3172" customWidth="1"/>
    <col min="16140" max="16140" width="10.625" style="3172" customWidth="1"/>
    <col min="16141" max="16141" width="16" style="3172" customWidth="1"/>
    <col min="16142" max="16142" width="14.375" style="3172" customWidth="1"/>
    <col min="16143" max="16143" width="6.25" style="3172" customWidth="1"/>
    <col min="16144" max="16384" width="9" style="3172"/>
  </cols>
  <sheetData>
    <row r="1" spans="1:17">
      <c r="A1" s="3172" t="s">
        <v>2997</v>
      </c>
      <c r="B1" s="3172" t="s">
        <v>2998</v>
      </c>
      <c r="C1" s="3172" t="s">
        <v>2999</v>
      </c>
      <c r="D1" s="3172" t="s">
        <v>3000</v>
      </c>
      <c r="E1" s="3172" t="s">
        <v>3001</v>
      </c>
      <c r="F1" s="3172" t="s">
        <v>3002</v>
      </c>
      <c r="G1" s="3172" t="s">
        <v>3003</v>
      </c>
      <c r="H1" s="3172" t="s">
        <v>3004</v>
      </c>
      <c r="I1" s="3172" t="s">
        <v>2035</v>
      </c>
      <c r="J1" s="3172" t="s">
        <v>3005</v>
      </c>
      <c r="K1" s="3172" t="s">
        <v>3006</v>
      </c>
      <c r="L1" s="3172" t="s">
        <v>3007</v>
      </c>
      <c r="M1" s="3172" t="s">
        <v>3008</v>
      </c>
      <c r="N1" s="3172" t="s">
        <v>3009</v>
      </c>
      <c r="O1" s="3172" t="s">
        <v>3010</v>
      </c>
      <c r="P1" s="3180" t="s">
        <v>3119</v>
      </c>
    </row>
    <row r="2" spans="1:17" s="3173" customFormat="1">
      <c r="A2" s="3173" t="s">
        <v>3011</v>
      </c>
      <c r="B2" s="3173" t="s">
        <v>2984</v>
      </c>
      <c r="C2" s="3173" t="s">
        <v>3012</v>
      </c>
      <c r="D2" s="3173" t="s">
        <v>3013</v>
      </c>
      <c r="E2" s="3173" t="s">
        <v>3011</v>
      </c>
      <c r="F2" s="3173" t="s">
        <v>3014</v>
      </c>
      <c r="G2" s="3173">
        <v>44049.15</v>
      </c>
      <c r="H2" s="3173">
        <v>70478.64</v>
      </c>
      <c r="I2" s="3173" t="s">
        <v>3015</v>
      </c>
      <c r="J2" s="3173" t="s">
        <v>3016</v>
      </c>
      <c r="K2" s="3173" t="s">
        <v>3017</v>
      </c>
      <c r="L2" s="3173">
        <v>17870</v>
      </c>
      <c r="M2" s="3173">
        <v>270.45999999999998</v>
      </c>
      <c r="N2" s="3173">
        <v>2535.5100000000002</v>
      </c>
      <c r="O2" s="3173">
        <v>0</v>
      </c>
      <c r="P2" s="3173">
        <f>L2*10000/G2</f>
        <v>4056.831970650966</v>
      </c>
    </row>
    <row r="3" spans="1:17" s="3173" customFormat="1">
      <c r="A3" s="3173" t="s">
        <v>3018</v>
      </c>
      <c r="B3" s="3173" t="s">
        <v>2984</v>
      </c>
      <c r="C3" s="3173" t="s">
        <v>3012</v>
      </c>
      <c r="D3" s="3173" t="s">
        <v>3013</v>
      </c>
      <c r="E3" s="3173" t="s">
        <v>3018</v>
      </c>
      <c r="F3" s="3173" t="s">
        <v>3014</v>
      </c>
      <c r="G3" s="3173">
        <v>41576.58</v>
      </c>
      <c r="H3" s="3173">
        <v>66522.53</v>
      </c>
      <c r="I3" s="3173" t="s">
        <v>3015</v>
      </c>
      <c r="J3" s="3173" t="s">
        <v>3016</v>
      </c>
      <c r="K3" s="3173" t="s">
        <v>3017</v>
      </c>
      <c r="L3" s="3173">
        <v>16850</v>
      </c>
      <c r="M3" s="3173">
        <v>270.18</v>
      </c>
      <c r="N3" s="3173">
        <v>2532.98</v>
      </c>
      <c r="O3" s="3173">
        <v>0</v>
      </c>
      <c r="P3" s="3173">
        <f t="shared" ref="P3:P11" si="0">L3*10000/G3</f>
        <v>4052.7623965222729</v>
      </c>
    </row>
    <row r="4" spans="1:17" s="3173" customFormat="1">
      <c r="A4" s="3173" t="s">
        <v>3019</v>
      </c>
      <c r="B4" s="3173" t="s">
        <v>2984</v>
      </c>
      <c r="C4" s="3173" t="s">
        <v>3012</v>
      </c>
      <c r="D4" s="3173" t="s">
        <v>3013</v>
      </c>
      <c r="E4" s="3173" t="s">
        <v>3019</v>
      </c>
      <c r="F4" s="3173" t="s">
        <v>3014</v>
      </c>
      <c r="G4" s="3173">
        <v>43986.2</v>
      </c>
      <c r="H4" s="3173">
        <v>70377.919999999998</v>
      </c>
      <c r="I4" s="3173" t="s">
        <v>3015</v>
      </c>
      <c r="J4" s="3173" t="s">
        <v>3016</v>
      </c>
      <c r="K4" s="3173" t="s">
        <v>3017</v>
      </c>
      <c r="L4" s="3173">
        <v>17825</v>
      </c>
      <c r="M4" s="3173">
        <v>270.16000000000003</v>
      </c>
      <c r="N4" s="3173">
        <v>2532.75</v>
      </c>
      <c r="O4" s="3173">
        <v>0</v>
      </c>
      <c r="P4" s="3173">
        <f t="shared" si="0"/>
        <v>4052.407345940318</v>
      </c>
    </row>
    <row r="5" spans="1:17" s="3173" customFormat="1">
      <c r="A5" s="3173" t="s">
        <v>3020</v>
      </c>
      <c r="B5" s="3173" t="s">
        <v>2984</v>
      </c>
      <c r="C5" s="3173" t="s">
        <v>3012</v>
      </c>
      <c r="D5" s="3173" t="s">
        <v>3013</v>
      </c>
      <c r="E5" s="3173" t="s">
        <v>3020</v>
      </c>
      <c r="F5" s="3173" t="s">
        <v>3014</v>
      </c>
      <c r="G5" s="3173">
        <v>49629.94</v>
      </c>
      <c r="H5" s="3173">
        <v>99259.88</v>
      </c>
      <c r="I5" s="3173" t="s">
        <v>3021</v>
      </c>
      <c r="J5" s="3173" t="s">
        <v>3016</v>
      </c>
      <c r="K5" s="3173" t="s">
        <v>3017</v>
      </c>
      <c r="L5" s="3173">
        <v>21300</v>
      </c>
      <c r="M5" s="3173">
        <v>286.12</v>
      </c>
      <c r="N5" s="3173">
        <v>2145.88</v>
      </c>
      <c r="O5" s="3173">
        <v>0</v>
      </c>
      <c r="P5" s="3173">
        <f t="shared" si="0"/>
        <v>4291.7642052357905</v>
      </c>
    </row>
    <row r="6" spans="1:17" s="3173" customFormat="1">
      <c r="A6" s="3173" t="s">
        <v>3022</v>
      </c>
      <c r="B6" s="3173" t="s">
        <v>2984</v>
      </c>
      <c r="C6" s="3173" t="s">
        <v>3012</v>
      </c>
      <c r="D6" s="3173" t="s">
        <v>3013</v>
      </c>
      <c r="E6" s="3173" t="s">
        <v>3022</v>
      </c>
      <c r="F6" s="3173" t="s">
        <v>3014</v>
      </c>
      <c r="G6" s="3173">
        <v>29362.47</v>
      </c>
      <c r="H6" s="3173">
        <v>58724.94</v>
      </c>
      <c r="I6" s="3173" t="s">
        <v>3021</v>
      </c>
      <c r="J6" s="3173" t="s">
        <v>3016</v>
      </c>
      <c r="K6" s="3173" t="s">
        <v>3017</v>
      </c>
      <c r="L6" s="3173">
        <v>12615</v>
      </c>
      <c r="M6" s="3173">
        <v>286.42</v>
      </c>
      <c r="N6" s="3173">
        <v>2148.15</v>
      </c>
      <c r="O6" s="3173">
        <v>0</v>
      </c>
      <c r="P6" s="3173">
        <f t="shared" si="0"/>
        <v>4296.3006858755407</v>
      </c>
    </row>
    <row r="7" spans="1:17" s="3173" customFormat="1">
      <c r="A7" s="3173" t="s">
        <v>3023</v>
      </c>
      <c r="B7" s="3173" t="s">
        <v>2984</v>
      </c>
      <c r="C7" s="3173" t="s">
        <v>3012</v>
      </c>
      <c r="D7" s="3173" t="s">
        <v>3013</v>
      </c>
      <c r="E7" s="3173" t="s">
        <v>3023</v>
      </c>
      <c r="F7" s="3173" t="s">
        <v>3014</v>
      </c>
      <c r="G7" s="3173">
        <v>41803.300000000003</v>
      </c>
      <c r="H7" s="3173">
        <v>83606.600000000006</v>
      </c>
      <c r="I7" s="3173" t="s">
        <v>3021</v>
      </c>
      <c r="J7" s="3173" t="s">
        <v>3016</v>
      </c>
      <c r="K7" s="3173" t="s">
        <v>3017</v>
      </c>
      <c r="L7" s="3173">
        <v>17940</v>
      </c>
      <c r="M7" s="3173">
        <v>286.10000000000002</v>
      </c>
      <c r="N7" s="3173">
        <v>2145.7600000000002</v>
      </c>
      <c r="O7" s="3173">
        <v>0</v>
      </c>
      <c r="P7" s="3173">
        <f t="shared" si="0"/>
        <v>4291.5272239272972</v>
      </c>
    </row>
    <row r="8" spans="1:17" s="3173" customFormat="1">
      <c r="A8" s="3173" t="s">
        <v>3024</v>
      </c>
      <c r="B8" s="3173" t="s">
        <v>2984</v>
      </c>
      <c r="C8" s="3173" t="s">
        <v>3012</v>
      </c>
      <c r="D8" s="3173" t="s">
        <v>3013</v>
      </c>
      <c r="E8" s="3173" t="s">
        <v>3024</v>
      </c>
      <c r="F8" s="3173" t="s">
        <v>3014</v>
      </c>
      <c r="G8" s="3173">
        <v>29274.85</v>
      </c>
      <c r="H8" s="3173">
        <v>58549.7</v>
      </c>
      <c r="I8" s="3173" t="s">
        <v>3021</v>
      </c>
      <c r="J8" s="3173" t="s">
        <v>3016</v>
      </c>
      <c r="K8" s="3173" t="s">
        <v>3017</v>
      </c>
      <c r="L8" s="3173">
        <v>12580</v>
      </c>
      <c r="M8" s="3173">
        <v>286.48</v>
      </c>
      <c r="N8" s="3173">
        <v>2148.59</v>
      </c>
      <c r="O8" s="3173">
        <v>0</v>
      </c>
      <c r="P8" s="3173">
        <f t="shared" si="0"/>
        <v>4297.2039139397812</v>
      </c>
    </row>
    <row r="9" spans="1:17" s="3173" customFormat="1">
      <c r="A9" s="3173" t="s">
        <v>3023</v>
      </c>
      <c r="B9" s="3173" t="s">
        <v>2984</v>
      </c>
      <c r="C9" s="3173" t="s">
        <v>3012</v>
      </c>
      <c r="D9" s="3173" t="s">
        <v>3013</v>
      </c>
      <c r="E9" s="3173" t="s">
        <v>3023</v>
      </c>
      <c r="F9" s="3173" t="s">
        <v>3014</v>
      </c>
      <c r="G9" s="3173">
        <v>41803.300000000003</v>
      </c>
      <c r="H9" s="3173">
        <v>83606.600000000006</v>
      </c>
      <c r="I9" s="3173" t="s">
        <v>3021</v>
      </c>
      <c r="J9" s="3173" t="s">
        <v>3016</v>
      </c>
      <c r="K9" s="3173" t="s">
        <v>3017</v>
      </c>
      <c r="L9" s="3173">
        <v>17940</v>
      </c>
      <c r="M9" s="3173">
        <v>286.10000000000002</v>
      </c>
      <c r="N9" s="3173">
        <v>2145.7600000000002</v>
      </c>
      <c r="O9" s="3173">
        <v>2.13</v>
      </c>
      <c r="P9" s="3173">
        <f t="shared" si="0"/>
        <v>4291.5272239272972</v>
      </c>
    </row>
    <row r="10" spans="1:17" s="3173" customFormat="1">
      <c r="A10" s="3173" t="s">
        <v>3018</v>
      </c>
      <c r="B10" s="3173" t="s">
        <v>2984</v>
      </c>
      <c r="C10" s="3173" t="s">
        <v>3012</v>
      </c>
      <c r="D10" s="3173" t="s">
        <v>3013</v>
      </c>
      <c r="E10" s="3173" t="s">
        <v>3018</v>
      </c>
      <c r="F10" s="3173" t="s">
        <v>3014</v>
      </c>
      <c r="G10" s="3173">
        <v>41576.58</v>
      </c>
      <c r="H10" s="3173">
        <v>66522.53</v>
      </c>
      <c r="I10" s="3173" t="s">
        <v>3015</v>
      </c>
      <c r="J10" s="3173" t="s">
        <v>3016</v>
      </c>
      <c r="K10" s="3173" t="s">
        <v>3017</v>
      </c>
      <c r="L10" s="3173">
        <v>16850</v>
      </c>
      <c r="M10" s="3173">
        <v>270.18</v>
      </c>
      <c r="N10" s="3173">
        <v>2532.98</v>
      </c>
      <c r="O10" s="3173">
        <v>5.81</v>
      </c>
      <c r="P10" s="3173">
        <f t="shared" si="0"/>
        <v>4052.7623965222729</v>
      </c>
    </row>
    <row r="11" spans="1:17" s="3173" customFormat="1">
      <c r="A11" s="3173" t="s">
        <v>3019</v>
      </c>
      <c r="B11" s="3173" t="s">
        <v>2984</v>
      </c>
      <c r="C11" s="3173" t="s">
        <v>3012</v>
      </c>
      <c r="D11" s="3173" t="s">
        <v>3013</v>
      </c>
      <c r="E11" s="3173" t="s">
        <v>3019</v>
      </c>
      <c r="F11" s="3173" t="s">
        <v>3014</v>
      </c>
      <c r="G11" s="3173">
        <v>43986.2</v>
      </c>
      <c r="H11" s="3173">
        <v>70377.919999999998</v>
      </c>
      <c r="I11" s="3173" t="s">
        <v>3015</v>
      </c>
      <c r="J11" s="3173" t="s">
        <v>3016</v>
      </c>
      <c r="K11" s="3173" t="s">
        <v>3017</v>
      </c>
      <c r="L11" s="3173">
        <v>17825</v>
      </c>
      <c r="M11" s="3173">
        <v>270.16000000000003</v>
      </c>
      <c r="N11" s="3173">
        <v>2532.75</v>
      </c>
      <c r="O11" s="3173">
        <v>5.82</v>
      </c>
      <c r="P11" s="3173">
        <f t="shared" si="0"/>
        <v>4052.407345940318</v>
      </c>
    </row>
    <row r="12" spans="1:17" s="3173" customFormat="1">
      <c r="A12" s="3173" t="s">
        <v>3020</v>
      </c>
      <c r="B12" s="3173" t="s">
        <v>2984</v>
      </c>
      <c r="C12" s="3173" t="s">
        <v>3012</v>
      </c>
      <c r="D12" s="3173" t="s">
        <v>3013</v>
      </c>
      <c r="E12" s="3173" t="s">
        <v>3020</v>
      </c>
      <c r="F12" s="3173" t="s">
        <v>3014</v>
      </c>
      <c r="G12" s="3173">
        <v>49629.94</v>
      </c>
      <c r="H12" s="3173">
        <v>99259.88</v>
      </c>
      <c r="I12" s="3173" t="s">
        <v>3021</v>
      </c>
      <c r="J12" s="3173" t="s">
        <v>3016</v>
      </c>
      <c r="K12" s="3173" t="s">
        <v>3017</v>
      </c>
      <c r="L12" s="3173">
        <v>21300</v>
      </c>
      <c r="M12" s="3173">
        <v>286.12</v>
      </c>
      <c r="N12" s="3173">
        <v>2145.88</v>
      </c>
      <c r="O12" s="3173">
        <v>2.13</v>
      </c>
      <c r="P12" s="3173">
        <f>L12*10000/G12</f>
        <v>4291.7642052357905</v>
      </c>
    </row>
    <row r="13" spans="1:17" s="3174" customFormat="1">
      <c r="A13" s="3174" t="s">
        <v>3025</v>
      </c>
      <c r="B13" s="3174" t="s">
        <v>2984</v>
      </c>
      <c r="C13" s="3174" t="s">
        <v>3012</v>
      </c>
      <c r="D13" s="3174" t="s">
        <v>3013</v>
      </c>
      <c r="E13" s="3174" t="s">
        <v>3025</v>
      </c>
      <c r="F13" s="3174" t="s">
        <v>3014</v>
      </c>
      <c r="G13" s="3174">
        <v>3977.33</v>
      </c>
      <c r="H13" s="3174">
        <v>8750.1299999999992</v>
      </c>
      <c r="I13" s="3174" t="s">
        <v>3026</v>
      </c>
      <c r="J13" s="3174" t="s">
        <v>3027</v>
      </c>
      <c r="K13" s="3174" t="s">
        <v>3028</v>
      </c>
      <c r="L13" s="3174">
        <v>1010</v>
      </c>
      <c r="M13" s="3174">
        <v>169.29</v>
      </c>
      <c r="N13" s="3174">
        <v>1154.26</v>
      </c>
      <c r="O13" s="3174">
        <v>0</v>
      </c>
      <c r="P13" s="3173">
        <f t="shared" ref="P13:P14" si="1">L13*10000/G13</f>
        <v>2539.3920041837114</v>
      </c>
    </row>
    <row r="14" spans="1:17">
      <c r="A14" s="3172" t="s">
        <v>3029</v>
      </c>
      <c r="B14" s="3172" t="s">
        <v>2984</v>
      </c>
      <c r="C14" s="3172" t="s">
        <v>3012</v>
      </c>
      <c r="D14" s="3172" t="s">
        <v>3013</v>
      </c>
      <c r="E14" s="3172" t="s">
        <v>3029</v>
      </c>
      <c r="F14" s="3172" t="s">
        <v>3014</v>
      </c>
      <c r="G14" s="3172">
        <v>4380.28</v>
      </c>
      <c r="H14" s="3172">
        <v>8760.56</v>
      </c>
      <c r="I14" s="3172" t="s">
        <v>3021</v>
      </c>
      <c r="J14" s="3172" t="s">
        <v>3027</v>
      </c>
      <c r="K14" s="3172" t="s">
        <v>3030</v>
      </c>
      <c r="L14" s="3172">
        <v>1100</v>
      </c>
      <c r="M14" s="3172">
        <v>167.42</v>
      </c>
      <c r="N14" s="3172">
        <v>1255.6300000000001</v>
      </c>
      <c r="O14" s="3172">
        <v>0</v>
      </c>
      <c r="P14" s="3173">
        <f t="shared" si="1"/>
        <v>2511.2549882655903</v>
      </c>
    </row>
    <row r="15" spans="1:17" s="3175" customFormat="1">
      <c r="A15" s="3175" t="s">
        <v>3031</v>
      </c>
      <c r="B15" s="3175" t="s">
        <v>2984</v>
      </c>
      <c r="C15" s="3175" t="s">
        <v>3012</v>
      </c>
      <c r="D15" s="3175" t="s">
        <v>3013</v>
      </c>
      <c r="E15" s="3175" t="s">
        <v>3031</v>
      </c>
      <c r="F15" s="3175" t="s">
        <v>3014</v>
      </c>
      <c r="G15" s="3175">
        <v>5867.08</v>
      </c>
      <c r="H15" s="3175">
        <v>8800.6200000000008</v>
      </c>
      <c r="I15" s="3175" t="s">
        <v>3032</v>
      </c>
      <c r="J15" s="3175" t="s">
        <v>3027</v>
      </c>
      <c r="K15" s="3175" t="s">
        <v>3028</v>
      </c>
      <c r="L15" s="3175">
        <v>1425</v>
      </c>
      <c r="M15" s="3175">
        <v>161.91999999999999</v>
      </c>
      <c r="N15" s="3175">
        <v>1619.2</v>
      </c>
      <c r="O15" s="3175">
        <v>0</v>
      </c>
      <c r="P15" s="3175">
        <f>L15*10000/G15</f>
        <v>2428.8061522938156</v>
      </c>
      <c r="Q15" s="3178" t="s">
        <v>3087</v>
      </c>
    </row>
    <row r="16" spans="1:17" s="3173" customFormat="1">
      <c r="A16" s="3173" t="s">
        <v>3033</v>
      </c>
      <c r="B16" s="3173" t="s">
        <v>2984</v>
      </c>
      <c r="C16" s="3173" t="s">
        <v>3012</v>
      </c>
      <c r="D16" s="3173" t="s">
        <v>3013</v>
      </c>
      <c r="E16" s="3173" t="s">
        <v>3033</v>
      </c>
      <c r="F16" s="3173" t="s">
        <v>3014</v>
      </c>
      <c r="G16" s="3173">
        <v>12257.45</v>
      </c>
      <c r="H16" s="3173">
        <v>36772.35</v>
      </c>
      <c r="I16" s="3173" t="s">
        <v>3034</v>
      </c>
      <c r="J16" s="3173" t="s">
        <v>3035</v>
      </c>
      <c r="K16" s="3173" t="s">
        <v>3036</v>
      </c>
      <c r="L16" s="3173">
        <v>2965</v>
      </c>
      <c r="M16" s="3173">
        <v>161.26</v>
      </c>
      <c r="N16" s="3173">
        <v>806.3</v>
      </c>
      <c r="O16" s="3173">
        <v>0</v>
      </c>
      <c r="P16" s="3173">
        <f t="shared" ref="P16:P21" si="2">L16*10000/G16</f>
        <v>2418.9370546076057</v>
      </c>
    </row>
    <row r="17" spans="1:17" s="3173" customFormat="1">
      <c r="A17" s="3173" t="s">
        <v>3037</v>
      </c>
      <c r="B17" s="3173" t="s">
        <v>2984</v>
      </c>
      <c r="C17" s="3173" t="s">
        <v>3012</v>
      </c>
      <c r="D17" s="3173" t="s">
        <v>3013</v>
      </c>
      <c r="E17" s="3173" t="s">
        <v>3037</v>
      </c>
      <c r="F17" s="3173" t="s">
        <v>3014</v>
      </c>
      <c r="G17" s="3173">
        <v>33104.06</v>
      </c>
      <c r="H17" s="3173">
        <v>92691.37</v>
      </c>
      <c r="I17" s="3173" t="s">
        <v>3038</v>
      </c>
      <c r="J17" s="3173" t="s">
        <v>3035</v>
      </c>
      <c r="K17" s="3173" t="s">
        <v>3039</v>
      </c>
      <c r="L17" s="3173">
        <v>9140</v>
      </c>
      <c r="M17" s="3173">
        <v>184.07</v>
      </c>
      <c r="N17" s="3173">
        <v>986.07</v>
      </c>
      <c r="O17" s="3173">
        <v>4.58</v>
      </c>
      <c r="P17" s="3173">
        <f t="shared" si="2"/>
        <v>2760.9906458603568</v>
      </c>
    </row>
    <row r="18" spans="1:17" s="3173" customFormat="1">
      <c r="A18" s="3173" t="s">
        <v>3040</v>
      </c>
      <c r="B18" s="3173" t="s">
        <v>2984</v>
      </c>
      <c r="C18" s="3173" t="s">
        <v>3012</v>
      </c>
      <c r="D18" s="3173" t="s">
        <v>3013</v>
      </c>
      <c r="E18" s="3173" t="s">
        <v>3040</v>
      </c>
      <c r="F18" s="3173" t="s">
        <v>3014</v>
      </c>
      <c r="G18" s="3173">
        <v>22424.33</v>
      </c>
      <c r="H18" s="3173">
        <v>67272.990000000005</v>
      </c>
      <c r="I18" s="3173" t="s">
        <v>3034</v>
      </c>
      <c r="J18" s="3173" t="s">
        <v>3035</v>
      </c>
      <c r="K18" s="3173" t="s">
        <v>3036</v>
      </c>
      <c r="L18" s="3173">
        <v>5060</v>
      </c>
      <c r="M18" s="3173">
        <v>150.43</v>
      </c>
      <c r="N18" s="3173">
        <v>752.15</v>
      </c>
      <c r="O18" s="3173">
        <v>0</v>
      </c>
      <c r="P18" s="3173">
        <f t="shared" si="2"/>
        <v>2256.477674026381</v>
      </c>
    </row>
    <row r="19" spans="1:17" s="3173" customFormat="1">
      <c r="A19" s="3173" t="s">
        <v>3041</v>
      </c>
      <c r="B19" s="3173" t="s">
        <v>2984</v>
      </c>
      <c r="C19" s="3173" t="s">
        <v>3012</v>
      </c>
      <c r="D19" s="3173" t="s">
        <v>3013</v>
      </c>
      <c r="E19" s="3173" t="s">
        <v>3041</v>
      </c>
      <c r="F19" s="3173" t="s">
        <v>3014</v>
      </c>
      <c r="G19" s="3173">
        <v>30784.47</v>
      </c>
      <c r="H19" s="3173">
        <v>92353.41</v>
      </c>
      <c r="I19" s="3173" t="s">
        <v>3034</v>
      </c>
      <c r="J19" s="3173" t="s">
        <v>3035</v>
      </c>
      <c r="K19" s="3173" t="s">
        <v>3036</v>
      </c>
      <c r="L19" s="3173">
        <v>6960</v>
      </c>
      <c r="M19" s="3173">
        <v>150.72999999999999</v>
      </c>
      <c r="N19" s="3173">
        <v>753.62</v>
      </c>
      <c r="O19" s="3173">
        <v>0</v>
      </c>
      <c r="P19" s="3173">
        <f t="shared" si="2"/>
        <v>2260.8802425378772</v>
      </c>
    </row>
    <row r="20" spans="1:17" s="3173" customFormat="1">
      <c r="A20" s="3173" t="s">
        <v>3042</v>
      </c>
      <c r="B20" s="3173" t="s">
        <v>2984</v>
      </c>
      <c r="C20" s="3173" t="s">
        <v>3012</v>
      </c>
      <c r="D20" s="3173" t="s">
        <v>3013</v>
      </c>
      <c r="E20" s="3173" t="s">
        <v>3042</v>
      </c>
      <c r="F20" s="3173" t="s">
        <v>3014</v>
      </c>
      <c r="G20" s="3173">
        <v>49343.7</v>
      </c>
      <c r="H20" s="3173">
        <v>138162.35999999999</v>
      </c>
      <c r="I20" s="3173" t="s">
        <v>3038</v>
      </c>
      <c r="J20" s="3173" t="s">
        <v>3035</v>
      </c>
      <c r="K20" s="3173" t="s">
        <v>3039</v>
      </c>
      <c r="L20" s="3173">
        <v>12645</v>
      </c>
      <c r="M20" s="3173">
        <v>170.84</v>
      </c>
      <c r="N20" s="3173">
        <v>915.23</v>
      </c>
      <c r="O20" s="3173">
        <v>1.61</v>
      </c>
      <c r="P20" s="3173">
        <f t="shared" si="2"/>
        <v>2562.6371755664859</v>
      </c>
    </row>
    <row r="21" spans="1:17" s="3173" customFormat="1">
      <c r="A21" s="3173" t="s">
        <v>3043</v>
      </c>
      <c r="B21" s="3173" t="s">
        <v>2984</v>
      </c>
      <c r="C21" s="3173" t="s">
        <v>3012</v>
      </c>
      <c r="D21" s="3173" t="s">
        <v>3013</v>
      </c>
      <c r="E21" s="3173" t="s">
        <v>3043</v>
      </c>
      <c r="F21" s="3173" t="s">
        <v>3014</v>
      </c>
      <c r="G21" s="3173">
        <v>5162.01</v>
      </c>
      <c r="H21" s="3173">
        <v>15486.03</v>
      </c>
      <c r="I21" s="3173" t="s">
        <v>3044</v>
      </c>
      <c r="J21" s="3173" t="s">
        <v>3035</v>
      </c>
      <c r="K21" s="3173" t="s">
        <v>3036</v>
      </c>
      <c r="L21" s="3173">
        <v>1230</v>
      </c>
      <c r="M21" s="3173">
        <v>158.85</v>
      </c>
      <c r="N21" s="3173">
        <v>794.25</v>
      </c>
      <c r="O21" s="3173">
        <v>0</v>
      </c>
      <c r="P21" s="3173">
        <f t="shared" si="2"/>
        <v>2382.7927493360144</v>
      </c>
    </row>
    <row r="22" spans="1:17" s="3175" customFormat="1">
      <c r="A22" s="3175" t="s">
        <v>3045</v>
      </c>
      <c r="B22" s="3175" t="s">
        <v>2984</v>
      </c>
      <c r="C22" s="3175" t="s">
        <v>3012</v>
      </c>
      <c r="D22" s="3175" t="s">
        <v>3013</v>
      </c>
      <c r="E22" s="3175" t="s">
        <v>3045</v>
      </c>
      <c r="F22" s="3175" t="s">
        <v>3014</v>
      </c>
      <c r="G22" s="3175">
        <v>43383.41</v>
      </c>
      <c r="H22" s="3175">
        <v>130150.23</v>
      </c>
      <c r="I22" s="3175" t="s">
        <v>3034</v>
      </c>
      <c r="J22" s="3175" t="s">
        <v>3035</v>
      </c>
      <c r="K22" s="3175" t="s">
        <v>3036</v>
      </c>
      <c r="L22" s="3175">
        <v>10660</v>
      </c>
      <c r="M22" s="3175">
        <v>163.81</v>
      </c>
      <c r="N22" s="3175">
        <v>819.04</v>
      </c>
      <c r="O22" s="3175">
        <v>0</v>
      </c>
      <c r="P22" s="3175">
        <f>L22*10000/G22</f>
        <v>2457.1604675612175</v>
      </c>
      <c r="Q22" s="3178" t="s">
        <v>3088</v>
      </c>
    </row>
    <row r="23" spans="1:17" s="3173" customFormat="1">
      <c r="A23" s="3173" t="s">
        <v>3046</v>
      </c>
      <c r="B23" s="3173" t="s">
        <v>2984</v>
      </c>
      <c r="C23" s="3173" t="s">
        <v>3012</v>
      </c>
      <c r="D23" s="3173" t="s">
        <v>3013</v>
      </c>
      <c r="E23" s="3173" t="s">
        <v>3046</v>
      </c>
      <c r="F23" s="3173" t="s">
        <v>3014</v>
      </c>
      <c r="G23" s="3173">
        <v>4574.2</v>
      </c>
      <c r="H23" s="3173">
        <v>13722.6</v>
      </c>
      <c r="I23" s="3173" t="s">
        <v>3044</v>
      </c>
      <c r="J23" s="3173" t="s">
        <v>3035</v>
      </c>
      <c r="K23" s="3173" t="s">
        <v>3036</v>
      </c>
      <c r="L23" s="3173">
        <v>1090</v>
      </c>
      <c r="M23" s="3173">
        <v>158.86000000000001</v>
      </c>
      <c r="N23" s="3173">
        <v>794.3</v>
      </c>
      <c r="O23" s="3173">
        <v>0</v>
      </c>
      <c r="P23" s="3173">
        <f t="shared" ref="P23:P27" si="3">L23*10000/G23</f>
        <v>2382.9303484762363</v>
      </c>
    </row>
    <row r="24" spans="1:17" s="3173" customFormat="1">
      <c r="A24" s="3173" t="s">
        <v>3047</v>
      </c>
      <c r="B24" s="3173" t="s">
        <v>2984</v>
      </c>
      <c r="C24" s="3173" t="s">
        <v>3012</v>
      </c>
      <c r="D24" s="3173" t="s">
        <v>3013</v>
      </c>
      <c r="E24" s="3173" t="s">
        <v>3047</v>
      </c>
      <c r="F24" s="3173" t="s">
        <v>3014</v>
      </c>
      <c r="G24" s="3173">
        <v>31349.25</v>
      </c>
      <c r="H24" s="3173">
        <v>94047.75</v>
      </c>
      <c r="I24" s="3173" t="s">
        <v>3034</v>
      </c>
      <c r="J24" s="3173" t="s">
        <v>3035</v>
      </c>
      <c r="K24" s="3173" t="s">
        <v>3036</v>
      </c>
      <c r="L24" s="3173">
        <v>7085</v>
      </c>
      <c r="M24" s="3173">
        <v>150.66999999999999</v>
      </c>
      <c r="N24" s="3173">
        <v>753.34</v>
      </c>
      <c r="O24" s="3173">
        <v>0</v>
      </c>
      <c r="P24" s="3173">
        <f t="shared" si="3"/>
        <v>2260.0221695893842</v>
      </c>
    </row>
    <row r="25" spans="1:17">
      <c r="A25" s="3172" t="s">
        <v>3048</v>
      </c>
      <c r="B25" s="3172" t="s">
        <v>2984</v>
      </c>
      <c r="C25" s="3172" t="s">
        <v>3012</v>
      </c>
      <c r="D25" s="3172" t="s">
        <v>3013</v>
      </c>
      <c r="E25" s="3172" t="s">
        <v>3048</v>
      </c>
      <c r="F25" s="3172" t="s">
        <v>3014</v>
      </c>
      <c r="G25" s="3172">
        <v>12142.37</v>
      </c>
      <c r="H25" s="3172">
        <v>30355.93</v>
      </c>
      <c r="I25" s="3172" t="s">
        <v>3049</v>
      </c>
      <c r="J25" s="3172" t="s">
        <v>3050</v>
      </c>
      <c r="K25" s="3172" t="s">
        <v>3051</v>
      </c>
      <c r="L25" s="3172">
        <v>3100</v>
      </c>
      <c r="M25" s="3172">
        <v>170.2</v>
      </c>
      <c r="N25" s="3172">
        <v>1021.22</v>
      </c>
      <c r="O25" s="3172">
        <v>0</v>
      </c>
      <c r="P25" s="3177">
        <f t="shared" si="3"/>
        <v>2553.0435985726012</v>
      </c>
    </row>
    <row r="26" spans="1:17">
      <c r="A26" s="3172" t="s">
        <v>3052</v>
      </c>
      <c r="B26" s="3172" t="s">
        <v>2984</v>
      </c>
      <c r="C26" s="3172" t="s">
        <v>3012</v>
      </c>
      <c r="D26" s="3172" t="s">
        <v>3013</v>
      </c>
      <c r="E26" s="3172" t="s">
        <v>3052</v>
      </c>
      <c r="F26" s="3172" t="s">
        <v>3014</v>
      </c>
      <c r="G26" s="3172">
        <v>41297.14</v>
      </c>
      <c r="H26" s="3172">
        <v>103242.85</v>
      </c>
      <c r="I26" s="3172" t="s">
        <v>3053</v>
      </c>
      <c r="J26" s="3172" t="s">
        <v>3050</v>
      </c>
      <c r="K26" s="3172" t="s">
        <v>3054</v>
      </c>
      <c r="L26" s="3172">
        <v>8475</v>
      </c>
      <c r="M26" s="3172">
        <v>136.81</v>
      </c>
      <c r="N26" s="3172">
        <v>820.87</v>
      </c>
      <c r="O26" s="3172">
        <v>0</v>
      </c>
      <c r="P26" s="3177">
        <f t="shared" si="3"/>
        <v>2052.2002250034748</v>
      </c>
    </row>
    <row r="27" spans="1:17">
      <c r="A27" s="3172" t="s">
        <v>3055</v>
      </c>
      <c r="B27" s="3172" t="s">
        <v>2984</v>
      </c>
      <c r="C27" s="3172" t="s">
        <v>3012</v>
      </c>
      <c r="D27" s="3172" t="s">
        <v>3013</v>
      </c>
      <c r="E27" s="3172" t="s">
        <v>3055</v>
      </c>
      <c r="F27" s="3172" t="s">
        <v>3014</v>
      </c>
      <c r="G27" s="3172">
        <v>34151.78</v>
      </c>
      <c r="H27" s="3172">
        <v>95624.98</v>
      </c>
      <c r="I27" s="3172" t="s">
        <v>3038</v>
      </c>
      <c r="J27" s="3172" t="s">
        <v>3050</v>
      </c>
      <c r="K27" s="3172" t="s">
        <v>3036</v>
      </c>
      <c r="L27" s="3172">
        <v>7500</v>
      </c>
      <c r="M27" s="3172">
        <v>146.41</v>
      </c>
      <c r="N27" s="3172">
        <v>784.3</v>
      </c>
      <c r="O27" s="3172">
        <v>0</v>
      </c>
      <c r="P27" s="3177">
        <f t="shared" si="3"/>
        <v>2196.0787988210277</v>
      </c>
    </row>
    <row r="28" spans="1:17" s="3175" customFormat="1">
      <c r="A28" s="3175" t="s">
        <v>3056</v>
      </c>
      <c r="B28" s="3175" t="s">
        <v>2984</v>
      </c>
      <c r="C28" s="3175" t="s">
        <v>3012</v>
      </c>
      <c r="D28" s="3175" t="s">
        <v>3013</v>
      </c>
      <c r="E28" s="3175" t="s">
        <v>3056</v>
      </c>
      <c r="F28" s="3175" t="s">
        <v>3014</v>
      </c>
      <c r="G28" s="3175">
        <v>44159.57</v>
      </c>
      <c r="H28" s="3175">
        <v>110398.9</v>
      </c>
      <c r="I28" s="3175" t="s">
        <v>3049</v>
      </c>
      <c r="J28" s="3175" t="s">
        <v>3050</v>
      </c>
      <c r="K28" s="3175" t="s">
        <v>3051</v>
      </c>
      <c r="L28" s="3175">
        <v>11265</v>
      </c>
      <c r="M28" s="3175">
        <v>170.07</v>
      </c>
      <c r="N28" s="3175">
        <v>1020.38</v>
      </c>
      <c r="O28" s="3175">
        <v>0</v>
      </c>
      <c r="P28" s="3175">
        <f>L28*10000/G28</f>
        <v>2550.9759266224737</v>
      </c>
      <c r="Q28" s="3178" t="s">
        <v>3089</v>
      </c>
    </row>
    <row r="29" spans="1:17">
      <c r="A29" s="3172" t="s">
        <v>3057</v>
      </c>
      <c r="B29" s="3172" t="s">
        <v>2984</v>
      </c>
      <c r="C29" s="3172" t="s">
        <v>3012</v>
      </c>
      <c r="D29" s="3172" t="s">
        <v>3013</v>
      </c>
      <c r="E29" s="3172" t="s">
        <v>3057</v>
      </c>
      <c r="F29" s="3172" t="s">
        <v>3014</v>
      </c>
      <c r="G29" s="3172">
        <v>45076.26</v>
      </c>
      <c r="H29" s="3172">
        <v>72122.02</v>
      </c>
      <c r="I29" s="3172" t="s">
        <v>3015</v>
      </c>
      <c r="J29" s="3172" t="s">
        <v>3050</v>
      </c>
      <c r="K29" s="3172" t="s">
        <v>3058</v>
      </c>
      <c r="L29" s="3172">
        <v>4400</v>
      </c>
      <c r="M29" s="3172">
        <v>65.069999999999993</v>
      </c>
      <c r="N29" s="3172">
        <v>610.08000000000004</v>
      </c>
      <c r="O29" s="3172">
        <v>0</v>
      </c>
    </row>
    <row r="30" spans="1:17" s="3173" customFormat="1">
      <c r="A30" s="3173" t="s">
        <v>3059</v>
      </c>
      <c r="B30" s="3173" t="s">
        <v>2984</v>
      </c>
      <c r="C30" s="3173" t="s">
        <v>3012</v>
      </c>
      <c r="D30" s="3173" t="s">
        <v>3013</v>
      </c>
      <c r="E30" s="3173" t="s">
        <v>3059</v>
      </c>
      <c r="F30" s="3173" t="s">
        <v>3014</v>
      </c>
      <c r="G30" s="3173">
        <v>2584.17</v>
      </c>
      <c r="H30" s="3173">
        <v>6460.43</v>
      </c>
      <c r="I30" s="3173" t="s">
        <v>3060</v>
      </c>
      <c r="J30" s="3173" t="s">
        <v>3050</v>
      </c>
      <c r="K30" s="3173" t="s">
        <v>3036</v>
      </c>
      <c r="L30" s="3173">
        <v>551</v>
      </c>
      <c r="M30" s="3173">
        <v>142.15</v>
      </c>
      <c r="N30" s="3173">
        <v>852.87</v>
      </c>
      <c r="O30" s="3173">
        <v>0</v>
      </c>
    </row>
    <row r="31" spans="1:17" s="3173" customFormat="1">
      <c r="A31" s="3173" t="s">
        <v>3061</v>
      </c>
      <c r="B31" s="3173" t="s">
        <v>2984</v>
      </c>
      <c r="C31" s="3173" t="s">
        <v>3012</v>
      </c>
      <c r="D31" s="3173" t="s">
        <v>3013</v>
      </c>
      <c r="E31" s="3173" t="s">
        <v>3061</v>
      </c>
      <c r="F31" s="3173" t="s">
        <v>3014</v>
      </c>
      <c r="G31" s="3173">
        <v>27892.35</v>
      </c>
      <c r="H31" s="3173">
        <v>83677.05</v>
      </c>
      <c r="I31" s="3173" t="s">
        <v>3034</v>
      </c>
      <c r="J31" s="3173" t="s">
        <v>3050</v>
      </c>
      <c r="K31" s="3173" t="s">
        <v>3036</v>
      </c>
      <c r="L31" s="3173">
        <v>6305</v>
      </c>
      <c r="M31" s="3173">
        <v>150.69999999999999</v>
      </c>
      <c r="N31" s="3173">
        <v>753.49</v>
      </c>
      <c r="O31" s="3173">
        <v>0</v>
      </c>
    </row>
    <row r="32" spans="1:17" s="3173" customFormat="1">
      <c r="A32" s="3173" t="s">
        <v>3062</v>
      </c>
      <c r="B32" s="3173" t="s">
        <v>2984</v>
      </c>
      <c r="C32" s="3173" t="s">
        <v>3012</v>
      </c>
      <c r="D32" s="3173" t="s">
        <v>3013</v>
      </c>
      <c r="E32" s="3173" t="s">
        <v>3062</v>
      </c>
      <c r="F32" s="3173" t="s">
        <v>3014</v>
      </c>
      <c r="G32" s="3173">
        <v>41574.47</v>
      </c>
      <c r="H32" s="3173">
        <v>103936.18</v>
      </c>
      <c r="I32" s="3173" t="s">
        <v>3060</v>
      </c>
      <c r="J32" s="3173" t="s">
        <v>3050</v>
      </c>
      <c r="K32" s="3173" t="s">
        <v>3036</v>
      </c>
      <c r="L32" s="3173">
        <v>8860</v>
      </c>
      <c r="M32" s="3173">
        <v>142.07</v>
      </c>
      <c r="N32" s="3173">
        <v>852.45</v>
      </c>
      <c r="O32" s="3173">
        <v>0</v>
      </c>
    </row>
    <row r="33" spans="1:15" s="3173" customFormat="1">
      <c r="A33" s="3173" t="s">
        <v>3063</v>
      </c>
      <c r="B33" s="3173" t="s">
        <v>2984</v>
      </c>
      <c r="C33" s="3173" t="s">
        <v>3012</v>
      </c>
      <c r="D33" s="3173" t="s">
        <v>3013</v>
      </c>
      <c r="E33" s="3173" t="s">
        <v>3063</v>
      </c>
      <c r="F33" s="3173" t="s">
        <v>3014</v>
      </c>
      <c r="G33" s="3173">
        <v>26239.9</v>
      </c>
      <c r="H33" s="3173">
        <v>65599.75</v>
      </c>
      <c r="I33" s="3173" t="s">
        <v>3060</v>
      </c>
      <c r="J33" s="3173" t="s">
        <v>3050</v>
      </c>
      <c r="K33" s="3173" t="s">
        <v>3036</v>
      </c>
      <c r="L33" s="3173">
        <v>5595</v>
      </c>
      <c r="M33" s="3173">
        <v>142.15</v>
      </c>
      <c r="N33" s="3173">
        <v>852.89</v>
      </c>
      <c r="O33" s="3173">
        <v>0</v>
      </c>
    </row>
    <row r="34" spans="1:15" s="3173" customFormat="1">
      <c r="A34" s="3173" t="s">
        <v>3064</v>
      </c>
      <c r="B34" s="3173" t="s">
        <v>2984</v>
      </c>
      <c r="C34" s="3173" t="s">
        <v>3012</v>
      </c>
      <c r="D34" s="3173" t="s">
        <v>3013</v>
      </c>
      <c r="E34" s="3173" t="s">
        <v>3064</v>
      </c>
      <c r="F34" s="3173" t="s">
        <v>3014</v>
      </c>
      <c r="G34" s="3173">
        <v>6243.49</v>
      </c>
      <c r="H34" s="3173">
        <v>15608.73</v>
      </c>
      <c r="I34" s="3173" t="s">
        <v>3060</v>
      </c>
      <c r="J34" s="3173" t="s">
        <v>3050</v>
      </c>
      <c r="K34" s="3173" t="s">
        <v>3036</v>
      </c>
      <c r="L34" s="3173">
        <v>1330</v>
      </c>
      <c r="M34" s="3173">
        <v>142.01</v>
      </c>
      <c r="N34" s="3173">
        <v>852.09</v>
      </c>
      <c r="O34" s="3173">
        <v>0</v>
      </c>
    </row>
    <row r="35" spans="1:15" s="3173" customFormat="1">
      <c r="A35" s="3173" t="s">
        <v>3064</v>
      </c>
      <c r="B35" s="3173" t="s">
        <v>2984</v>
      </c>
      <c r="C35" s="3173" t="s">
        <v>3012</v>
      </c>
      <c r="D35" s="3173" t="s">
        <v>3013</v>
      </c>
      <c r="E35" s="3173" t="s">
        <v>3064</v>
      </c>
      <c r="F35" s="3173" t="s">
        <v>3014</v>
      </c>
      <c r="G35" s="3173">
        <v>42368.68</v>
      </c>
      <c r="H35" s="3173">
        <v>105921.7</v>
      </c>
      <c r="I35" s="3173" t="s">
        <v>3060</v>
      </c>
      <c r="J35" s="3173" t="s">
        <v>3050</v>
      </c>
      <c r="K35" s="3173" t="s">
        <v>3036</v>
      </c>
      <c r="L35" s="3173">
        <v>9030</v>
      </c>
      <c r="M35" s="3173">
        <v>142.09</v>
      </c>
      <c r="N35" s="3173">
        <v>852.51</v>
      </c>
      <c r="O35" s="3173">
        <v>0</v>
      </c>
    </row>
    <row r="36" spans="1:15">
      <c r="A36" s="3172" t="s">
        <v>3065</v>
      </c>
      <c r="B36" s="3172" t="s">
        <v>2984</v>
      </c>
      <c r="C36" s="3172" t="s">
        <v>3012</v>
      </c>
      <c r="D36" s="3172" t="s">
        <v>3013</v>
      </c>
      <c r="E36" s="3172" t="s">
        <v>3065</v>
      </c>
      <c r="F36" s="3172" t="s">
        <v>3014</v>
      </c>
      <c r="G36" s="3172">
        <v>21863.94</v>
      </c>
      <c r="H36" s="3172">
        <v>65591.820000000007</v>
      </c>
      <c r="I36" s="3172" t="s">
        <v>3034</v>
      </c>
      <c r="J36" s="3172" t="s">
        <v>3050</v>
      </c>
      <c r="K36" s="3172" t="s">
        <v>3066</v>
      </c>
      <c r="L36" s="3172">
        <v>9090</v>
      </c>
      <c r="M36" s="3172">
        <v>277.17</v>
      </c>
      <c r="N36" s="3172">
        <v>1385.83</v>
      </c>
      <c r="O36" s="3172">
        <v>65.569999999999993</v>
      </c>
    </row>
    <row r="37" spans="1:15">
      <c r="A37" s="3172" t="s">
        <v>3067</v>
      </c>
      <c r="B37" s="3172" t="s">
        <v>2984</v>
      </c>
      <c r="C37" s="3172" t="s">
        <v>3012</v>
      </c>
      <c r="D37" s="3172" t="s">
        <v>3013</v>
      </c>
      <c r="E37" s="3172" t="s">
        <v>3067</v>
      </c>
      <c r="F37" s="3172" t="s">
        <v>3014</v>
      </c>
      <c r="G37" s="3172">
        <v>8494.83</v>
      </c>
      <c r="H37" s="3172">
        <v>13591.73</v>
      </c>
      <c r="I37" s="3172" t="s">
        <v>3015</v>
      </c>
      <c r="J37" s="3172" t="s">
        <v>3050</v>
      </c>
      <c r="K37" s="3172" t="s">
        <v>3058</v>
      </c>
      <c r="L37" s="3172">
        <v>805</v>
      </c>
      <c r="M37" s="3172">
        <v>63.18</v>
      </c>
      <c r="N37" s="3172">
        <v>592.26</v>
      </c>
      <c r="O37" s="3172">
        <v>0</v>
      </c>
    </row>
    <row r="38" spans="1:15">
      <c r="A38" s="3172" t="s">
        <v>3068</v>
      </c>
      <c r="B38" s="3172" t="s">
        <v>2984</v>
      </c>
      <c r="C38" s="3172" t="s">
        <v>3012</v>
      </c>
      <c r="D38" s="3172" t="s">
        <v>3013</v>
      </c>
      <c r="E38" s="3172" t="s">
        <v>3068</v>
      </c>
      <c r="F38" s="3172" t="s">
        <v>3014</v>
      </c>
      <c r="G38" s="3172">
        <v>6942.3</v>
      </c>
      <c r="H38" s="3172">
        <v>19438.439999999999</v>
      </c>
      <c r="I38" s="3172" t="s">
        <v>3038</v>
      </c>
      <c r="J38" s="3172" t="s">
        <v>3050</v>
      </c>
      <c r="K38" s="3172" t="s">
        <v>3036</v>
      </c>
      <c r="L38" s="3172">
        <v>1525</v>
      </c>
      <c r="M38" s="3172">
        <v>146.44999999999999</v>
      </c>
      <c r="N38" s="3172">
        <v>784.52</v>
      </c>
      <c r="O38" s="3172">
        <v>0</v>
      </c>
    </row>
    <row r="39" spans="1:15">
      <c r="A39" s="3172" t="s">
        <v>3069</v>
      </c>
      <c r="B39" s="3172" t="s">
        <v>2984</v>
      </c>
      <c r="C39" s="3172" t="s">
        <v>3012</v>
      </c>
      <c r="D39" s="3172" t="s">
        <v>3013</v>
      </c>
      <c r="E39" s="3172" t="s">
        <v>3069</v>
      </c>
      <c r="F39" s="3172" t="s">
        <v>3014</v>
      </c>
      <c r="G39" s="3172">
        <v>45049.37</v>
      </c>
      <c r="H39" s="3172">
        <v>72078.990000000005</v>
      </c>
      <c r="I39" s="3172" t="s">
        <v>3015</v>
      </c>
      <c r="J39" s="3172" t="s">
        <v>3050</v>
      </c>
      <c r="K39" s="3172" t="s">
        <v>3058</v>
      </c>
      <c r="L39" s="3172">
        <v>4400</v>
      </c>
      <c r="M39" s="3172">
        <v>65.11</v>
      </c>
      <c r="N39" s="3172">
        <v>610.44000000000005</v>
      </c>
      <c r="O39" s="3172">
        <v>0</v>
      </c>
    </row>
    <row r="40" spans="1:15">
      <c r="A40" s="3172" t="s">
        <v>3070</v>
      </c>
      <c r="B40" s="3172" t="s">
        <v>2984</v>
      </c>
      <c r="C40" s="3172" t="s">
        <v>3012</v>
      </c>
      <c r="D40" s="3172" t="s">
        <v>3013</v>
      </c>
      <c r="E40" s="3172" t="s">
        <v>3070</v>
      </c>
      <c r="F40" s="3172" t="s">
        <v>3014</v>
      </c>
      <c r="G40" s="3172">
        <v>39777.74</v>
      </c>
      <c r="H40" s="3172">
        <v>63644.38</v>
      </c>
      <c r="I40" s="3172" t="s">
        <v>3015</v>
      </c>
      <c r="J40" s="3172" t="s">
        <v>3050</v>
      </c>
      <c r="K40" s="3172" t="s">
        <v>3058</v>
      </c>
      <c r="L40" s="3172">
        <v>3885</v>
      </c>
      <c r="M40" s="3172">
        <v>65.11</v>
      </c>
      <c r="N40" s="3172">
        <v>610.41</v>
      </c>
      <c r="O40" s="3172">
        <v>0</v>
      </c>
    </row>
    <row r="41" spans="1:15">
      <c r="A41" s="3172" t="s">
        <v>3071</v>
      </c>
      <c r="B41" s="3172" t="s">
        <v>2984</v>
      </c>
      <c r="C41" s="3172" t="s">
        <v>3012</v>
      </c>
      <c r="D41" s="3172" t="s">
        <v>3013</v>
      </c>
      <c r="E41" s="3172" t="s">
        <v>3071</v>
      </c>
      <c r="F41" s="3172" t="s">
        <v>3014</v>
      </c>
      <c r="G41" s="3172">
        <v>45873.61</v>
      </c>
      <c r="H41" s="3172">
        <v>73397.78</v>
      </c>
      <c r="I41" s="3172" t="s">
        <v>3015</v>
      </c>
      <c r="J41" s="3172" t="s">
        <v>3050</v>
      </c>
      <c r="K41" s="3172" t="s">
        <v>3058</v>
      </c>
      <c r="L41" s="3172">
        <v>4480</v>
      </c>
      <c r="M41" s="3172">
        <v>65.11</v>
      </c>
      <c r="N41" s="3172">
        <v>610.37</v>
      </c>
      <c r="O41" s="3172">
        <v>0</v>
      </c>
    </row>
    <row r="42" spans="1:15">
      <c r="A42" s="3172" t="s">
        <v>3072</v>
      </c>
      <c r="B42" s="3172" t="s">
        <v>2984</v>
      </c>
      <c r="C42" s="3172" t="s">
        <v>3012</v>
      </c>
      <c r="D42" s="3172" t="s">
        <v>3013</v>
      </c>
      <c r="E42" s="3172" t="s">
        <v>3072</v>
      </c>
      <c r="F42" s="3172" t="s">
        <v>3014</v>
      </c>
      <c r="G42" s="3172">
        <v>32782.019999999997</v>
      </c>
      <c r="H42" s="3172">
        <v>81955.05</v>
      </c>
      <c r="I42" s="3172" t="s">
        <v>3060</v>
      </c>
      <c r="J42" s="3172" t="s">
        <v>3073</v>
      </c>
      <c r="K42" s="3172" t="s">
        <v>3036</v>
      </c>
      <c r="L42" s="3172">
        <v>7545</v>
      </c>
      <c r="M42" s="3172">
        <v>153.44</v>
      </c>
      <c r="N42" s="3172">
        <v>920.62</v>
      </c>
      <c r="O42" s="3172">
        <v>0</v>
      </c>
    </row>
    <row r="43" spans="1:15">
      <c r="A43" s="3172" t="s">
        <v>3043</v>
      </c>
      <c r="B43" s="3172" t="s">
        <v>2984</v>
      </c>
      <c r="C43" s="3172" t="s">
        <v>3012</v>
      </c>
      <c r="D43" s="3172" t="s">
        <v>3013</v>
      </c>
      <c r="E43" s="3172" t="s">
        <v>3043</v>
      </c>
      <c r="F43" s="3172" t="s">
        <v>3014</v>
      </c>
      <c r="G43" s="3172">
        <v>9295.81</v>
      </c>
      <c r="H43" s="3172">
        <v>24169.11</v>
      </c>
      <c r="I43" s="3172" t="s">
        <v>3074</v>
      </c>
      <c r="J43" s="3172" t="s">
        <v>3075</v>
      </c>
      <c r="K43" s="3172" t="s">
        <v>3036</v>
      </c>
      <c r="L43" s="3172">
        <v>2135</v>
      </c>
      <c r="M43" s="3172">
        <v>153.12</v>
      </c>
      <c r="N43" s="3172">
        <v>883.36</v>
      </c>
      <c r="O43" s="3172">
        <v>0</v>
      </c>
    </row>
    <row r="44" spans="1:15">
      <c r="A44" s="3172" t="s">
        <v>3076</v>
      </c>
      <c r="B44" s="3172" t="s">
        <v>2984</v>
      </c>
      <c r="C44" s="3172" t="s">
        <v>3012</v>
      </c>
      <c r="D44" s="3172" t="s">
        <v>3013</v>
      </c>
      <c r="E44" s="3172" t="s">
        <v>3076</v>
      </c>
      <c r="F44" s="3172" t="s">
        <v>3014</v>
      </c>
      <c r="G44" s="3172">
        <v>38510.17</v>
      </c>
      <c r="H44" s="3172">
        <v>96275.43</v>
      </c>
      <c r="I44" s="3172" t="s">
        <v>3060</v>
      </c>
      <c r="J44" s="3172" t="s">
        <v>3075</v>
      </c>
      <c r="K44" s="3172" t="s">
        <v>3077</v>
      </c>
      <c r="L44" s="3172">
        <v>10315</v>
      </c>
      <c r="M44" s="3172">
        <v>178.57</v>
      </c>
      <c r="N44" s="3172">
        <v>1071.4100000000001</v>
      </c>
      <c r="O44" s="3172">
        <v>0</v>
      </c>
    </row>
    <row r="45" spans="1:15">
      <c r="A45" s="3172" t="s">
        <v>3078</v>
      </c>
      <c r="B45" s="3172" t="s">
        <v>2984</v>
      </c>
      <c r="C45" s="3172" t="s">
        <v>3012</v>
      </c>
      <c r="D45" s="3172" t="s">
        <v>3013</v>
      </c>
      <c r="E45" s="3172" t="s">
        <v>3078</v>
      </c>
      <c r="F45" s="3172" t="s">
        <v>3014</v>
      </c>
      <c r="G45" s="3172">
        <v>46032.959999999999</v>
      </c>
      <c r="H45" s="3172">
        <v>115082.4</v>
      </c>
      <c r="I45" s="3172" t="s">
        <v>3060</v>
      </c>
      <c r="J45" s="3172" t="s">
        <v>3075</v>
      </c>
      <c r="K45" s="3172" t="s">
        <v>3058</v>
      </c>
      <c r="L45" s="3172">
        <v>4940</v>
      </c>
      <c r="M45" s="3172">
        <v>71.540000000000006</v>
      </c>
      <c r="N45" s="3172">
        <v>429.25</v>
      </c>
      <c r="O45" s="3172">
        <v>0</v>
      </c>
    </row>
    <row r="46" spans="1:15">
      <c r="A46" s="3172" t="s">
        <v>3079</v>
      </c>
      <c r="B46" s="3172" t="s">
        <v>2984</v>
      </c>
      <c r="C46" s="3172" t="s">
        <v>3012</v>
      </c>
      <c r="D46" s="3172" t="s">
        <v>3013</v>
      </c>
      <c r="E46" s="3172" t="s">
        <v>3079</v>
      </c>
      <c r="F46" s="3172" t="s">
        <v>3014</v>
      </c>
      <c r="G46" s="3172">
        <v>27528.09</v>
      </c>
      <c r="H46" s="3172">
        <v>68820.23</v>
      </c>
      <c r="I46" s="3172" t="s">
        <v>3060</v>
      </c>
      <c r="J46" s="3172" t="s">
        <v>3075</v>
      </c>
      <c r="K46" s="3172" t="s">
        <v>3080</v>
      </c>
      <c r="L46" s="3172">
        <v>7380</v>
      </c>
      <c r="M46" s="3172">
        <v>178.73</v>
      </c>
      <c r="N46" s="3172">
        <v>1072.3499999999999</v>
      </c>
      <c r="O46" s="3172">
        <v>0</v>
      </c>
    </row>
    <row r="47" spans="1:15">
      <c r="A47" s="3172" t="s">
        <v>3081</v>
      </c>
      <c r="B47" s="3172" t="s">
        <v>2984</v>
      </c>
      <c r="C47" s="3172" t="s">
        <v>3012</v>
      </c>
      <c r="D47" s="3172" t="s">
        <v>3013</v>
      </c>
      <c r="E47" s="3172" t="s">
        <v>3081</v>
      </c>
      <c r="F47" s="3172" t="s">
        <v>3014</v>
      </c>
      <c r="G47" s="3172">
        <v>27261.78</v>
      </c>
      <c r="H47" s="3172">
        <v>68154.45</v>
      </c>
      <c r="I47" s="3172" t="s">
        <v>3060</v>
      </c>
      <c r="J47" s="3172" t="s">
        <v>3075</v>
      </c>
      <c r="K47" s="3172" t="s">
        <v>3082</v>
      </c>
      <c r="L47" s="3172">
        <v>7420</v>
      </c>
      <c r="M47" s="3172">
        <v>181.45</v>
      </c>
      <c r="N47" s="3172">
        <v>1088.7</v>
      </c>
      <c r="O47" s="3172">
        <v>0</v>
      </c>
    </row>
    <row r="48" spans="1:15">
      <c r="A48" s="3172" t="s">
        <v>3079</v>
      </c>
      <c r="B48" s="3172" t="s">
        <v>2984</v>
      </c>
      <c r="C48" s="3172" t="s">
        <v>3012</v>
      </c>
      <c r="D48" s="3172" t="s">
        <v>3013</v>
      </c>
      <c r="E48" s="3172" t="s">
        <v>3079</v>
      </c>
      <c r="F48" s="3172" t="s">
        <v>3014</v>
      </c>
      <c r="G48" s="3172">
        <v>43086.53</v>
      </c>
      <c r="H48" s="3172">
        <v>107716.33</v>
      </c>
      <c r="I48" s="3172" t="s">
        <v>3060</v>
      </c>
      <c r="J48" s="3172" t="s">
        <v>3075</v>
      </c>
      <c r="K48" s="3172" t="s">
        <v>3080</v>
      </c>
      <c r="L48" s="3172">
        <v>11660</v>
      </c>
      <c r="M48" s="3172">
        <v>180.41</v>
      </c>
      <c r="N48" s="3172">
        <v>1082.47</v>
      </c>
      <c r="O48" s="3172">
        <v>0</v>
      </c>
    </row>
    <row r="49" spans="1:15">
      <c r="A49" s="3172" t="s">
        <v>3079</v>
      </c>
      <c r="B49" s="3172" t="s">
        <v>2984</v>
      </c>
      <c r="C49" s="3172" t="s">
        <v>3012</v>
      </c>
      <c r="D49" s="3172" t="s">
        <v>3013</v>
      </c>
      <c r="E49" s="3172" t="s">
        <v>3079</v>
      </c>
      <c r="F49" s="3172" t="s">
        <v>3014</v>
      </c>
      <c r="G49" s="3172">
        <v>26387.48</v>
      </c>
      <c r="H49" s="3172">
        <v>65968.7</v>
      </c>
      <c r="I49" s="3172" t="s">
        <v>3060</v>
      </c>
      <c r="J49" s="3172" t="s">
        <v>3075</v>
      </c>
      <c r="K49" s="3172" t="s">
        <v>3080</v>
      </c>
      <c r="L49" s="3172">
        <v>7060</v>
      </c>
      <c r="M49" s="3172">
        <v>178.37</v>
      </c>
      <c r="N49" s="3172">
        <v>1070.2</v>
      </c>
      <c r="O49" s="3172">
        <v>0</v>
      </c>
    </row>
    <row r="50" spans="1:15">
      <c r="A50" s="3172" t="s">
        <v>3081</v>
      </c>
      <c r="B50" s="3172" t="s">
        <v>2984</v>
      </c>
      <c r="C50" s="3172" t="s">
        <v>3012</v>
      </c>
      <c r="D50" s="3172" t="s">
        <v>3013</v>
      </c>
      <c r="E50" s="3172" t="s">
        <v>3081</v>
      </c>
      <c r="F50" s="3172" t="s">
        <v>3014</v>
      </c>
      <c r="G50" s="3172">
        <v>27253</v>
      </c>
      <c r="H50" s="3172">
        <v>68132.5</v>
      </c>
      <c r="I50" s="3172" t="s">
        <v>3060</v>
      </c>
      <c r="J50" s="3172" t="s">
        <v>3075</v>
      </c>
      <c r="K50" s="3172" t="s">
        <v>3082</v>
      </c>
      <c r="L50" s="3172">
        <v>7420</v>
      </c>
      <c r="M50" s="3172">
        <v>181.51</v>
      </c>
      <c r="N50" s="3172">
        <v>1089.04</v>
      </c>
      <c r="O50" s="3172">
        <v>0</v>
      </c>
    </row>
    <row r="51" spans="1:15">
      <c r="A51" s="3172" t="s">
        <v>3043</v>
      </c>
      <c r="B51" s="3172" t="s">
        <v>2984</v>
      </c>
      <c r="C51" s="3172" t="s">
        <v>3012</v>
      </c>
      <c r="D51" s="3172" t="s">
        <v>3013</v>
      </c>
      <c r="E51" s="3172" t="s">
        <v>3043</v>
      </c>
      <c r="F51" s="3172" t="s">
        <v>3014</v>
      </c>
      <c r="G51" s="3172">
        <v>8937.24</v>
      </c>
      <c r="H51" s="3172">
        <v>26811.72</v>
      </c>
      <c r="I51" s="3172" t="s">
        <v>3044</v>
      </c>
      <c r="J51" s="3172" t="s">
        <v>3075</v>
      </c>
      <c r="K51" s="3172" t="s">
        <v>3036</v>
      </c>
      <c r="L51" s="3172">
        <v>2125</v>
      </c>
      <c r="M51" s="3172">
        <v>158.51</v>
      </c>
      <c r="N51" s="3172">
        <v>792.55</v>
      </c>
      <c r="O51" s="3172">
        <v>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5" t="s">
        <v>2041</v>
      </c>
      <c r="B1" s="3185"/>
      <c r="C1" s="3185"/>
      <c r="D1" s="3185"/>
      <c r="E1" s="3185"/>
      <c r="F1" s="3185"/>
      <c r="G1" s="3185"/>
      <c r="H1" s="3185"/>
      <c r="I1" s="3185"/>
      <c r="J1" s="3185"/>
      <c r="K1" s="3185"/>
      <c r="L1" s="3185"/>
      <c r="M1" s="3185"/>
      <c r="N1" s="3185"/>
      <c r="O1" s="3185"/>
      <c r="P1" s="3185"/>
      <c r="Q1" s="3185"/>
      <c r="R1" s="3185"/>
    </row>
    <row r="2" spans="1:18">
      <c r="A2" s="1809" t="s">
        <v>2043</v>
      </c>
      <c r="B2" s="1809"/>
      <c r="C2" s="1809"/>
      <c r="D2" s="1809"/>
      <c r="E2" s="1809"/>
      <c r="F2" s="1809"/>
      <c r="G2" s="1809"/>
      <c r="H2" s="1809"/>
      <c r="I2" s="1810"/>
      <c r="J2" s="1810"/>
      <c r="K2" s="1811" t="str">
        <f>"估价期日："&amp;TEXT(项目基本情况!D3,"yyyy年m月d日;;")</f>
        <v>估价期日：2017年12月8日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6" t="s">
        <v>2032</v>
      </c>
      <c r="B3" s="3186" t="s">
        <v>2739</v>
      </c>
      <c r="C3" s="3187" t="s">
        <v>2033</v>
      </c>
      <c r="D3" s="3186" t="s">
        <v>2743</v>
      </c>
      <c r="E3" s="3189" t="s">
        <v>2034</v>
      </c>
      <c r="F3" s="3189"/>
      <c r="G3" s="3189"/>
      <c r="H3" s="3189" t="s">
        <v>2035</v>
      </c>
      <c r="I3" s="3189"/>
      <c r="J3" s="3189"/>
      <c r="K3" s="3187" t="s">
        <v>2036</v>
      </c>
      <c r="L3" s="3187" t="s">
        <v>2037</v>
      </c>
      <c r="M3" s="3186" t="s">
        <v>2740</v>
      </c>
      <c r="N3" s="3188" t="str">
        <f>"（分摊）"&amp;项目基本情况!B16&amp;"国有建设用地使用权面积/㎡"</f>
        <v>（分摊）出让国有建设用地使用权面积/㎡</v>
      </c>
      <c r="O3" s="3186" t="s">
        <v>2066</v>
      </c>
      <c r="P3" s="3187" t="s">
        <v>2046</v>
      </c>
      <c r="Q3" s="3187" t="s">
        <v>2067</v>
      </c>
      <c r="R3" s="3187" t="s">
        <v>2038</v>
      </c>
    </row>
    <row r="4" spans="1:18" ht="36.75" customHeight="1">
      <c r="A4" s="3186"/>
      <c r="B4" s="3186"/>
      <c r="C4" s="3187"/>
      <c r="D4" s="3186"/>
      <c r="E4" s="2676" t="s">
        <v>2045</v>
      </c>
      <c r="F4" s="2676" t="s">
        <v>2752</v>
      </c>
      <c r="G4" s="2676" t="s">
        <v>2039</v>
      </c>
      <c r="H4" s="2676" t="s">
        <v>2040</v>
      </c>
      <c r="I4" s="2676" t="s">
        <v>2753</v>
      </c>
      <c r="J4" s="2676" t="s">
        <v>2039</v>
      </c>
      <c r="K4" s="3187"/>
      <c r="L4" s="3187"/>
      <c r="M4" s="3186"/>
      <c r="N4" s="3188"/>
      <c r="O4" s="3186"/>
      <c r="P4" s="3187"/>
      <c r="Q4" s="3187"/>
      <c r="R4" s="3187"/>
    </row>
    <row r="5" spans="1:18" ht="135" customHeight="1">
      <c r="A5" s="1945" t="s">
        <v>2663</v>
      </c>
      <c r="B5" s="2895" t="s">
        <v>2661</v>
      </c>
      <c r="C5" s="2675">
        <v>22</v>
      </c>
      <c r="D5" s="2674" t="s">
        <v>2662</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664499.4</v>
      </c>
      <c r="O5" s="1812">
        <f>项目基本情况!C21</f>
        <v>1839613.3399999999</v>
      </c>
      <c r="P5" s="1812">
        <f ca="1">结果表!E42</f>
        <v>3636</v>
      </c>
      <c r="Q5" s="1812">
        <f ca="1">结果表!D42</f>
        <v>1313</v>
      </c>
      <c r="R5" s="1813">
        <f ca="1">结果表!C42</f>
        <v>241604</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1814" t="str">
        <f>结果表!O39</f>
        <v>——</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814" t="str">
        <f>结果表!O40</f>
        <v>——</v>
      </c>
    </row>
    <row r="8" spans="1:18">
      <c r="A8" s="3182">
        <f>IF(项目基本情况!B9="市场价格","——",项目基本情况!E9)</f>
        <v>0</v>
      </c>
      <c r="B8" s="3183"/>
      <c r="C8" s="3183"/>
      <c r="D8" s="3183"/>
      <c r="E8" s="3183"/>
      <c r="F8" s="3183"/>
      <c r="G8" s="3183"/>
      <c r="H8" s="3183"/>
      <c r="I8" s="3183"/>
      <c r="J8" s="3183"/>
      <c r="K8" s="3183"/>
      <c r="L8" s="3183"/>
      <c r="M8" s="3183"/>
      <c r="N8" s="3183"/>
      <c r="O8" s="3183"/>
      <c r="P8" s="3183"/>
      <c r="Q8" s="3184"/>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0" t="s">
        <v>2068</v>
      </c>
      <c r="B1" s="3190"/>
      <c r="C1" s="3190"/>
      <c r="D1" s="3190"/>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93" t="s">
        <v>2069</v>
      </c>
      <c r="B5" s="3193"/>
      <c r="C5" s="3193"/>
      <c r="D5" s="3193"/>
    </row>
    <row r="6" spans="1:4">
      <c r="A6" s="3190" t="s">
        <v>2047</v>
      </c>
      <c r="B6" s="3190"/>
      <c r="C6" s="3190"/>
      <c r="D6" s="3190"/>
    </row>
    <row r="7" spans="1:4" ht="33" customHeight="1">
      <c r="A7" s="3190" t="s">
        <v>2581</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2"/>
      <c r="C11" s="3192"/>
      <c r="D11" s="3192"/>
    </row>
    <row r="12" spans="1:4" ht="168" customHeight="1">
      <c r="A12" s="3193" t="s">
        <v>2071</v>
      </c>
      <c r="B12" s="3193"/>
      <c r="C12" s="3193"/>
      <c r="D12" s="3193"/>
    </row>
    <row r="13" spans="1:4">
      <c r="A13" s="3191" t="s">
        <v>2754</v>
      </c>
      <c r="B13" s="3191"/>
      <c r="C13" s="3191"/>
      <c r="D13" s="3191"/>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2710</v>
      </c>
      <c r="B17" s="3190"/>
      <c r="C17" s="3190"/>
      <c r="D17" s="3190"/>
    </row>
    <row r="18" spans="1:4">
      <c r="A18" s="3190" t="s">
        <v>2702</v>
      </c>
      <c r="B18" s="3190"/>
      <c r="C18" s="3190"/>
      <c r="D18" s="3190"/>
    </row>
    <row r="19" spans="1:4">
      <c r="A19" s="2896" t="s">
        <v>2703</v>
      </c>
      <c r="B19" s="2896" t="s">
        <v>2704</v>
      </c>
      <c r="C19" s="2896" t="s">
        <v>2705</v>
      </c>
      <c r="D19" s="2896" t="s">
        <v>2706</v>
      </c>
    </row>
    <row r="20" spans="1:4">
      <c r="A20" s="2896" t="str">
        <f>项目基本情况!B4</f>
        <v>土地估价师</v>
      </c>
      <c r="B20" s="2896">
        <f>项目基本情况!C4</f>
        <v>0</v>
      </c>
      <c r="C20" s="2898"/>
      <c r="D20" s="1802" t="s">
        <v>2711</v>
      </c>
    </row>
    <row r="21" spans="1:4">
      <c r="A21" s="2896" t="str">
        <f>项目基本情况!D4</f>
        <v>土地估价师</v>
      </c>
      <c r="B21" s="2896">
        <f>项目基本情况!E4</f>
        <v>0</v>
      </c>
      <c r="C21" s="2898"/>
      <c r="D21" s="1802" t="s">
        <v>2712</v>
      </c>
    </row>
    <row r="23" spans="1:4">
      <c r="A23" s="3190" t="s">
        <v>2707</v>
      </c>
      <c r="B23" s="3190"/>
      <c r="C23" s="3190"/>
      <c r="D23" s="3190"/>
    </row>
    <row r="24" spans="1:4">
      <c r="A24" s="2896" t="s">
        <v>2703</v>
      </c>
      <c r="B24" s="2896" t="s">
        <v>2708</v>
      </c>
      <c r="C24" s="2896" t="s">
        <v>2705</v>
      </c>
      <c r="D24" s="2896" t="s">
        <v>2706</v>
      </c>
    </row>
    <row r="25" spans="1:4">
      <c r="A25" s="2899" t="s">
        <v>2709</v>
      </c>
      <c r="B25" s="2896" t="s">
        <v>952</v>
      </c>
      <c r="C25" s="2898"/>
      <c r="D25" s="1802" t="s">
        <v>2712</v>
      </c>
    </row>
    <row r="29" spans="1:4">
      <c r="D29" s="2897" t="s">
        <v>2042</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43077</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34">
        <v>43849</v>
      </c>
      <c r="D4" s="2345" t="s">
        <v>1915</v>
      </c>
      <c r="E4" s="2345">
        <f ca="1">IF(F4&lt;B2,"已过期",96010014)</f>
        <v>96010014</v>
      </c>
      <c r="F4" s="3035">
        <v>47118</v>
      </c>
    </row>
    <row r="5" spans="1:6" ht="20.25" customHeight="1">
      <c r="A5" s="2345" t="s">
        <v>1916</v>
      </c>
      <c r="B5" s="2345">
        <f ca="1">IF(C5&lt;B2,"已过期",1119970074)</f>
        <v>1119970074</v>
      </c>
      <c r="C5" s="3034">
        <v>43849</v>
      </c>
      <c r="D5" s="2345" t="s">
        <v>1916</v>
      </c>
      <c r="E5" s="2345">
        <f ca="1">IF(F5&lt;B2,"已过期",2002110027)</f>
        <v>2002110027</v>
      </c>
      <c r="F5" s="3035">
        <v>46752</v>
      </c>
    </row>
    <row r="6" spans="1:6" ht="20.25" customHeight="1">
      <c r="A6" s="2345" t="s">
        <v>1917</v>
      </c>
      <c r="B6" s="2345">
        <f ca="1">IF(C6&lt;B2,"已过期",1119970111)</f>
        <v>1119970111</v>
      </c>
      <c r="C6" s="3034">
        <v>43849</v>
      </c>
      <c r="D6" s="2345" t="s">
        <v>1917</v>
      </c>
      <c r="E6" s="2345">
        <f ca="1">IF(F6&lt;B2,"已过期",94010078)</f>
        <v>94010078</v>
      </c>
      <c r="F6" s="3035">
        <v>46387</v>
      </c>
    </row>
    <row r="7" spans="1:6" ht="20.25" customHeight="1">
      <c r="A7" s="2345" t="s">
        <v>1918</v>
      </c>
      <c r="B7" s="2345">
        <f ca="1">IF(C7&lt;B2,"已过期",1120050019)</f>
        <v>1120050019</v>
      </c>
      <c r="C7" s="3034">
        <v>43359</v>
      </c>
      <c r="D7" s="2345" t="s">
        <v>1918</v>
      </c>
      <c r="E7" s="2345">
        <f ca="1">IF(F7&lt;B2,"已过期",2002110030)</f>
        <v>2002110030</v>
      </c>
      <c r="F7" s="3035">
        <v>46387</v>
      </c>
    </row>
    <row r="8" spans="1:6" ht="20.25" customHeight="1">
      <c r="A8" s="2345" t="s">
        <v>1919</v>
      </c>
      <c r="B8" s="2345">
        <f ca="1">IF(C8&lt;B2,"已过期",1120000080)</f>
        <v>1120000080</v>
      </c>
      <c r="C8" s="3034">
        <v>43849</v>
      </c>
      <c r="D8" s="2345" t="s">
        <v>1919</v>
      </c>
      <c r="E8" s="2345">
        <f ca="1">IF(F8&lt;B2,"已过期",2000110082)</f>
        <v>2000110082</v>
      </c>
      <c r="F8" s="3035">
        <v>46387</v>
      </c>
    </row>
    <row r="9" spans="1:6" ht="20.25" customHeight="1">
      <c r="A9" s="2345" t="s">
        <v>1920</v>
      </c>
      <c r="B9" s="2345">
        <f ca="1">IF(C9&lt;B2,"已过期",1419970001)</f>
        <v>1419970001</v>
      </c>
      <c r="C9" s="3034">
        <v>43867</v>
      </c>
      <c r="D9" s="2345" t="s">
        <v>1920</v>
      </c>
      <c r="E9" s="2345">
        <f ca="1">IF(F9&lt;B2,"已过期",2002110125)</f>
        <v>2002110125</v>
      </c>
      <c r="F9" s="3035">
        <v>47118</v>
      </c>
    </row>
    <row r="10" spans="1:6" ht="20.25" customHeight="1">
      <c r="A10" s="2345" t="s">
        <v>1921</v>
      </c>
      <c r="B10" s="2345">
        <f ca="1">IF(C10&lt;B2,"已过期",1120060040)</f>
        <v>1120060040</v>
      </c>
      <c r="C10" s="3034">
        <v>43483</v>
      </c>
      <c r="D10" s="2345" t="s">
        <v>1921</v>
      </c>
      <c r="E10" s="2345">
        <f ca="1">IF(F10&lt;B2,"已过期",2004110096)</f>
        <v>2004110096</v>
      </c>
      <c r="F10" s="3035">
        <v>47118</v>
      </c>
    </row>
    <row r="11" spans="1:6" ht="20.25" customHeight="1">
      <c r="A11" s="2345" t="s">
        <v>1922</v>
      </c>
      <c r="B11" s="2345">
        <f ca="1">IF(C11&lt;B2,"已过期",1120100036)</f>
        <v>1120100036</v>
      </c>
      <c r="C11" s="3034">
        <v>43622</v>
      </c>
      <c r="D11" s="2345" t="s">
        <v>1922</v>
      </c>
      <c r="E11" s="2345">
        <f ca="1">IF(F11&lt;B2,"已过期",2010110070)</f>
        <v>2010110070</v>
      </c>
      <c r="F11" s="3035">
        <v>47907</v>
      </c>
    </row>
    <row r="12" spans="1:6" ht="20.25" customHeight="1">
      <c r="A12" s="2345"/>
      <c r="B12" s="2345"/>
      <c r="C12" s="3034"/>
      <c r="D12" s="2345"/>
      <c r="E12" s="2345"/>
      <c r="F12" s="2345"/>
    </row>
    <row r="13" spans="1:6" ht="20.25" customHeight="1">
      <c r="A13" s="2345" t="s">
        <v>1923</v>
      </c>
      <c r="B13" s="2345">
        <f ca="1">IF(C13&lt;B2,"已过期",1120070131)</f>
        <v>1120070131</v>
      </c>
      <c r="C13" s="3034">
        <v>43814</v>
      </c>
      <c r="D13" s="2345" t="s">
        <v>1923</v>
      </c>
      <c r="E13" s="2345">
        <v>2014110011</v>
      </c>
      <c r="F13" s="3035">
        <v>49302</v>
      </c>
    </row>
    <row r="14" spans="1:6" ht="20.25" customHeight="1">
      <c r="A14" s="2345" t="s">
        <v>1924</v>
      </c>
      <c r="B14" s="2345">
        <f ca="1">IF(C14&lt;B2,"已过期",1120130020)</f>
        <v>1120130020</v>
      </c>
      <c r="C14" s="3034">
        <v>43622</v>
      </c>
      <c r="D14" s="2345"/>
      <c r="E14" s="2345"/>
      <c r="F14" s="2345"/>
    </row>
    <row r="15" spans="1:6" ht="20.25" customHeight="1">
      <c r="A15" s="2345" t="s">
        <v>2580</v>
      </c>
      <c r="B15" s="2345">
        <v>1120070085</v>
      </c>
      <c r="C15" s="3034">
        <v>43814</v>
      </c>
      <c r="D15" s="2345" t="s">
        <v>2580</v>
      </c>
      <c r="E15" s="2345">
        <v>2004110128</v>
      </c>
      <c r="F15" s="3035">
        <v>47118</v>
      </c>
    </row>
    <row r="16" spans="1:6" ht="20.25" customHeight="1">
      <c r="A16" s="2345" t="s">
        <v>1925</v>
      </c>
      <c r="B16" s="2345">
        <f ca="1">IF(C16&lt;B2,"已过期",1120140022)</f>
        <v>1120140022</v>
      </c>
      <c r="C16" s="3034">
        <v>44029</v>
      </c>
      <c r="D16" s="2345" t="s">
        <v>1925</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1926</v>
      </c>
      <c r="E21" s="2345">
        <f ca="1">IF(F21&lt;B2,"已过期",2011110090)</f>
        <v>2011110090</v>
      </c>
      <c r="F21" s="3035">
        <v>48302</v>
      </c>
    </row>
    <row r="22" spans="1:7" ht="20.25" customHeight="1">
      <c r="A22" s="2345" t="s">
        <v>1927</v>
      </c>
      <c r="B22" s="2345">
        <f ca="1">IF(C22&lt;B2,"已过期",1120020033)</f>
        <v>1120020033</v>
      </c>
      <c r="C22" s="3034">
        <v>43304</v>
      </c>
      <c r="D22" s="2345" t="s">
        <v>1927</v>
      </c>
      <c r="E22" s="2345">
        <f ca="1">IF(F22&lt;B2,"已过期",2000110137)</f>
        <v>2000110137</v>
      </c>
      <c r="F22" s="3035">
        <v>46387</v>
      </c>
    </row>
    <row r="23" spans="1:7" ht="20.25" customHeight="1">
      <c r="A23" s="2345" t="s">
        <v>1928</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06" t="s">
        <v>1929</v>
      </c>
      <c r="B25" s="3206"/>
      <c r="C25" s="3206"/>
      <c r="D25" s="3206"/>
      <c r="E25" s="3206"/>
      <c r="F25" s="3206"/>
      <c r="G25" s="3206"/>
    </row>
    <row r="26" spans="1:7" ht="20.25" customHeight="1">
      <c r="A26" s="3207" t="s">
        <v>1930</v>
      </c>
      <c r="B26" s="3207"/>
      <c r="C26" s="3207"/>
      <c r="D26" s="3207" t="s">
        <v>1931</v>
      </c>
      <c r="E26" s="3207"/>
      <c r="F26" s="3207"/>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2955</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2551</v>
      </c>
      <c r="R1" s="2608" t="s">
        <v>2545</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2546</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2547</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2548</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2549</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2550</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5" t="s">
        <v>2968</v>
      </c>
      <c r="C18" s="1555"/>
    </row>
    <row r="19" spans="1:3">
      <c r="A19" s="8" t="s">
        <v>120</v>
      </c>
      <c r="B19" s="3145" t="s">
        <v>2976</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郑州市荥阳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08"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8日，在规划利用条件下、设定土地开发程度为红线外“七通”、宗地内场地，设定用途为，剩余土地使用年限为的出让国有建设用地使用权价格。</v>
      </c>
      <c r="D53" s="1769"/>
      <c r="E53" s="1769"/>
    </row>
    <row r="54" spans="1:5">
      <c r="A54" s="3208"/>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08"/>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08"/>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08"/>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售价</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2017-12-08T02:06:50Z</dcterms:modified>
</cp:coreProperties>
</file>