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75" firstSheet="10"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面积" sheetId="68"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售价" sheetId="69" r:id="rId42"/>
    <sheet name="Sheet3" sheetId="70" r:id="rId43"/>
    <sheet name="Sheet4" sheetId="71" r:id="rId44"/>
    <sheet name="Sheet1" sheetId="72" r:id="rId45"/>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J17" i="68"/>
  <c r="J14" l="1"/>
  <c r="J13"/>
  <c r="J12"/>
  <c r="J11"/>
  <c r="E10" i="12" l="1"/>
  <c r="AH7" i="1"/>
  <c r="C40" i="39"/>
  <c r="G21" i="6"/>
  <c r="F20"/>
  <c r="F19"/>
  <c r="E19" s="1"/>
  <c r="A3" i="3"/>
  <c r="M13"/>
  <c r="AD13"/>
  <c r="K13"/>
  <c r="I13"/>
  <c r="C16" i="68"/>
  <c r="AL13" i="3" s="1"/>
  <c r="BQ13" s="1"/>
  <c r="E8" i="68"/>
  <c r="D19" s="1"/>
  <c r="P23" i="71"/>
  <c r="P24"/>
  <c r="P25"/>
  <c r="P26"/>
  <c r="P27"/>
  <c r="P16"/>
  <c r="P17"/>
  <c r="P18"/>
  <c r="P19"/>
  <c r="P20"/>
  <c r="P21"/>
  <c r="P13"/>
  <c r="P14"/>
  <c r="P3"/>
  <c r="P4"/>
  <c r="P5"/>
  <c r="P6"/>
  <c r="P7"/>
  <c r="P8"/>
  <c r="P9"/>
  <c r="P10"/>
  <c r="P11"/>
  <c r="P12"/>
  <c r="P2"/>
  <c r="P28"/>
  <c r="I48" i="39"/>
  <c r="P22" i="71"/>
  <c r="G48" i="39"/>
  <c r="P15" i="71"/>
  <c r="E48" i="39"/>
  <c r="I40"/>
  <c r="G40"/>
  <c r="E40"/>
  <c r="BB13" i="3"/>
  <c r="BC13"/>
  <c r="BD13"/>
  <c r="BE13"/>
  <c r="BF13"/>
  <c r="BG13"/>
  <c r="BH13"/>
  <c r="BI13"/>
  <c r="BJ13"/>
  <c r="BK13"/>
  <c r="BM13"/>
  <c r="BN13"/>
  <c r="BO13"/>
  <c r="BP13"/>
  <c r="BR13"/>
  <c r="BS13"/>
  <c r="BT13"/>
  <c r="H13"/>
  <c r="I5" i="59"/>
  <c r="I4" s="1"/>
  <c r="L5"/>
  <c r="L4" s="1"/>
  <c r="K5"/>
  <c r="K4" s="1"/>
  <c r="J5"/>
  <c r="J4" s="1"/>
  <c r="N5"/>
  <c r="Q5"/>
  <c r="P5"/>
  <c r="O5"/>
  <c r="L4" i="9"/>
  <c r="A30" i="51" s="1"/>
  <c r="M4" i="9"/>
  <c r="A30" i="64"/>
  <c r="K59" i="15"/>
  <c r="P62" s="1"/>
  <c r="Q74" i="44"/>
  <c r="Q61"/>
  <c r="Q60"/>
  <c r="Q53"/>
  <c r="J51"/>
  <c r="J52"/>
  <c r="M48"/>
  <c r="A16" i="55"/>
  <c r="A15"/>
  <c r="L26" i="4"/>
  <c r="A10" i="55"/>
  <c r="A9"/>
  <c r="A8"/>
  <c r="A6" i="54"/>
  <c r="A8"/>
  <c r="A7"/>
  <c r="A27" i="51"/>
  <c r="D5" i="46"/>
  <c r="Q6" i="59"/>
  <c r="O6"/>
  <c r="N7"/>
  <c r="O7"/>
  <c r="P7"/>
  <c r="Q7"/>
  <c r="N6"/>
  <c r="P6"/>
  <c r="K75" i="9"/>
  <c r="K6" i="4"/>
  <c r="O76" i="9" s="1"/>
  <c r="L76"/>
  <c r="B22" i="31"/>
  <c r="E15" i="66"/>
  <c r="F15"/>
  <c r="E16"/>
  <c r="F16"/>
  <c r="E17"/>
  <c r="F17"/>
  <c r="E18"/>
  <c r="F18"/>
  <c r="E19"/>
  <c r="F19"/>
  <c r="E20"/>
  <c r="F20"/>
  <c r="E21"/>
  <c r="F21"/>
  <c r="E22"/>
  <c r="F22"/>
  <c r="E23"/>
  <c r="F23"/>
  <c r="B3"/>
  <c r="M19" i="46"/>
  <c r="AD5" i="59"/>
  <c r="AE5"/>
  <c r="AF5"/>
  <c r="AG5"/>
  <c r="AH5"/>
  <c r="AD6"/>
  <c r="AE6"/>
  <c r="AF6" s="1"/>
  <c r="AG6"/>
  <c r="AH6"/>
  <c r="AD7"/>
  <c r="AE7"/>
  <c r="AF7"/>
  <c r="AG7"/>
  <c r="AH7"/>
  <c r="AD8"/>
  <c r="AE8"/>
  <c r="AF8" s="1"/>
  <c r="AG8"/>
  <c r="AH8"/>
  <c r="AD9"/>
  <c r="AE9"/>
  <c r="AF9"/>
  <c r="AG9"/>
  <c r="AH9"/>
  <c r="AD10"/>
  <c r="AE10"/>
  <c r="AF10" s="1"/>
  <c r="AG10"/>
  <c r="AH10"/>
  <c r="AD11"/>
  <c r="AE11"/>
  <c r="AF11"/>
  <c r="AG11"/>
  <c r="AH11"/>
  <c r="AD12"/>
  <c r="AE12"/>
  <c r="AF12" s="1"/>
  <c r="AG12"/>
  <c r="AH12"/>
  <c r="AD13"/>
  <c r="AE13"/>
  <c r="AF13"/>
  <c r="AG13"/>
  <c r="AH13"/>
  <c r="AD14"/>
  <c r="AE14"/>
  <c r="AF14" s="1"/>
  <c r="AG14"/>
  <c r="AH14"/>
  <c r="AD15"/>
  <c r="AE15"/>
  <c r="AF15"/>
  <c r="AG15"/>
  <c r="AH15"/>
  <c r="AD16"/>
  <c r="AE16"/>
  <c r="AF16" s="1"/>
  <c r="AG16"/>
  <c r="AH16"/>
  <c r="AD17"/>
  <c r="AE17"/>
  <c r="AF17"/>
  <c r="AG17"/>
  <c r="AH17"/>
  <c r="AD18"/>
  <c r="AE18"/>
  <c r="AF18" s="1"/>
  <c r="AG18"/>
  <c r="AH18"/>
  <c r="AH19"/>
  <c r="AG19"/>
  <c r="AE19"/>
  <c r="AF19" s="1"/>
  <c r="AD19"/>
  <c r="AD20"/>
  <c r="AE20"/>
  <c r="AF20" s="1"/>
  <c r="AG20"/>
  <c r="AH20"/>
  <c r="S2" i="31"/>
  <c r="M2"/>
  <c r="N2"/>
  <c r="O2"/>
  <c r="P2"/>
  <c r="Q2"/>
  <c r="R2"/>
  <c r="C3" i="65"/>
  <c r="C1"/>
  <c r="N1" s="1"/>
  <c r="B76" i="63"/>
  <c r="M5" i="54"/>
  <c r="A23" i="51"/>
  <c r="Y12" i="46"/>
  <c r="AA9"/>
  <c r="AB9"/>
  <c r="AB10" s="1"/>
  <c r="AC9"/>
  <c r="AD9"/>
  <c r="AD10" s="1"/>
  <c r="AE9"/>
  <c r="AF9"/>
  <c r="AF10" s="1"/>
  <c r="AG9"/>
  <c r="AH9"/>
  <c r="AH10" s="1"/>
  <c r="AI9"/>
  <c r="AJ9"/>
  <c r="AJ10" s="1"/>
  <c r="Z9"/>
  <c r="Z10"/>
  <c r="AI10"/>
  <c r="AG10"/>
  <c r="AE10"/>
  <c r="AC10"/>
  <c r="AA10"/>
  <c r="Y10"/>
  <c r="AJ12"/>
  <c r="AF12"/>
  <c r="AB12"/>
  <c r="Z12"/>
  <c r="AI12"/>
  <c r="AG12"/>
  <c r="AE12"/>
  <c r="AC12"/>
  <c r="AA12"/>
  <c r="B73" i="63"/>
  <c r="A21" i="64"/>
  <c r="B75" i="63" s="1"/>
  <c r="A27" i="64"/>
  <c r="A15"/>
  <c r="A14"/>
  <c r="A11"/>
  <c r="A3"/>
  <c r="A45" i="9"/>
  <c r="A44"/>
  <c r="C57" i="10"/>
  <c r="C56"/>
  <c r="C55"/>
  <c r="C54"/>
  <c r="B49" i="63"/>
  <c r="B44"/>
  <c r="B40"/>
  <c r="B30"/>
  <c r="B27"/>
  <c r="B25"/>
  <c r="A11" i="51"/>
  <c r="B10" i="63" s="1"/>
  <c r="A26" i="64"/>
  <c r="A26" i="51"/>
  <c r="K39" i="9"/>
  <c r="K40"/>
  <c r="B58" i="63"/>
  <c r="B53"/>
  <c r="B51"/>
  <c r="A46" i="9"/>
  <c r="K41" s="1"/>
  <c r="B8" i="63"/>
  <c r="A21" i="55"/>
  <c r="B71" i="63" s="1"/>
  <c r="A20" i="55"/>
  <c r="B69" i="63" s="1"/>
  <c r="B26"/>
  <c r="B28"/>
  <c r="B29"/>
  <c r="B31"/>
  <c r="B33"/>
  <c r="B35"/>
  <c r="B36"/>
  <c r="B37"/>
  <c r="B63"/>
  <c r="B64"/>
  <c r="B68"/>
  <c r="D51" i="10"/>
  <c r="B61" i="63"/>
  <c r="B60"/>
  <c r="B59"/>
  <c r="B51" i="10"/>
  <c r="B20" i="63"/>
  <c r="B17"/>
  <c r="A15" i="51"/>
  <c r="B12" i="63" s="1"/>
  <c r="A14" i="51"/>
  <c r="B11" i="63" s="1"/>
  <c r="B66"/>
  <c r="A4" i="55"/>
  <c r="B57" i="63" s="1"/>
  <c r="B41"/>
  <c r="G5" i="54"/>
  <c r="B34" i="63" s="1"/>
  <c r="E5" i="54"/>
  <c r="B32" i="63" s="1"/>
  <c r="R2" i="54"/>
  <c r="B24" i="63" s="1"/>
  <c r="B19"/>
  <c r="B49" i="50"/>
  <c r="B5" i="63"/>
  <c r="B40" i="50"/>
  <c r="B3" i="63"/>
  <c r="B67"/>
  <c r="I19" i="46"/>
  <c r="Q8" i="59"/>
  <c r="F8" s="1"/>
  <c r="P8"/>
  <c r="E8" s="1"/>
  <c r="O8"/>
  <c r="C8" s="1"/>
  <c r="N8"/>
  <c r="B8" s="1"/>
  <c r="D69"/>
  <c r="F68"/>
  <c r="F67" s="1"/>
  <c r="E68"/>
  <c r="E67"/>
  <c r="E66" s="1"/>
  <c r="C68"/>
  <c r="D68" s="1"/>
  <c r="B68"/>
  <c r="B67" s="1"/>
  <c r="F66"/>
  <c r="B66"/>
  <c r="D65"/>
  <c r="F64"/>
  <c r="F63" s="1"/>
  <c r="E64"/>
  <c r="E63"/>
  <c r="E62" s="1"/>
  <c r="C64"/>
  <c r="D64" s="1"/>
  <c r="B64"/>
  <c r="B63" s="1"/>
  <c r="F62"/>
  <c r="B62"/>
  <c r="D61"/>
  <c r="Q60"/>
  <c r="P60"/>
  <c r="O60"/>
  <c r="N60"/>
  <c r="F60"/>
  <c r="V60" s="1"/>
  <c r="E60"/>
  <c r="U60" s="1"/>
  <c r="C60"/>
  <c r="T60" s="1"/>
  <c r="B60"/>
  <c r="S60" s="1"/>
  <c r="Q59"/>
  <c r="P59"/>
  <c r="O59"/>
  <c r="N59"/>
  <c r="F59"/>
  <c r="F58" s="1"/>
  <c r="B59"/>
  <c r="B58" s="1"/>
  <c r="Q58"/>
  <c r="P58"/>
  <c r="O58"/>
  <c r="N58"/>
  <c r="Q57"/>
  <c r="P57"/>
  <c r="O57"/>
  <c r="N57"/>
  <c r="D57"/>
  <c r="Q56"/>
  <c r="P56"/>
  <c r="O56"/>
  <c r="N56"/>
  <c r="F56"/>
  <c r="V56"/>
  <c r="E56"/>
  <c r="U56"/>
  <c r="C56"/>
  <c r="T56"/>
  <c r="B56"/>
  <c r="S56"/>
  <c r="Q55"/>
  <c r="P55"/>
  <c r="O55"/>
  <c r="N55"/>
  <c r="F55"/>
  <c r="F54"/>
  <c r="B55"/>
  <c r="B54"/>
  <c r="Q54"/>
  <c r="P54"/>
  <c r="O54"/>
  <c r="N54"/>
  <c r="Q53"/>
  <c r="P53"/>
  <c r="O53"/>
  <c r="N53"/>
  <c r="D53"/>
  <c r="Q52"/>
  <c r="P52"/>
  <c r="O52"/>
  <c r="N52"/>
  <c r="F52"/>
  <c r="V52" s="1"/>
  <c r="E52"/>
  <c r="U52" s="1"/>
  <c r="C52"/>
  <c r="T52"/>
  <c r="B52"/>
  <c r="S52"/>
  <c r="Q51"/>
  <c r="P51"/>
  <c r="O51"/>
  <c r="N51"/>
  <c r="F51"/>
  <c r="F50"/>
  <c r="B51"/>
  <c r="B50"/>
  <c r="Q50"/>
  <c r="P50"/>
  <c r="O50"/>
  <c r="N50"/>
  <c r="Q49"/>
  <c r="P49"/>
  <c r="O49"/>
  <c r="N49"/>
  <c r="D49"/>
  <c r="F48"/>
  <c r="V48" s="1"/>
  <c r="E48"/>
  <c r="E47" s="1"/>
  <c r="P47" s="1"/>
  <c r="C48"/>
  <c r="B48"/>
  <c r="N48" s="1"/>
  <c r="F47"/>
  <c r="F46" s="1"/>
  <c r="D45"/>
  <c r="Q44"/>
  <c r="P44"/>
  <c r="O44"/>
  <c r="N44"/>
  <c r="Q43"/>
  <c r="P43"/>
  <c r="O43"/>
  <c r="N43"/>
  <c r="Q42"/>
  <c r="P42"/>
  <c r="O42"/>
  <c r="N42"/>
  <c r="Q41"/>
  <c r="F42" s="1"/>
  <c r="P41"/>
  <c r="E42" s="1"/>
  <c r="E43" s="1"/>
  <c r="E44" s="1"/>
  <c r="U44" s="1"/>
  <c r="O41"/>
  <c r="C42"/>
  <c r="N41"/>
  <c r="B42"/>
  <c r="B43" s="1"/>
  <c r="B44" s="1"/>
  <c r="S44" s="1"/>
  <c r="D41"/>
  <c r="Q40"/>
  <c r="P40"/>
  <c r="O40"/>
  <c r="N40"/>
  <c r="Q39"/>
  <c r="P39"/>
  <c r="O39"/>
  <c r="N39"/>
  <c r="Q38"/>
  <c r="P38"/>
  <c r="O38"/>
  <c r="N38"/>
  <c r="Q37"/>
  <c r="F38"/>
  <c r="P37"/>
  <c r="E38"/>
  <c r="E39" s="1"/>
  <c r="E40" s="1"/>
  <c r="U40" s="1"/>
  <c r="O37"/>
  <c r="C38" s="1"/>
  <c r="N37"/>
  <c r="B38" s="1"/>
  <c r="B39" s="1"/>
  <c r="B40" s="1"/>
  <c r="S40" s="1"/>
  <c r="D37"/>
  <c r="Q36"/>
  <c r="P36"/>
  <c r="O36"/>
  <c r="N36"/>
  <c r="Q35"/>
  <c r="P35"/>
  <c r="O35"/>
  <c r="N35"/>
  <c r="Q34"/>
  <c r="P34"/>
  <c r="O34"/>
  <c r="N34"/>
  <c r="Q33"/>
  <c r="F34" s="1"/>
  <c r="P33"/>
  <c r="E34" s="1"/>
  <c r="E35" s="1"/>
  <c r="E36" s="1"/>
  <c r="U36" s="1"/>
  <c r="O33"/>
  <c r="C34"/>
  <c r="N33"/>
  <c r="B34"/>
  <c r="B35" s="1"/>
  <c r="B36" s="1"/>
  <c r="S36" s="1"/>
  <c r="D33"/>
  <c r="Q32"/>
  <c r="P32"/>
  <c r="O32"/>
  <c r="N32"/>
  <c r="Q31"/>
  <c r="P31"/>
  <c r="O31"/>
  <c r="N31"/>
  <c r="Q30"/>
  <c r="P30"/>
  <c r="O30"/>
  <c r="N30"/>
  <c r="Q29"/>
  <c r="F30"/>
  <c r="F31" s="1"/>
  <c r="F32" s="1"/>
  <c r="V32" s="1"/>
  <c r="P29"/>
  <c r="E30" s="1"/>
  <c r="O29"/>
  <c r="C30" s="1"/>
  <c r="N29"/>
  <c r="B30" s="1"/>
  <c r="B31" s="1"/>
  <c r="D29"/>
  <c r="T28"/>
  <c r="Q28"/>
  <c r="P28"/>
  <c r="O28"/>
  <c r="N28"/>
  <c r="D28"/>
  <c r="Q27"/>
  <c r="P27"/>
  <c r="O27"/>
  <c r="N27"/>
  <c r="Q26"/>
  <c r="P26"/>
  <c r="O26"/>
  <c r="N26"/>
  <c r="Q25"/>
  <c r="F26"/>
  <c r="P25"/>
  <c r="E26"/>
  <c r="E27" s="1"/>
  <c r="E28" s="1"/>
  <c r="U28" s="1"/>
  <c r="O25"/>
  <c r="C26" s="1"/>
  <c r="N25"/>
  <c r="B26" s="1"/>
  <c r="B27" s="1"/>
  <c r="B28" s="1"/>
  <c r="S28" s="1"/>
  <c r="D25"/>
  <c r="Q24"/>
  <c r="P24"/>
  <c r="O24"/>
  <c r="N24"/>
  <c r="Q23"/>
  <c r="P23"/>
  <c r="O23"/>
  <c r="N23"/>
  <c r="Q22"/>
  <c r="P22"/>
  <c r="O22"/>
  <c r="N22"/>
  <c r="Q21"/>
  <c r="F22" s="1"/>
  <c r="P21"/>
  <c r="E22" s="1"/>
  <c r="E23" s="1"/>
  <c r="E24" s="1"/>
  <c r="U24" s="1"/>
  <c r="O21"/>
  <c r="C22"/>
  <c r="N21"/>
  <c r="B22"/>
  <c r="B23" s="1"/>
  <c r="B24" s="1"/>
  <c r="S24" s="1"/>
  <c r="D21"/>
  <c r="Q20"/>
  <c r="P20"/>
  <c r="O20"/>
  <c r="N20"/>
  <c r="Q19"/>
  <c r="AB19"/>
  <c r="P19"/>
  <c r="O19"/>
  <c r="Y19" s="1"/>
  <c r="Z19" s="1"/>
  <c r="N19"/>
  <c r="X19"/>
  <c r="Q18"/>
  <c r="AB18" s="1"/>
  <c r="P18"/>
  <c r="AA18" s="1"/>
  <c r="O18"/>
  <c r="N18"/>
  <c r="X18" s="1"/>
  <c r="Q17"/>
  <c r="AB17" s="1"/>
  <c r="F18"/>
  <c r="P17"/>
  <c r="E18"/>
  <c r="E19" s="1"/>
  <c r="E20" s="1"/>
  <c r="U20" s="1"/>
  <c r="O17"/>
  <c r="Y17" s="1"/>
  <c r="Z17" s="1"/>
  <c r="N17"/>
  <c r="X17" s="1"/>
  <c r="D17"/>
  <c r="Q16"/>
  <c r="AB16" s="1"/>
  <c r="P16"/>
  <c r="O16"/>
  <c r="Y16" s="1"/>
  <c r="Z16" s="1"/>
  <c r="N16"/>
  <c r="Q15"/>
  <c r="AB15" s="1"/>
  <c r="P15"/>
  <c r="O15"/>
  <c r="Y15" s="1"/>
  <c r="Z15" s="1"/>
  <c r="N15"/>
  <c r="Q14"/>
  <c r="AB14" s="1"/>
  <c r="P14"/>
  <c r="O14"/>
  <c r="Y14" s="1"/>
  <c r="Z14" s="1"/>
  <c r="N14"/>
  <c r="Q13"/>
  <c r="AB13" s="1"/>
  <c r="P13"/>
  <c r="AA13" s="1"/>
  <c r="O13"/>
  <c r="C14"/>
  <c r="N13"/>
  <c r="B14"/>
  <c r="B15" s="1"/>
  <c r="B16" s="1"/>
  <c r="S16" s="1"/>
  <c r="D13"/>
  <c r="Q12"/>
  <c r="P12"/>
  <c r="AA12" s="1"/>
  <c r="O12"/>
  <c r="N12"/>
  <c r="X12" s="1"/>
  <c r="Q11"/>
  <c r="P11"/>
  <c r="AA11" s="1"/>
  <c r="O11"/>
  <c r="N11"/>
  <c r="X11" s="1"/>
  <c r="Q10"/>
  <c r="P10"/>
  <c r="AA10" s="1"/>
  <c r="O10"/>
  <c r="N10"/>
  <c r="X10" s="1"/>
  <c r="Q9"/>
  <c r="F10"/>
  <c r="P9"/>
  <c r="O9"/>
  <c r="Y9" s="1"/>
  <c r="Z9" s="1"/>
  <c r="N9"/>
  <c r="X9" s="1"/>
  <c r="D9"/>
  <c r="X5"/>
  <c r="X7"/>
  <c r="AA6"/>
  <c r="AA8"/>
  <c r="AB8"/>
  <c r="AB5"/>
  <c r="AB6"/>
  <c r="AB7"/>
  <c r="E10"/>
  <c r="E11"/>
  <c r="E12" s="1"/>
  <c r="U12"/>
  <c r="B32"/>
  <c r="S32" s="1"/>
  <c r="E31"/>
  <c r="E32" s="1"/>
  <c r="U32" s="1"/>
  <c r="S48"/>
  <c r="AA19"/>
  <c r="F11"/>
  <c r="F12" s="1"/>
  <c r="V12" s="1"/>
  <c r="F19"/>
  <c r="F20" s="1"/>
  <c r="V20" s="1"/>
  <c r="F23"/>
  <c r="F24"/>
  <c r="V24" s="1"/>
  <c r="F27"/>
  <c r="F28" s="1"/>
  <c r="V28" s="1"/>
  <c r="F35"/>
  <c r="F36"/>
  <c r="V36" s="1"/>
  <c r="F39"/>
  <c r="F40" s="1"/>
  <c r="V40" s="1"/>
  <c r="F43"/>
  <c r="F44"/>
  <c r="V44" s="1"/>
  <c r="C23"/>
  <c r="D22"/>
  <c r="C27"/>
  <c r="D27" s="1"/>
  <c r="D26"/>
  <c r="C31"/>
  <c r="D30"/>
  <c r="C35"/>
  <c r="D34"/>
  <c r="C39"/>
  <c r="D38"/>
  <c r="C43"/>
  <c r="D42"/>
  <c r="C15"/>
  <c r="D14"/>
  <c r="E46"/>
  <c r="Q47"/>
  <c r="T48"/>
  <c r="O48"/>
  <c r="D48"/>
  <c r="C47"/>
  <c r="P48"/>
  <c r="U48"/>
  <c r="Q48"/>
  <c r="C51"/>
  <c r="E51"/>
  <c r="E50"/>
  <c r="D52"/>
  <c r="C55"/>
  <c r="E55"/>
  <c r="E54"/>
  <c r="D56"/>
  <c r="C59"/>
  <c r="E59"/>
  <c r="E58"/>
  <c r="D60"/>
  <c r="C63"/>
  <c r="C67"/>
  <c r="U16" i="4"/>
  <c r="S16"/>
  <c r="Q16"/>
  <c r="O16"/>
  <c r="M16"/>
  <c r="L16" s="1"/>
  <c r="K16"/>
  <c r="P45" i="59"/>
  <c r="P46"/>
  <c r="D67"/>
  <c r="C66"/>
  <c r="D66"/>
  <c r="D59"/>
  <c r="C58"/>
  <c r="D58" s="1"/>
  <c r="D51"/>
  <c r="C50"/>
  <c r="D50"/>
  <c r="C46"/>
  <c r="O47"/>
  <c r="D47"/>
  <c r="D63"/>
  <c r="C62"/>
  <c r="D62"/>
  <c r="D55"/>
  <c r="C54"/>
  <c r="D54" s="1"/>
  <c r="C16"/>
  <c r="T16" s="1"/>
  <c r="D15"/>
  <c r="C44"/>
  <c r="T44" s="1"/>
  <c r="D43"/>
  <c r="D39"/>
  <c r="C40"/>
  <c r="C36"/>
  <c r="T36" s="1"/>
  <c r="D35"/>
  <c r="C32"/>
  <c r="T32" s="1"/>
  <c r="D31"/>
  <c r="C24"/>
  <c r="T24" s="1"/>
  <c r="D23"/>
  <c r="N16" i="4"/>
  <c r="T40" i="59"/>
  <c r="D40"/>
  <c r="D24"/>
  <c r="D32"/>
  <c r="D36"/>
  <c r="D44"/>
  <c r="D16"/>
  <c r="O46"/>
  <c r="D46"/>
  <c r="O45"/>
  <c r="O27" i="6"/>
  <c r="N27"/>
  <c r="P26"/>
  <c r="L26"/>
  <c r="P25"/>
  <c r="L25"/>
  <c r="P24"/>
  <c r="L24"/>
  <c r="P23"/>
  <c r="L23"/>
  <c r="P22"/>
  <c r="L22"/>
  <c r="P21"/>
  <c r="L21"/>
  <c r="P20"/>
  <c r="P19"/>
  <c r="P27" s="1"/>
  <c r="Z18" i="36"/>
  <c r="Q18"/>
  <c r="C18"/>
  <c r="D66"/>
  <c r="F18"/>
  <c r="AA18" s="1"/>
  <c r="Z18" i="35"/>
  <c r="Q18"/>
  <c r="F18"/>
  <c r="AA18" s="1"/>
  <c r="C18"/>
  <c r="D68"/>
  <c r="E68"/>
  <c r="F68" s="1"/>
  <c r="G68" s="1"/>
  <c r="Q21" i="37"/>
  <c r="Z21" s="1"/>
  <c r="F21"/>
  <c r="AA21"/>
  <c r="C21"/>
  <c r="E77"/>
  <c r="F77" s="1"/>
  <c r="G77" s="1"/>
  <c r="D77"/>
  <c r="Z21" i="34"/>
  <c r="Q21"/>
  <c r="C21"/>
  <c r="D84"/>
  <c r="F21"/>
  <c r="AA21" s="1"/>
  <c r="Z21" i="33"/>
  <c r="Q21"/>
  <c r="C21"/>
  <c r="D83"/>
  <c r="E83"/>
  <c r="F83" s="1"/>
  <c r="G83" s="1"/>
  <c r="Q21" i="21"/>
  <c r="Z21" s="1"/>
  <c r="D83"/>
  <c r="E83"/>
  <c r="F21"/>
  <c r="AA21"/>
  <c r="C21"/>
  <c r="Z27" i="40"/>
  <c r="Q27"/>
  <c r="D96"/>
  <c r="E96" s="1"/>
  <c r="F96" s="1"/>
  <c r="F27"/>
  <c r="AA27" s="1"/>
  <c r="Z31" i="39"/>
  <c r="Q31"/>
  <c r="D105"/>
  <c r="E105" s="1"/>
  <c r="F105" s="1"/>
  <c r="G105" s="1"/>
  <c r="G20" i="20"/>
  <c r="B85" i="46" s="1"/>
  <c r="C22" i="20"/>
  <c r="B65" i="46" s="1"/>
  <c r="S18" i="36"/>
  <c r="S21" i="37"/>
  <c r="S21" i="21"/>
  <c r="C27" i="40"/>
  <c r="B54" i="46"/>
  <c r="E66" i="36"/>
  <c r="H18" i="35"/>
  <c r="J18"/>
  <c r="H21" i="37"/>
  <c r="J21"/>
  <c r="E84" i="34"/>
  <c r="F84"/>
  <c r="G84" s="1"/>
  <c r="J21"/>
  <c r="H21"/>
  <c r="F21" i="33"/>
  <c r="H21"/>
  <c r="J21"/>
  <c r="F83" i="21"/>
  <c r="H21"/>
  <c r="G83"/>
  <c r="J21"/>
  <c r="H27" i="40"/>
  <c r="H31" i="39"/>
  <c r="F23" i="15"/>
  <c r="D22" s="1"/>
  <c r="G17" i="11"/>
  <c r="F15" i="15"/>
  <c r="F17"/>
  <c r="F18"/>
  <c r="F20"/>
  <c r="F21"/>
  <c r="F33"/>
  <c r="F60"/>
  <c r="K2" i="4"/>
  <c r="K1"/>
  <c r="B1"/>
  <c r="B37" i="50"/>
  <c r="B2" i="63" s="1"/>
  <c r="C31" i="57"/>
  <c r="C32"/>
  <c r="I23"/>
  <c r="D20"/>
  <c r="I19"/>
  <c r="I18"/>
  <c r="I17"/>
  <c r="I20"/>
  <c r="E15"/>
  <c r="I14"/>
  <c r="I13"/>
  <c r="I12"/>
  <c r="I15" s="1"/>
  <c r="I9"/>
  <c r="I8"/>
  <c r="I7"/>
  <c r="I6"/>
  <c r="I5"/>
  <c r="I4"/>
  <c r="I3"/>
  <c r="I10" s="1"/>
  <c r="C30"/>
  <c r="E26"/>
  <c r="C112" i="9"/>
  <c r="C7" i="11"/>
  <c r="F80" i="46"/>
  <c r="H81" s="1"/>
  <c r="D1"/>
  <c r="F113"/>
  <c r="D99"/>
  <c r="D108" s="1"/>
  <c r="E99"/>
  <c r="E108" s="1"/>
  <c r="F99"/>
  <c r="F100" s="1"/>
  <c r="G99"/>
  <c r="G108" s="1"/>
  <c r="H99"/>
  <c r="H108" s="1"/>
  <c r="I99"/>
  <c r="I108" s="1"/>
  <c r="J99"/>
  <c r="J108" s="1"/>
  <c r="K99"/>
  <c r="K108" s="1"/>
  <c r="L99"/>
  <c r="L108" s="1"/>
  <c r="M99"/>
  <c r="M108"/>
  <c r="N99"/>
  <c r="N108"/>
  <c r="C99"/>
  <c r="C108"/>
  <c r="K100"/>
  <c r="L100"/>
  <c r="K58"/>
  <c r="J58"/>
  <c r="D58"/>
  <c r="K50"/>
  <c r="D83"/>
  <c r="D77"/>
  <c r="B83"/>
  <c r="B82"/>
  <c r="B71"/>
  <c r="B60"/>
  <c r="B49"/>
  <c r="M87"/>
  <c r="N87" s="1"/>
  <c r="K87"/>
  <c r="J87" s="1"/>
  <c r="D87"/>
  <c r="M86"/>
  <c r="D86"/>
  <c r="K86"/>
  <c r="J86"/>
  <c r="M85"/>
  <c r="N85"/>
  <c r="D85"/>
  <c r="K85"/>
  <c r="J85" s="1"/>
  <c r="M84"/>
  <c r="N84" s="1"/>
  <c r="K84"/>
  <c r="J84" s="1"/>
  <c r="M83"/>
  <c r="N83" s="1"/>
  <c r="K83"/>
  <c r="J83" s="1"/>
  <c r="M82"/>
  <c r="N82" s="1"/>
  <c r="K82"/>
  <c r="J82" s="1"/>
  <c r="D82"/>
  <c r="M81"/>
  <c r="N81"/>
  <c r="K81"/>
  <c r="J81"/>
  <c r="M80"/>
  <c r="N80"/>
  <c r="K80"/>
  <c r="J80"/>
  <c r="M77"/>
  <c r="N77"/>
  <c r="K77"/>
  <c r="J77"/>
  <c r="M76"/>
  <c r="N76"/>
  <c r="D76"/>
  <c r="K76"/>
  <c r="J76" s="1"/>
  <c r="M75"/>
  <c r="N75" s="1"/>
  <c r="K75"/>
  <c r="J75" s="1"/>
  <c r="M74"/>
  <c r="N74" s="1"/>
  <c r="K74"/>
  <c r="J74" s="1"/>
  <c r="D74"/>
  <c r="M73"/>
  <c r="D73"/>
  <c r="K73"/>
  <c r="J73"/>
  <c r="M72"/>
  <c r="N72"/>
  <c r="K72"/>
  <c r="J72"/>
  <c r="D72"/>
  <c r="M71"/>
  <c r="N71" s="1"/>
  <c r="K71"/>
  <c r="J71" s="1"/>
  <c r="M70"/>
  <c r="N70" s="1"/>
  <c r="K70"/>
  <c r="J70" s="1"/>
  <c r="D70"/>
  <c r="M69"/>
  <c r="N69"/>
  <c r="K69"/>
  <c r="J69"/>
  <c r="M66"/>
  <c r="N66"/>
  <c r="K66"/>
  <c r="M65"/>
  <c r="N65" s="1"/>
  <c r="K65"/>
  <c r="J65" s="1"/>
  <c r="D65"/>
  <c r="M64"/>
  <c r="N64"/>
  <c r="K64"/>
  <c r="J64"/>
  <c r="D64"/>
  <c r="M63"/>
  <c r="N63" s="1"/>
  <c r="K63"/>
  <c r="J63" s="1"/>
  <c r="D63"/>
  <c r="M62"/>
  <c r="N62"/>
  <c r="K62"/>
  <c r="J62"/>
  <c r="D62"/>
  <c r="M61"/>
  <c r="N61" s="1"/>
  <c r="K61"/>
  <c r="J61" s="1"/>
  <c r="D61"/>
  <c r="M60"/>
  <c r="N60"/>
  <c r="K60"/>
  <c r="J60"/>
  <c r="D60"/>
  <c r="M59"/>
  <c r="N59" s="1"/>
  <c r="K59"/>
  <c r="J59" s="1"/>
  <c r="D59"/>
  <c r="M58"/>
  <c r="N58"/>
  <c r="M55"/>
  <c r="N55"/>
  <c r="K55"/>
  <c r="M54"/>
  <c r="N54" s="1"/>
  <c r="K54"/>
  <c r="M53"/>
  <c r="N53"/>
  <c r="K53"/>
  <c r="J53"/>
  <c r="D53"/>
  <c r="M52"/>
  <c r="N52" s="1"/>
  <c r="K52"/>
  <c r="J52" s="1"/>
  <c r="D52"/>
  <c r="M51"/>
  <c r="N51"/>
  <c r="K51"/>
  <c r="M50"/>
  <c r="N50" s="1"/>
  <c r="M49"/>
  <c r="N49" s="1"/>
  <c r="K49"/>
  <c r="J49" s="1"/>
  <c r="D49"/>
  <c r="M48"/>
  <c r="N48"/>
  <c r="K48"/>
  <c r="J48"/>
  <c r="D48"/>
  <c r="M47"/>
  <c r="N47" s="1"/>
  <c r="K47"/>
  <c r="J47" s="1"/>
  <c r="D47"/>
  <c r="J51"/>
  <c r="D51"/>
  <c r="J55"/>
  <c r="D55"/>
  <c r="N86"/>
  <c r="D80"/>
  <c r="D81"/>
  <c r="N73"/>
  <c r="D75"/>
  <c r="J66"/>
  <c r="D66"/>
  <c r="J50"/>
  <c r="D50"/>
  <c r="J54"/>
  <c r="D54"/>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s="1"/>
  <c r="E13" s="1"/>
  <c r="A7"/>
  <c r="A8"/>
  <c r="A9"/>
  <c r="A10"/>
  <c r="R10" s="1"/>
  <c r="A11"/>
  <c r="A6"/>
  <c r="T4"/>
  <c r="K13"/>
  <c r="M13" s="1"/>
  <c r="G79" i="36"/>
  <c r="G85" i="35"/>
  <c r="G97" i="37"/>
  <c r="G110" i="34"/>
  <c r="G109" i="33"/>
  <c r="L2" i="31"/>
  <c r="K2"/>
  <c r="J2"/>
  <c r="I2"/>
  <c r="H2"/>
  <c r="G2"/>
  <c r="F2"/>
  <c r="E2"/>
  <c r="D2"/>
  <c r="C2"/>
  <c r="D60" i="15"/>
  <c r="G19" i="20"/>
  <c r="B84" i="46"/>
  <c r="BT112" i="3"/>
  <c r="BS112"/>
  <c r="BR112"/>
  <c r="BQ112"/>
  <c r="BP112"/>
  <c r="BO112"/>
  <c r="BN112"/>
  <c r="BM112"/>
  <c r="BL112" s="1"/>
  <c r="BK112"/>
  <c r="BJ112"/>
  <c r="BI112"/>
  <c r="BH112"/>
  <c r="BG112"/>
  <c r="BF112"/>
  <c r="BE112"/>
  <c r="BD112"/>
  <c r="BC112"/>
  <c r="BB112"/>
  <c r="BA112"/>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X110"/>
  <c r="AW110"/>
  <c r="AV110"/>
  <c r="AC110"/>
  <c r="H110"/>
  <c r="G110" s="1"/>
  <c r="BT109"/>
  <c r="BS109"/>
  <c r="BR109"/>
  <c r="BQ109"/>
  <c r="BP109"/>
  <c r="BO109"/>
  <c r="BN109"/>
  <c r="BM109"/>
  <c r="BL109"/>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H108"/>
  <c r="G108" s="1"/>
  <c r="BT107"/>
  <c r="BS107"/>
  <c r="BR107"/>
  <c r="BQ107"/>
  <c r="BP107"/>
  <c r="BO107"/>
  <c r="BN107"/>
  <c r="BM107"/>
  <c r="BL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BA106" s="1"/>
  <c r="AX106"/>
  <c r="AW106"/>
  <c r="AV106"/>
  <c r="AC106"/>
  <c r="H106"/>
  <c r="G106" s="1"/>
  <c r="BT105"/>
  <c r="BS105"/>
  <c r="BR105"/>
  <c r="BQ105"/>
  <c r="BP105"/>
  <c r="BO105"/>
  <c r="BN105"/>
  <c r="BM105"/>
  <c r="BL105"/>
  <c r="BK105"/>
  <c r="BJ105"/>
  <c r="BI105"/>
  <c r="BH105"/>
  <c r="BG105"/>
  <c r="BF105"/>
  <c r="BE105"/>
  <c r="BD105"/>
  <c r="BC105"/>
  <c r="BB105"/>
  <c r="BA105" s="1"/>
  <c r="AZ105" s="1"/>
  <c r="AX105"/>
  <c r="AW105"/>
  <c r="AV105"/>
  <c r="AC105"/>
  <c r="H105"/>
  <c r="G105"/>
  <c r="BT104"/>
  <c r="BS104"/>
  <c r="BR104"/>
  <c r="BQ104"/>
  <c r="BP104"/>
  <c r="BO104"/>
  <c r="BN104"/>
  <c r="BM104"/>
  <c r="BL104" s="1"/>
  <c r="BK104"/>
  <c r="BJ104"/>
  <c r="BI104"/>
  <c r="BH104"/>
  <c r="BG104"/>
  <c r="BF104"/>
  <c r="BE104"/>
  <c r="BD104"/>
  <c r="BC104"/>
  <c r="BB104"/>
  <c r="BA104"/>
  <c r="AZ104" s="1"/>
  <c r="AX104"/>
  <c r="AW104"/>
  <c r="AV104"/>
  <c r="AC104"/>
  <c r="H104"/>
  <c r="G104" s="1"/>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c r="BT101"/>
  <c r="BS101"/>
  <c r="BR101"/>
  <c r="BQ101"/>
  <c r="BP101"/>
  <c r="BO101"/>
  <c r="BN101"/>
  <c r="BM101"/>
  <c r="BL101" s="1"/>
  <c r="BK101"/>
  <c r="BJ101"/>
  <c r="BI101"/>
  <c r="BH101"/>
  <c r="BG101"/>
  <c r="BF101"/>
  <c r="BE101"/>
  <c r="BD101"/>
  <c r="BC101"/>
  <c r="BB101"/>
  <c r="BA101"/>
  <c r="AX101"/>
  <c r="AW101"/>
  <c r="AV101"/>
  <c r="AC101"/>
  <c r="H101"/>
  <c r="G101" s="1"/>
  <c r="BT100"/>
  <c r="BS100"/>
  <c r="BR100"/>
  <c r="BQ100"/>
  <c r="BP100"/>
  <c r="BO100"/>
  <c r="BN100"/>
  <c r="BM100"/>
  <c r="BL100"/>
  <c r="BK100"/>
  <c r="BJ100"/>
  <c r="BI100"/>
  <c r="BH100"/>
  <c r="BG100"/>
  <c r="BF100"/>
  <c r="BE100"/>
  <c r="BD100"/>
  <c r="BC100"/>
  <c r="BB100"/>
  <c r="BA100" s="1"/>
  <c r="AZ100"/>
  <c r="AX100"/>
  <c r="AW100"/>
  <c r="AV100"/>
  <c r="AC100"/>
  <c r="H100"/>
  <c r="G100"/>
  <c r="BT99"/>
  <c r="BS99"/>
  <c r="BR99"/>
  <c r="BQ99"/>
  <c r="BP99"/>
  <c r="BO99"/>
  <c r="BN99"/>
  <c r="BM99"/>
  <c r="BL99" s="1"/>
  <c r="BK99"/>
  <c r="BJ99"/>
  <c r="BI99"/>
  <c r="BH99"/>
  <c r="BG99"/>
  <c r="BF99"/>
  <c r="BE99"/>
  <c r="BD99"/>
  <c r="BC99"/>
  <c r="BB99"/>
  <c r="BA99"/>
  <c r="AX99"/>
  <c r="AW99"/>
  <c r="AV99"/>
  <c r="AC99"/>
  <c r="H99"/>
  <c r="G99"/>
  <c r="BT98"/>
  <c r="BS98"/>
  <c r="BR98"/>
  <c r="BQ98"/>
  <c r="BP98"/>
  <c r="BO98"/>
  <c r="BN98"/>
  <c r="BM98"/>
  <c r="BL98" s="1"/>
  <c r="BK98"/>
  <c r="BJ98"/>
  <c r="BI98"/>
  <c r="BH98"/>
  <c r="BG98"/>
  <c r="BF98"/>
  <c r="BE98"/>
  <c r="BD98"/>
  <c r="BC98"/>
  <c r="BB98"/>
  <c r="BA98"/>
  <c r="AX98"/>
  <c r="AW98"/>
  <c r="AV98"/>
  <c r="AC98"/>
  <c r="H98"/>
  <c r="G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c r="AX96"/>
  <c r="AW96"/>
  <c r="AV96"/>
  <c r="AC96"/>
  <c r="H96"/>
  <c r="G96"/>
  <c r="BT95"/>
  <c r="BS95"/>
  <c r="BR95"/>
  <c r="BQ95"/>
  <c r="BP95"/>
  <c r="BO95"/>
  <c r="BN95"/>
  <c r="BM95"/>
  <c r="BL95" s="1"/>
  <c r="BK95"/>
  <c r="BJ95"/>
  <c r="BI95"/>
  <c r="BH95"/>
  <c r="BG95"/>
  <c r="BF95"/>
  <c r="BE95"/>
  <c r="BD95"/>
  <c r="BC95"/>
  <c r="BB95"/>
  <c r="BA95"/>
  <c r="AX95"/>
  <c r="AW95"/>
  <c r="AV95"/>
  <c r="AC95"/>
  <c r="H95"/>
  <c r="G95" s="1"/>
  <c r="BT94"/>
  <c r="BS94"/>
  <c r="BR94"/>
  <c r="BQ94"/>
  <c r="BP94"/>
  <c r="BO94"/>
  <c r="BN94"/>
  <c r="BM94"/>
  <c r="BL94"/>
  <c r="BK94"/>
  <c r="BJ94"/>
  <c r="BI94"/>
  <c r="BH94"/>
  <c r="BG94"/>
  <c r="BF94"/>
  <c r="BE94"/>
  <c r="BD94"/>
  <c r="BC94"/>
  <c r="BB94"/>
  <c r="BA94" s="1"/>
  <c r="AX94"/>
  <c r="AW94"/>
  <c r="AV94"/>
  <c r="AC94"/>
  <c r="H94"/>
  <c r="G94" s="1"/>
  <c r="BT93"/>
  <c r="BS93"/>
  <c r="BR93"/>
  <c r="BQ93"/>
  <c r="BP93"/>
  <c r="BO93"/>
  <c r="BN93"/>
  <c r="BM93"/>
  <c r="BL93"/>
  <c r="BK93"/>
  <c r="BJ93"/>
  <c r="BI93"/>
  <c r="BH93"/>
  <c r="BG93"/>
  <c r="BF93"/>
  <c r="BE93"/>
  <c r="BD93"/>
  <c r="BC93"/>
  <c r="BB93"/>
  <c r="BA93" s="1"/>
  <c r="AZ93"/>
  <c r="AX93"/>
  <c r="AW93"/>
  <c r="AV93"/>
  <c r="AC93"/>
  <c r="H93"/>
  <c r="G93"/>
  <c r="BT92"/>
  <c r="BS92"/>
  <c r="BR92"/>
  <c r="BQ92"/>
  <c r="BP92"/>
  <c r="BO92"/>
  <c r="BN92"/>
  <c r="BM92"/>
  <c r="BL92" s="1"/>
  <c r="BK92"/>
  <c r="BJ92"/>
  <c r="BI92"/>
  <c r="BH92"/>
  <c r="BG92"/>
  <c r="BF92"/>
  <c r="BE92"/>
  <c r="BD92"/>
  <c r="BC92"/>
  <c r="BB92"/>
  <c r="BA92"/>
  <c r="AX92"/>
  <c r="AW92"/>
  <c r="AV92"/>
  <c r="AC92"/>
  <c r="H92"/>
  <c r="G92" s="1"/>
  <c r="BT91"/>
  <c r="BS91"/>
  <c r="BR91"/>
  <c r="BQ91"/>
  <c r="BP91"/>
  <c r="BO91"/>
  <c r="BN91"/>
  <c r="BM91"/>
  <c r="BL91"/>
  <c r="BK91"/>
  <c r="BJ91"/>
  <c r="BI91"/>
  <c r="BH91"/>
  <c r="BG91"/>
  <c r="BF91"/>
  <c r="BE91"/>
  <c r="BD91"/>
  <c r="BC91"/>
  <c r="BB91"/>
  <c r="BA91" s="1"/>
  <c r="AX91"/>
  <c r="AW91"/>
  <c r="AV91"/>
  <c r="AC91"/>
  <c r="H91"/>
  <c r="G91" s="1"/>
  <c r="BT90"/>
  <c r="BS90"/>
  <c r="BR90"/>
  <c r="BQ90"/>
  <c r="BP90"/>
  <c r="BO90"/>
  <c r="BN90"/>
  <c r="BM90"/>
  <c r="BL90"/>
  <c r="BK90"/>
  <c r="BJ90"/>
  <c r="BI90"/>
  <c r="BH90"/>
  <c r="BG90"/>
  <c r="BF90"/>
  <c r="BE90"/>
  <c r="BD90"/>
  <c r="BC90"/>
  <c r="BB90"/>
  <c r="BA90" s="1"/>
  <c r="AX90"/>
  <c r="AW90"/>
  <c r="AV90"/>
  <c r="AC90"/>
  <c r="H90"/>
  <c r="G90" s="1"/>
  <c r="BT89"/>
  <c r="BS89"/>
  <c r="BR89"/>
  <c r="BQ89"/>
  <c r="BP89"/>
  <c r="BO89"/>
  <c r="BN89"/>
  <c r="BM89"/>
  <c r="BL89"/>
  <c r="BK89"/>
  <c r="BJ89"/>
  <c r="BI89"/>
  <c r="BH89"/>
  <c r="BG89"/>
  <c r="BF89"/>
  <c r="BE89"/>
  <c r="BD89"/>
  <c r="BC89"/>
  <c r="BB89"/>
  <c r="BA89" s="1"/>
  <c r="AZ89"/>
  <c r="AX89"/>
  <c r="AW89"/>
  <c r="AV89"/>
  <c r="AC89"/>
  <c r="H89"/>
  <c r="G89"/>
  <c r="BT88"/>
  <c r="BS88"/>
  <c r="BR88"/>
  <c r="BQ88"/>
  <c r="BP88"/>
  <c r="BO88"/>
  <c r="BN88"/>
  <c r="BM88"/>
  <c r="BL88" s="1"/>
  <c r="BK88"/>
  <c r="BJ88"/>
  <c r="BI88"/>
  <c r="BH88"/>
  <c r="BG88"/>
  <c r="BF88"/>
  <c r="BE88"/>
  <c r="BD88"/>
  <c r="BC88"/>
  <c r="BB88"/>
  <c r="BA88"/>
  <c r="AX88"/>
  <c r="AW88"/>
  <c r="AV88"/>
  <c r="AC88"/>
  <c r="H88"/>
  <c r="G88" s="1"/>
  <c r="BT87"/>
  <c r="BS87"/>
  <c r="BR87"/>
  <c r="BQ87"/>
  <c r="BP87"/>
  <c r="BO87"/>
  <c r="BN87"/>
  <c r="BM87"/>
  <c r="BL87"/>
  <c r="BK87"/>
  <c r="BJ87"/>
  <c r="BI87"/>
  <c r="BH87"/>
  <c r="BG87"/>
  <c r="BF87"/>
  <c r="BE87"/>
  <c r="BD87"/>
  <c r="BC87"/>
  <c r="BB87"/>
  <c r="BA87" s="1"/>
  <c r="AZ87"/>
  <c r="AX87"/>
  <c r="AW87"/>
  <c r="AV87"/>
  <c r="AC87"/>
  <c r="H87"/>
  <c r="G87"/>
  <c r="BT86"/>
  <c r="BS86"/>
  <c r="BR86"/>
  <c r="BQ86"/>
  <c r="BP86"/>
  <c r="BO86"/>
  <c r="BN86"/>
  <c r="BM86"/>
  <c r="BL86" s="1"/>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c r="BT78"/>
  <c r="BS78"/>
  <c r="BR78"/>
  <c r="BQ78"/>
  <c r="BP78"/>
  <c r="BO78"/>
  <c r="BN78"/>
  <c r="BM78"/>
  <c r="BL78" s="1"/>
  <c r="BK78"/>
  <c r="BJ78"/>
  <c r="BI78"/>
  <c r="BH78"/>
  <c r="BG78"/>
  <c r="BF78"/>
  <c r="BE78"/>
  <c r="BD78"/>
  <c r="BC78"/>
  <c r="BB78"/>
  <c r="BA78"/>
  <c r="AX78"/>
  <c r="AW78"/>
  <c r="AV78"/>
  <c r="AC78"/>
  <c r="H78"/>
  <c r="G78"/>
  <c r="BT77"/>
  <c r="BS77"/>
  <c r="BR77"/>
  <c r="BQ77"/>
  <c r="BP77"/>
  <c r="BO77"/>
  <c r="BN77"/>
  <c r="BM77"/>
  <c r="BL77" s="1"/>
  <c r="BK77"/>
  <c r="BJ77"/>
  <c r="BI77"/>
  <c r="BH77"/>
  <c r="BG77"/>
  <c r="BF77"/>
  <c r="BE77"/>
  <c r="BD77"/>
  <c r="BC77"/>
  <c r="BB77"/>
  <c r="BA77"/>
  <c r="AX77"/>
  <c r="AW77"/>
  <c r="AV77"/>
  <c r="AC77"/>
  <c r="H77"/>
  <c r="G77" s="1"/>
  <c r="BT76"/>
  <c r="BS76"/>
  <c r="BR76"/>
  <c r="BQ76"/>
  <c r="BP76"/>
  <c r="BO76"/>
  <c r="BN76"/>
  <c r="BM76"/>
  <c r="BL76"/>
  <c r="BK76"/>
  <c r="BJ76"/>
  <c r="BI76"/>
  <c r="BH76"/>
  <c r="BG76"/>
  <c r="BF76"/>
  <c r="BE76"/>
  <c r="BD76"/>
  <c r="BC76"/>
  <c r="BB76"/>
  <c r="BA76" s="1"/>
  <c r="AZ76" s="1"/>
  <c r="AX76"/>
  <c r="AW76"/>
  <c r="AV76"/>
  <c r="AC76"/>
  <c r="H76"/>
  <c r="G76"/>
  <c r="BT75"/>
  <c r="BS75"/>
  <c r="BR75"/>
  <c r="BQ75"/>
  <c r="BP75"/>
  <c r="BO75"/>
  <c r="BN75"/>
  <c r="BM75"/>
  <c r="BL75" s="1"/>
  <c r="BK75"/>
  <c r="BJ75"/>
  <c r="BI75"/>
  <c r="BH75"/>
  <c r="BG75"/>
  <c r="BF75"/>
  <c r="BE75"/>
  <c r="BD75"/>
  <c r="BC75"/>
  <c r="BB75"/>
  <c r="BA75"/>
  <c r="AZ75" s="1"/>
  <c r="AX75"/>
  <c r="AW75"/>
  <c r="AV75"/>
  <c r="AC75"/>
  <c r="H75"/>
  <c r="G75" s="1"/>
  <c r="BT74"/>
  <c r="BS74"/>
  <c r="BR74"/>
  <c r="BQ74"/>
  <c r="BP74"/>
  <c r="BO74"/>
  <c r="BN74"/>
  <c r="BM74"/>
  <c r="BL74"/>
  <c r="BK74"/>
  <c r="BJ74"/>
  <c r="BI74"/>
  <c r="BH74"/>
  <c r="BG74"/>
  <c r="BF74"/>
  <c r="BE74"/>
  <c r="BD74"/>
  <c r="BC74"/>
  <c r="BB74"/>
  <c r="BA74" s="1"/>
  <c r="AX74"/>
  <c r="AW74"/>
  <c r="AV74"/>
  <c r="AC74"/>
  <c r="H74"/>
  <c r="G74" s="1"/>
  <c r="BT73"/>
  <c r="BS73"/>
  <c r="BR73"/>
  <c r="BQ73"/>
  <c r="BP73"/>
  <c r="BO73"/>
  <c r="BN73"/>
  <c r="BM73"/>
  <c r="BL73"/>
  <c r="BK73"/>
  <c r="BJ73"/>
  <c r="BI73"/>
  <c r="BH73"/>
  <c r="BG73"/>
  <c r="BF73"/>
  <c r="BE73"/>
  <c r="BD73"/>
  <c r="BC73"/>
  <c r="BB73"/>
  <c r="BA73" s="1"/>
  <c r="AZ73" s="1"/>
  <c r="AX73"/>
  <c r="AW73"/>
  <c r="AV73"/>
  <c r="AC73"/>
  <c r="H73"/>
  <c r="G73"/>
  <c r="BT72"/>
  <c r="BS72"/>
  <c r="BR72"/>
  <c r="BQ72"/>
  <c r="BP72"/>
  <c r="BO72"/>
  <c r="BN72"/>
  <c r="BM72"/>
  <c r="BL72" s="1"/>
  <c r="BK72"/>
  <c r="BJ72"/>
  <c r="BI72"/>
  <c r="BH72"/>
  <c r="BG72"/>
  <c r="BF72"/>
  <c r="BE72"/>
  <c r="BD72"/>
  <c r="BC72"/>
  <c r="BB72"/>
  <c r="BA72"/>
  <c r="AX72"/>
  <c r="AW72"/>
  <c r="AV72"/>
  <c r="AC72"/>
  <c r="H72"/>
  <c r="G72" s="1"/>
  <c r="BT71"/>
  <c r="BS71"/>
  <c r="BR71"/>
  <c r="BQ71"/>
  <c r="BP71"/>
  <c r="BO71"/>
  <c r="BN71"/>
  <c r="BM71"/>
  <c r="BL71"/>
  <c r="BK71"/>
  <c r="BJ71"/>
  <c r="BI71"/>
  <c r="BH71"/>
  <c r="BG71"/>
  <c r="BF71"/>
  <c r="BE71"/>
  <c r="BD71"/>
  <c r="BC71"/>
  <c r="BB71"/>
  <c r="BA71" s="1"/>
  <c r="AX71"/>
  <c r="AW71"/>
  <c r="AV71"/>
  <c r="AC71"/>
  <c r="H71"/>
  <c r="G71" s="1"/>
  <c r="BT70"/>
  <c r="BS70"/>
  <c r="BR70"/>
  <c r="BQ70"/>
  <c r="BP70"/>
  <c r="BO70"/>
  <c r="BN70"/>
  <c r="BM70"/>
  <c r="BL70"/>
  <c r="BK70"/>
  <c r="BJ70"/>
  <c r="BI70"/>
  <c r="BH70"/>
  <c r="BG70"/>
  <c r="BF70"/>
  <c r="BE70"/>
  <c r="BD70"/>
  <c r="BC70"/>
  <c r="BB70"/>
  <c r="BA70" s="1"/>
  <c r="AX70"/>
  <c r="AW70"/>
  <c r="AV70"/>
  <c r="AC70"/>
  <c r="H70"/>
  <c r="G70" s="1"/>
  <c r="BT69"/>
  <c r="BS69"/>
  <c r="BR69"/>
  <c r="BQ69"/>
  <c r="BP69"/>
  <c r="BO69"/>
  <c r="BN69"/>
  <c r="BM69"/>
  <c r="BL69"/>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Z68" s="1"/>
  <c r="AX68"/>
  <c r="AW68"/>
  <c r="AV68"/>
  <c r="AC68"/>
  <c r="H68"/>
  <c r="G68" s="1"/>
  <c r="BT67"/>
  <c r="BS67"/>
  <c r="BR67"/>
  <c r="BQ67"/>
  <c r="BP67"/>
  <c r="BO67"/>
  <c r="BN67"/>
  <c r="BM67"/>
  <c r="BL67"/>
  <c r="BK67"/>
  <c r="BJ67"/>
  <c r="BI67"/>
  <c r="BH67"/>
  <c r="BG67"/>
  <c r="BF67"/>
  <c r="BE67"/>
  <c r="BD67"/>
  <c r="BC67"/>
  <c r="BB67"/>
  <c r="BA67" s="1"/>
  <c r="AZ67" s="1"/>
  <c r="AX67"/>
  <c r="AW67"/>
  <c r="AV67"/>
  <c r="AC67"/>
  <c r="H67"/>
  <c r="G67"/>
  <c r="BT66"/>
  <c r="BS66"/>
  <c r="BR66"/>
  <c r="BQ66"/>
  <c r="BP66"/>
  <c r="BO66"/>
  <c r="BN66"/>
  <c r="BM66"/>
  <c r="BL66" s="1"/>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c r="BT63"/>
  <c r="BS63"/>
  <c r="BR63"/>
  <c r="BQ63"/>
  <c r="BP63"/>
  <c r="BO63"/>
  <c r="BN63"/>
  <c r="BM63"/>
  <c r="BL63" s="1"/>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N61"/>
  <c r="BM61"/>
  <c r="BL61"/>
  <c r="BK61"/>
  <c r="BJ61"/>
  <c r="BI61"/>
  <c r="BH61"/>
  <c r="BG61"/>
  <c r="BF61"/>
  <c r="BE61"/>
  <c r="BD61"/>
  <c r="BC61"/>
  <c r="BB61"/>
  <c r="BA61" s="1"/>
  <c r="AZ61" s="1"/>
  <c r="AX61"/>
  <c r="AW61"/>
  <c r="AV61"/>
  <c r="AC61"/>
  <c r="H61"/>
  <c r="G61"/>
  <c r="BT60"/>
  <c r="BS60"/>
  <c r="BR60"/>
  <c r="BQ60"/>
  <c r="BP60"/>
  <c r="BO60"/>
  <c r="BN60"/>
  <c r="BM60"/>
  <c r="BL60" s="1"/>
  <c r="BK60"/>
  <c r="BJ60"/>
  <c r="BI60"/>
  <c r="BH60"/>
  <c r="BG60"/>
  <c r="BF60"/>
  <c r="BE60"/>
  <c r="BD60"/>
  <c r="BC60"/>
  <c r="BB60"/>
  <c r="BA60"/>
  <c r="AX60"/>
  <c r="AW60"/>
  <c r="AV60"/>
  <c r="AC60"/>
  <c r="H60"/>
  <c r="G60" s="1"/>
  <c r="BT59"/>
  <c r="BS59"/>
  <c r="BR59"/>
  <c r="BQ59"/>
  <c r="BP59"/>
  <c r="BO59"/>
  <c r="BN59"/>
  <c r="BM59"/>
  <c r="BL59"/>
  <c r="BK59"/>
  <c r="BJ59"/>
  <c r="BI59"/>
  <c r="BH59"/>
  <c r="BG59"/>
  <c r="BF59"/>
  <c r="BE59"/>
  <c r="BD59"/>
  <c r="BC59"/>
  <c r="BB59"/>
  <c r="BA59" s="1"/>
  <c r="AX59"/>
  <c r="AW59"/>
  <c r="AV59"/>
  <c r="AC59"/>
  <c r="H59"/>
  <c r="G59" s="1"/>
  <c r="BT58"/>
  <c r="BS58"/>
  <c r="BR58"/>
  <c r="BQ58"/>
  <c r="BP58"/>
  <c r="BO58"/>
  <c r="BN58"/>
  <c r="BM58"/>
  <c r="BL58"/>
  <c r="BK58"/>
  <c r="BJ58"/>
  <c r="BI58"/>
  <c r="BH58"/>
  <c r="BG58"/>
  <c r="BF58"/>
  <c r="BE58"/>
  <c r="BD58"/>
  <c r="BC58"/>
  <c r="BB58"/>
  <c r="BA58" s="1"/>
  <c r="AZ58" s="1"/>
  <c r="AX58"/>
  <c r="AW58"/>
  <c r="AV58"/>
  <c r="AC58"/>
  <c r="H58"/>
  <c r="G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X56"/>
  <c r="AW56"/>
  <c r="AV56"/>
  <c r="AC56"/>
  <c r="H56"/>
  <c r="G56" s="1"/>
  <c r="BT55"/>
  <c r="BS55"/>
  <c r="BR55"/>
  <c r="BQ55"/>
  <c r="BP55"/>
  <c r="BO55"/>
  <c r="BN55"/>
  <c r="BM55"/>
  <c r="BL55"/>
  <c r="BK55"/>
  <c r="BJ55"/>
  <c r="BI55"/>
  <c r="BH55"/>
  <c r="BG55"/>
  <c r="BF55"/>
  <c r="BE55"/>
  <c r="BD55"/>
  <c r="BC55"/>
  <c r="BB55"/>
  <c r="BA55" s="1"/>
  <c r="AX55"/>
  <c r="AW55"/>
  <c r="AV55"/>
  <c r="AC55"/>
  <c r="H55"/>
  <c r="G55" s="1"/>
  <c r="BT54"/>
  <c r="BS54"/>
  <c r="BR54"/>
  <c r="BQ54"/>
  <c r="BP54"/>
  <c r="BO54"/>
  <c r="BN54"/>
  <c r="BM54"/>
  <c r="BL54"/>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c r="AX50"/>
  <c r="AW50"/>
  <c r="AV50"/>
  <c r="AC50"/>
  <c r="H50"/>
  <c r="G50" s="1"/>
  <c r="BT49"/>
  <c r="BS49"/>
  <c r="BR49"/>
  <c r="BQ49"/>
  <c r="BP49"/>
  <c r="BO49"/>
  <c r="BN49"/>
  <c r="BM49"/>
  <c r="BL49"/>
  <c r="BK49"/>
  <c r="BJ49"/>
  <c r="BI49"/>
  <c r="BH49"/>
  <c r="BG49"/>
  <c r="BF49"/>
  <c r="BE49"/>
  <c r="BD49"/>
  <c r="BC49"/>
  <c r="BB49"/>
  <c r="BA49" s="1"/>
  <c r="AZ49" s="1"/>
  <c r="AX49"/>
  <c r="AW49"/>
  <c r="AV49"/>
  <c r="AC49"/>
  <c r="H49"/>
  <c r="G49"/>
  <c r="BT48"/>
  <c r="BS48"/>
  <c r="BR48"/>
  <c r="BQ48"/>
  <c r="BP48"/>
  <c r="BO48"/>
  <c r="BN48"/>
  <c r="BM48"/>
  <c r="BL48" s="1"/>
  <c r="BK48"/>
  <c r="BJ48"/>
  <c r="BI48"/>
  <c r="BH48"/>
  <c r="BG48"/>
  <c r="BF48"/>
  <c r="BE48"/>
  <c r="BD48"/>
  <c r="BC48"/>
  <c r="BB48"/>
  <c r="BA48"/>
  <c r="AX48"/>
  <c r="AW48"/>
  <c r="AV48"/>
  <c r="AC48"/>
  <c r="H48"/>
  <c r="G48"/>
  <c r="BT47"/>
  <c r="BS47"/>
  <c r="BR47"/>
  <c r="BQ47"/>
  <c r="BP47"/>
  <c r="BO47"/>
  <c r="BN47"/>
  <c r="BM47"/>
  <c r="BL47" s="1"/>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c r="AZ46" s="1"/>
  <c r="AX46"/>
  <c r="AW46"/>
  <c r="AV46"/>
  <c r="AC46"/>
  <c r="H46"/>
  <c r="G46" s="1"/>
  <c r="BT45"/>
  <c r="BS45"/>
  <c r="BR45"/>
  <c r="BQ45"/>
  <c r="BP45"/>
  <c r="BO45"/>
  <c r="BN45"/>
  <c r="BM45"/>
  <c r="BL45"/>
  <c r="BK45"/>
  <c r="BJ45"/>
  <c r="BI45"/>
  <c r="BH45"/>
  <c r="BG45"/>
  <c r="BF45"/>
  <c r="BE45"/>
  <c r="BD45"/>
  <c r="BC45"/>
  <c r="BB45"/>
  <c r="BA45" s="1"/>
  <c r="AZ45" s="1"/>
  <c r="AX45"/>
  <c r="AW45"/>
  <c r="AV45"/>
  <c r="AC45"/>
  <c r="H45"/>
  <c r="G45"/>
  <c r="BT44"/>
  <c r="BS44"/>
  <c r="BR44"/>
  <c r="BQ44"/>
  <c r="BP44"/>
  <c r="BO44"/>
  <c r="BN44"/>
  <c r="BM44"/>
  <c r="BL44" s="1"/>
  <c r="BK44"/>
  <c r="BJ44"/>
  <c r="BI44"/>
  <c r="BH44"/>
  <c r="BG44"/>
  <c r="BF44"/>
  <c r="BE44"/>
  <c r="BD44"/>
  <c r="BC44"/>
  <c r="BB44"/>
  <c r="BA44"/>
  <c r="AX44"/>
  <c r="AW44"/>
  <c r="AV44"/>
  <c r="AC44"/>
  <c r="H44"/>
  <c r="G44" s="1"/>
  <c r="BT43"/>
  <c r="BS43"/>
  <c r="BR43"/>
  <c r="BQ43"/>
  <c r="BP43"/>
  <c r="BO43"/>
  <c r="BN43"/>
  <c r="BM43"/>
  <c r="BL43"/>
  <c r="BK43"/>
  <c r="BJ43"/>
  <c r="BI43"/>
  <c r="BH43"/>
  <c r="BG43"/>
  <c r="BF43"/>
  <c r="BE43"/>
  <c r="BD43"/>
  <c r="BC43"/>
  <c r="BB43"/>
  <c r="BA43" s="1"/>
  <c r="AX43"/>
  <c r="AW43"/>
  <c r="AV43"/>
  <c r="AC43"/>
  <c r="H43"/>
  <c r="G43" s="1"/>
  <c r="BT42"/>
  <c r="BS42"/>
  <c r="BR42"/>
  <c r="BQ42"/>
  <c r="BP42"/>
  <c r="BO42"/>
  <c r="BN42"/>
  <c r="BM42"/>
  <c r="BL42"/>
  <c r="BK42"/>
  <c r="BJ42"/>
  <c r="BI42"/>
  <c r="BH42"/>
  <c r="BG42"/>
  <c r="BF42"/>
  <c r="BE42"/>
  <c r="BD42"/>
  <c r="BC42"/>
  <c r="BB42"/>
  <c r="BA42" s="1"/>
  <c r="AZ42" s="1"/>
  <c r="AX42"/>
  <c r="AW42"/>
  <c r="AV42"/>
  <c r="AC42"/>
  <c r="H42"/>
  <c r="G42"/>
  <c r="BT41"/>
  <c r="BS41"/>
  <c r="BR41"/>
  <c r="BQ41"/>
  <c r="BP41"/>
  <c r="BO41"/>
  <c r="BN41"/>
  <c r="BM41"/>
  <c r="BL41" s="1"/>
  <c r="BK41"/>
  <c r="BJ41"/>
  <c r="BI41"/>
  <c r="BH41"/>
  <c r="BG41"/>
  <c r="BF41"/>
  <c r="BE41"/>
  <c r="BD41"/>
  <c r="BC41"/>
  <c r="BB41"/>
  <c r="BA41"/>
  <c r="AX41"/>
  <c r="AW41"/>
  <c r="AV41"/>
  <c r="AC41"/>
  <c r="H41"/>
  <c r="G41" s="1"/>
  <c r="BT40"/>
  <c r="BS40"/>
  <c r="BR40"/>
  <c r="BQ40"/>
  <c r="BP40"/>
  <c r="BO40"/>
  <c r="BN40"/>
  <c r="BM40"/>
  <c r="BL40"/>
  <c r="BK40"/>
  <c r="BJ40"/>
  <c r="BI40"/>
  <c r="BH40"/>
  <c r="BG40"/>
  <c r="BF40"/>
  <c r="BE40"/>
  <c r="BD40"/>
  <c r="BC40"/>
  <c r="BB40"/>
  <c r="BA40" s="1"/>
  <c r="AX40"/>
  <c r="AW40"/>
  <c r="AV40"/>
  <c r="AC40"/>
  <c r="H40"/>
  <c r="G40" s="1"/>
  <c r="BT39"/>
  <c r="BS39"/>
  <c r="BR39"/>
  <c r="BQ39"/>
  <c r="BP39"/>
  <c r="BO39"/>
  <c r="BN39"/>
  <c r="BM39"/>
  <c r="BL39"/>
  <c r="BK39"/>
  <c r="BJ39"/>
  <c r="BI39"/>
  <c r="BH39"/>
  <c r="BG39"/>
  <c r="BF39"/>
  <c r="BE39"/>
  <c r="BD39"/>
  <c r="BC39"/>
  <c r="BB39"/>
  <c r="BA39" s="1"/>
  <c r="AX39"/>
  <c r="AW39"/>
  <c r="AV39"/>
  <c r="AC39"/>
  <c r="H39"/>
  <c r="G39" s="1"/>
  <c r="BT38"/>
  <c r="BS38"/>
  <c r="BR38"/>
  <c r="BQ38"/>
  <c r="BP38"/>
  <c r="BO38"/>
  <c r="BN38"/>
  <c r="BM38"/>
  <c r="BL38"/>
  <c r="BK38"/>
  <c r="BJ38"/>
  <c r="BI38"/>
  <c r="BH38"/>
  <c r="BG38"/>
  <c r="BF38"/>
  <c r="BE38"/>
  <c r="BD38"/>
  <c r="BC38"/>
  <c r="BB38"/>
  <c r="BA38" s="1"/>
  <c r="AZ38" s="1"/>
  <c r="AX38"/>
  <c r="AW38"/>
  <c r="AV38"/>
  <c r="AC38"/>
  <c r="H38"/>
  <c r="G38"/>
  <c r="BT37"/>
  <c r="BS37"/>
  <c r="BR37"/>
  <c r="BQ37"/>
  <c r="BP37"/>
  <c r="BO37"/>
  <c r="BN37"/>
  <c r="BM37"/>
  <c r="BL37" s="1"/>
  <c r="BK37"/>
  <c r="BJ37"/>
  <c r="BI37"/>
  <c r="BH37"/>
  <c r="BG37"/>
  <c r="BF37"/>
  <c r="BE37"/>
  <c r="BD37"/>
  <c r="BC37"/>
  <c r="BB37"/>
  <c r="BA37"/>
  <c r="AX37"/>
  <c r="AW37"/>
  <c r="AV37"/>
  <c r="AC37"/>
  <c r="H37"/>
  <c r="G37" s="1"/>
  <c r="BT36"/>
  <c r="BS36"/>
  <c r="BR36"/>
  <c r="BQ36"/>
  <c r="BP36"/>
  <c r="BO36"/>
  <c r="BN36"/>
  <c r="BM36"/>
  <c r="BL36"/>
  <c r="BK36"/>
  <c r="BJ36"/>
  <c r="BI36"/>
  <c r="BH36"/>
  <c r="BG36"/>
  <c r="BF36"/>
  <c r="BE36"/>
  <c r="BD36"/>
  <c r="BC36"/>
  <c r="BB36"/>
  <c r="BA36" s="1"/>
  <c r="AZ36" s="1"/>
  <c r="AX36"/>
  <c r="AW36"/>
  <c r="AV36"/>
  <c r="AC36"/>
  <c r="H36"/>
  <c r="G36"/>
  <c r="BT35"/>
  <c r="BS35"/>
  <c r="BR35"/>
  <c r="BQ35"/>
  <c r="BP35"/>
  <c r="BO35"/>
  <c r="BN35"/>
  <c r="BM35"/>
  <c r="BL35" s="1"/>
  <c r="BK35"/>
  <c r="BJ35"/>
  <c r="BI35"/>
  <c r="BH35"/>
  <c r="BG35"/>
  <c r="BF35"/>
  <c r="BE35"/>
  <c r="BD35"/>
  <c r="BC35"/>
  <c r="BB35"/>
  <c r="BA35"/>
  <c r="AX35"/>
  <c r="AW35"/>
  <c r="AV35"/>
  <c r="AC35"/>
  <c r="H35"/>
  <c r="G35"/>
  <c r="BT34"/>
  <c r="BS34"/>
  <c r="BR34"/>
  <c r="BQ34"/>
  <c r="BP34"/>
  <c r="BO34"/>
  <c r="BN34"/>
  <c r="BM34"/>
  <c r="BL34" s="1"/>
  <c r="BK34"/>
  <c r="BJ34"/>
  <c r="BI34"/>
  <c r="BH34"/>
  <c r="BG34"/>
  <c r="BF34"/>
  <c r="BE34"/>
  <c r="BD34"/>
  <c r="BC34"/>
  <c r="BB34"/>
  <c r="BA34"/>
  <c r="AX34"/>
  <c r="AW34"/>
  <c r="AV34"/>
  <c r="AC34"/>
  <c r="H34"/>
  <c r="G34" s="1"/>
  <c r="BT33"/>
  <c r="BS33"/>
  <c r="BR33"/>
  <c r="BQ33"/>
  <c r="BP33"/>
  <c r="BO33"/>
  <c r="BN33"/>
  <c r="BM33"/>
  <c r="BL33"/>
  <c r="BK33"/>
  <c r="BJ33"/>
  <c r="BI33"/>
  <c r="BH33"/>
  <c r="BG33"/>
  <c r="BF33"/>
  <c r="BE33"/>
  <c r="BD33"/>
  <c r="BC33"/>
  <c r="BB33"/>
  <c r="BA33" s="1"/>
  <c r="AZ33" s="1"/>
  <c r="AX33"/>
  <c r="AW33"/>
  <c r="AV33"/>
  <c r="AC33"/>
  <c r="H33"/>
  <c r="G33"/>
  <c r="BT32"/>
  <c r="BS32"/>
  <c r="BR32"/>
  <c r="BQ32"/>
  <c r="BP32"/>
  <c r="BO32"/>
  <c r="BN32"/>
  <c r="BM32"/>
  <c r="BL32" s="1"/>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c r="AZ30" s="1"/>
  <c r="AX30"/>
  <c r="AW30"/>
  <c r="AV30"/>
  <c r="AC30"/>
  <c r="H30"/>
  <c r="G30" s="1"/>
  <c r="BT29"/>
  <c r="BS29"/>
  <c r="BR29"/>
  <c r="BQ29"/>
  <c r="BP29"/>
  <c r="BO29"/>
  <c r="BN29"/>
  <c r="BM29"/>
  <c r="BL29"/>
  <c r="BK29"/>
  <c r="BJ29"/>
  <c r="BI29"/>
  <c r="BH29"/>
  <c r="BG29"/>
  <c r="BF29"/>
  <c r="BE29"/>
  <c r="BD29"/>
  <c r="BC29"/>
  <c r="BB29"/>
  <c r="BA29" s="1"/>
  <c r="AZ29" s="1"/>
  <c r="AX29"/>
  <c r="AW29"/>
  <c r="AV29"/>
  <c r="AC29"/>
  <c r="H29"/>
  <c r="G29"/>
  <c r="BT28"/>
  <c r="BS28"/>
  <c r="BR28"/>
  <c r="BQ28"/>
  <c r="BP28"/>
  <c r="BO28"/>
  <c r="BN28"/>
  <c r="BM28"/>
  <c r="BL28" s="1"/>
  <c r="BK28"/>
  <c r="BJ28"/>
  <c r="BI28"/>
  <c r="BH28"/>
  <c r="BG28"/>
  <c r="BF28"/>
  <c r="BE28"/>
  <c r="BD28"/>
  <c r="BC28"/>
  <c r="BB28"/>
  <c r="BA28"/>
  <c r="AX28"/>
  <c r="AW28"/>
  <c r="AV28"/>
  <c r="AC28"/>
  <c r="H28"/>
  <c r="G28" s="1"/>
  <c r="BT27"/>
  <c r="BS27"/>
  <c r="BR27"/>
  <c r="BQ27"/>
  <c r="BP27"/>
  <c r="BO27"/>
  <c r="BN27"/>
  <c r="BM27"/>
  <c r="BL27"/>
  <c r="BK27"/>
  <c r="BJ27"/>
  <c r="BI27"/>
  <c r="BH27"/>
  <c r="BG27"/>
  <c r="BF27"/>
  <c r="BE27"/>
  <c r="BD27"/>
  <c r="BC27"/>
  <c r="BB27"/>
  <c r="BA27" s="1"/>
  <c r="AX27"/>
  <c r="AW27"/>
  <c r="AV27"/>
  <c r="AC27"/>
  <c r="H27"/>
  <c r="G27" s="1"/>
  <c r="BT26"/>
  <c r="BS26"/>
  <c r="BR26"/>
  <c r="BQ26"/>
  <c r="BP26"/>
  <c r="BO26"/>
  <c r="BN26"/>
  <c r="BM26"/>
  <c r="BL26"/>
  <c r="BK26"/>
  <c r="BJ26"/>
  <c r="BI26"/>
  <c r="BH26"/>
  <c r="BG26"/>
  <c r="BF26"/>
  <c r="BE26"/>
  <c r="BD26"/>
  <c r="BC26"/>
  <c r="BB26"/>
  <c r="BA26" s="1"/>
  <c r="AZ26" s="1"/>
  <c r="AX26"/>
  <c r="AW26"/>
  <c r="AV26"/>
  <c r="AC26"/>
  <c r="H26"/>
  <c r="G26"/>
  <c r="BT25"/>
  <c r="BS25"/>
  <c r="BR25"/>
  <c r="BQ25"/>
  <c r="BP25"/>
  <c r="BO25"/>
  <c r="BN25"/>
  <c r="BM25"/>
  <c r="BL25" s="1"/>
  <c r="BK25"/>
  <c r="BJ25"/>
  <c r="BI25"/>
  <c r="BH25"/>
  <c r="BG25"/>
  <c r="BF25"/>
  <c r="BE25"/>
  <c r="BD25"/>
  <c r="BC25"/>
  <c r="BB25"/>
  <c r="BA25"/>
  <c r="AZ25" s="1"/>
  <c r="AX25"/>
  <c r="AW25"/>
  <c r="AV25"/>
  <c r="AC25"/>
  <c r="H25"/>
  <c r="G25" s="1"/>
  <c r="BT24"/>
  <c r="BS24"/>
  <c r="BR24"/>
  <c r="BQ24"/>
  <c r="BP24"/>
  <c r="BO24"/>
  <c r="BN24"/>
  <c r="BM24"/>
  <c r="BL24"/>
  <c r="BK24"/>
  <c r="BJ24"/>
  <c r="BI24"/>
  <c r="BH24"/>
  <c r="BG24"/>
  <c r="BF24"/>
  <c r="BE24"/>
  <c r="BD24"/>
  <c r="BC24"/>
  <c r="BB24"/>
  <c r="BA24" s="1"/>
  <c r="AX24"/>
  <c r="AW24"/>
  <c r="AV24"/>
  <c r="AC24"/>
  <c r="H24"/>
  <c r="G24" s="1"/>
  <c r="BT23"/>
  <c r="BS23"/>
  <c r="BR23"/>
  <c r="BQ23"/>
  <c r="BP23"/>
  <c r="BO23"/>
  <c r="BN23"/>
  <c r="BM23"/>
  <c r="BL23"/>
  <c r="BK23"/>
  <c r="BJ23"/>
  <c r="BI23"/>
  <c r="BH23"/>
  <c r="BG23"/>
  <c r="BF23"/>
  <c r="BE23"/>
  <c r="BD23"/>
  <c r="BC23"/>
  <c r="BB23"/>
  <c r="BA23" s="1"/>
  <c r="AX23"/>
  <c r="AW23"/>
  <c r="AV23"/>
  <c r="AC23"/>
  <c r="H23"/>
  <c r="G23" s="1"/>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c r="AX21"/>
  <c r="AW21"/>
  <c r="AV21"/>
  <c r="AC21"/>
  <c r="H21"/>
  <c r="G21"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c r="BT202"/>
  <c r="BS202"/>
  <c r="BR202"/>
  <c r="BQ202"/>
  <c r="BP202"/>
  <c r="BO202"/>
  <c r="BN202"/>
  <c r="BM202"/>
  <c r="BL202" s="1"/>
  <c r="BK202"/>
  <c r="BJ202"/>
  <c r="BI202"/>
  <c r="BH202"/>
  <c r="BG202"/>
  <c r="BF202"/>
  <c r="BE202"/>
  <c r="BD202"/>
  <c r="BC202"/>
  <c r="BB202"/>
  <c r="BA202"/>
  <c r="AX202"/>
  <c r="AW202"/>
  <c r="AV202"/>
  <c r="AC202"/>
  <c r="H202"/>
  <c r="G202" s="1"/>
  <c r="BT201"/>
  <c r="BS201"/>
  <c r="BR201"/>
  <c r="BQ201"/>
  <c r="BP201"/>
  <c r="BO201"/>
  <c r="BN201"/>
  <c r="BM201"/>
  <c r="BK201"/>
  <c r="BJ201"/>
  <c r="BI201"/>
  <c r="BH201"/>
  <c r="BG201"/>
  <c r="BF201"/>
  <c r="BE201"/>
  <c r="BD201"/>
  <c r="BC201"/>
  <c r="BB201"/>
  <c r="BA201"/>
  <c r="AX201"/>
  <c r="AW201"/>
  <c r="AV201"/>
  <c r="AC201"/>
  <c r="H201"/>
  <c r="G201"/>
  <c r="BT200"/>
  <c r="BS200"/>
  <c r="BR200"/>
  <c r="BQ200"/>
  <c r="BP200"/>
  <c r="BO200"/>
  <c r="BN200"/>
  <c r="BM200"/>
  <c r="BL200" s="1"/>
  <c r="BK200"/>
  <c r="BJ200"/>
  <c r="BI200"/>
  <c r="BH200"/>
  <c r="BG200"/>
  <c r="BF200"/>
  <c r="BE200"/>
  <c r="BD200"/>
  <c r="BC200"/>
  <c r="BB200"/>
  <c r="AX200"/>
  <c r="AW200"/>
  <c r="AV200"/>
  <c r="AC200"/>
  <c r="H200"/>
  <c r="G200" s="1"/>
  <c r="BT199"/>
  <c r="BS199"/>
  <c r="BR199"/>
  <c r="BQ199"/>
  <c r="BP199"/>
  <c r="BO199"/>
  <c r="BN199"/>
  <c r="BM199"/>
  <c r="BL199"/>
  <c r="BK199"/>
  <c r="BJ199"/>
  <c r="BI199"/>
  <c r="BH199"/>
  <c r="BG199"/>
  <c r="BF199"/>
  <c r="BE199"/>
  <c r="BD199"/>
  <c r="BC199"/>
  <c r="BB199"/>
  <c r="BA199" s="1"/>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H198"/>
  <c r="BT197"/>
  <c r="BS197"/>
  <c r="BR197"/>
  <c r="BQ197"/>
  <c r="BP197"/>
  <c r="BO197"/>
  <c r="BN197"/>
  <c r="BM197"/>
  <c r="BK197"/>
  <c r="BJ197"/>
  <c r="BI197"/>
  <c r="BH197"/>
  <c r="BG197"/>
  <c r="BF197"/>
  <c r="BE197"/>
  <c r="BD197"/>
  <c r="BC197"/>
  <c r="BB197"/>
  <c r="BA197"/>
  <c r="AX197"/>
  <c r="AW197"/>
  <c r="AV197"/>
  <c r="AC197"/>
  <c r="H197"/>
  <c r="G197"/>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M195"/>
  <c r="BL195"/>
  <c r="BK195"/>
  <c r="BJ195"/>
  <c r="BI195"/>
  <c r="BH195"/>
  <c r="BG195"/>
  <c r="BF195"/>
  <c r="BE195"/>
  <c r="BD195"/>
  <c r="BC195"/>
  <c r="BB195"/>
  <c r="BA195" s="1"/>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H194"/>
  <c r="BT193"/>
  <c r="BS193"/>
  <c r="BR193"/>
  <c r="BQ193"/>
  <c r="BP193"/>
  <c r="BO193"/>
  <c r="BN193"/>
  <c r="BM193"/>
  <c r="BK193"/>
  <c r="BJ193"/>
  <c r="BI193"/>
  <c r="BH193"/>
  <c r="BG193"/>
  <c r="BF193"/>
  <c r="BE193"/>
  <c r="BD193"/>
  <c r="BC193"/>
  <c r="BB193"/>
  <c r="BA193"/>
  <c r="AX193"/>
  <c r="AW193"/>
  <c r="AV193"/>
  <c r="AC193"/>
  <c r="H193"/>
  <c r="G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L191"/>
  <c r="BK191"/>
  <c r="BJ191"/>
  <c r="BI191"/>
  <c r="BH191"/>
  <c r="BG191"/>
  <c r="BF191"/>
  <c r="BE191"/>
  <c r="BD191"/>
  <c r="BC191"/>
  <c r="BB191"/>
  <c r="BA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B189"/>
  <c r="BA189"/>
  <c r="AX189"/>
  <c r="AW189"/>
  <c r="AV189"/>
  <c r="AC189"/>
  <c r="H189"/>
  <c r="G189"/>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M187"/>
  <c r="BL187"/>
  <c r="BK187"/>
  <c r="BJ187"/>
  <c r="BI187"/>
  <c r="BH187"/>
  <c r="BG187"/>
  <c r="BF187"/>
  <c r="BE187"/>
  <c r="BD187"/>
  <c r="BC187"/>
  <c r="BB187"/>
  <c r="BA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H186"/>
  <c r="BT185"/>
  <c r="BS185"/>
  <c r="BR185"/>
  <c r="BQ185"/>
  <c r="BP185"/>
  <c r="BO185"/>
  <c r="BN185"/>
  <c r="BM185"/>
  <c r="BK185"/>
  <c r="BJ185"/>
  <c r="BI185"/>
  <c r="BH185"/>
  <c r="BG185"/>
  <c r="BF185"/>
  <c r="BE185"/>
  <c r="BD185"/>
  <c r="BC185"/>
  <c r="BB185"/>
  <c r="BA185"/>
  <c r="AX185"/>
  <c r="AW185"/>
  <c r="AV185"/>
  <c r="AC185"/>
  <c r="H185"/>
  <c r="G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L183"/>
  <c r="BK183"/>
  <c r="BJ183"/>
  <c r="BI183"/>
  <c r="BH183"/>
  <c r="BG183"/>
  <c r="BF183"/>
  <c r="BE183"/>
  <c r="BD183"/>
  <c r="BC183"/>
  <c r="BB183"/>
  <c r="BA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H182"/>
  <c r="BT181"/>
  <c r="BS181"/>
  <c r="BR181"/>
  <c r="BQ181"/>
  <c r="BP181"/>
  <c r="BO181"/>
  <c r="BN181"/>
  <c r="BM181"/>
  <c r="BK181"/>
  <c r="BJ181"/>
  <c r="BI181"/>
  <c r="BH181"/>
  <c r="BG181"/>
  <c r="BF181"/>
  <c r="BE181"/>
  <c r="BD181"/>
  <c r="BC181"/>
  <c r="BB181"/>
  <c r="BA181"/>
  <c r="AX181"/>
  <c r="AW181"/>
  <c r="AV181"/>
  <c r="AC181"/>
  <c r="H181"/>
  <c r="G181"/>
  <c r="BT180"/>
  <c r="BS180"/>
  <c r="BR180"/>
  <c r="BQ180"/>
  <c r="BP180"/>
  <c r="BO180"/>
  <c r="BN180"/>
  <c r="BM180"/>
  <c r="BL180" s="1"/>
  <c r="BK180"/>
  <c r="BJ180"/>
  <c r="BI180"/>
  <c r="BH180"/>
  <c r="BG180"/>
  <c r="BF180"/>
  <c r="BE180"/>
  <c r="BD180"/>
  <c r="BC180"/>
  <c r="BB180"/>
  <c r="BA180"/>
  <c r="AX180"/>
  <c r="AW180"/>
  <c r="AV180"/>
  <c r="AC180"/>
  <c r="H180"/>
  <c r="BT179"/>
  <c r="BS179"/>
  <c r="BR179"/>
  <c r="BQ179"/>
  <c r="BP179"/>
  <c r="BO179"/>
  <c r="BN179"/>
  <c r="BM179"/>
  <c r="BK179"/>
  <c r="BJ179"/>
  <c r="BI179"/>
  <c r="BH179"/>
  <c r="BG179"/>
  <c r="BF179"/>
  <c r="BE179"/>
  <c r="BD179"/>
  <c r="BC179"/>
  <c r="BB179"/>
  <c r="BA179"/>
  <c r="AX179"/>
  <c r="AW179"/>
  <c r="AV179"/>
  <c r="AC179"/>
  <c r="H179"/>
  <c r="G179"/>
  <c r="BT178"/>
  <c r="BS178"/>
  <c r="BR178"/>
  <c r="BQ178"/>
  <c r="BP178"/>
  <c r="BO178"/>
  <c r="BN178"/>
  <c r="BM178"/>
  <c r="BL178" s="1"/>
  <c r="BK178"/>
  <c r="BJ178"/>
  <c r="BI178"/>
  <c r="BH178"/>
  <c r="BG178"/>
  <c r="BF178"/>
  <c r="BE178"/>
  <c r="BD178"/>
  <c r="BC178"/>
  <c r="BB178"/>
  <c r="AX178"/>
  <c r="AW178"/>
  <c r="AV178"/>
  <c r="AC178"/>
  <c r="H178"/>
  <c r="G178" s="1"/>
  <c r="BT177"/>
  <c r="BS177"/>
  <c r="BR177"/>
  <c r="BQ177"/>
  <c r="BP177"/>
  <c r="BO177"/>
  <c r="BN177"/>
  <c r="BM177"/>
  <c r="BL177"/>
  <c r="BK177"/>
  <c r="BJ177"/>
  <c r="BI177"/>
  <c r="BH177"/>
  <c r="BG177"/>
  <c r="BF177"/>
  <c r="BE177"/>
  <c r="BD177"/>
  <c r="BC177"/>
  <c r="BB177"/>
  <c r="BA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H176"/>
  <c r="G176"/>
  <c r="BT175"/>
  <c r="BS175"/>
  <c r="BR175"/>
  <c r="BQ175"/>
  <c r="BP175"/>
  <c r="BO175"/>
  <c r="BN175"/>
  <c r="BM175"/>
  <c r="BL175" s="1"/>
  <c r="BK175"/>
  <c r="BJ175"/>
  <c r="BI175"/>
  <c r="BH175"/>
  <c r="BG175"/>
  <c r="BF175"/>
  <c r="BE175"/>
  <c r="BD175"/>
  <c r="BC175"/>
  <c r="BB175"/>
  <c r="BA175"/>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s="1"/>
  <c r="BT173"/>
  <c r="BS173"/>
  <c r="BR173"/>
  <c r="BQ173"/>
  <c r="BP173"/>
  <c r="BO173"/>
  <c r="BN173"/>
  <c r="BM173"/>
  <c r="BL173"/>
  <c r="BK173"/>
  <c r="BJ173"/>
  <c r="BI173"/>
  <c r="BH173"/>
  <c r="BG173"/>
  <c r="BF173"/>
  <c r="BE173"/>
  <c r="BD173"/>
  <c r="BC173"/>
  <c r="BB173"/>
  <c r="AX173"/>
  <c r="AW173"/>
  <c r="AV173"/>
  <c r="AC173"/>
  <c r="H173"/>
  <c r="G173"/>
  <c r="BT172"/>
  <c r="BS172"/>
  <c r="BR172"/>
  <c r="BQ172"/>
  <c r="BP172"/>
  <c r="BO172"/>
  <c r="BN172"/>
  <c r="BM172"/>
  <c r="BL172" s="1"/>
  <c r="BK172"/>
  <c r="BJ172"/>
  <c r="BI172"/>
  <c r="BH172"/>
  <c r="BG172"/>
  <c r="BF172"/>
  <c r="BE172"/>
  <c r="BD172"/>
  <c r="BC172"/>
  <c r="BB172"/>
  <c r="BA172"/>
  <c r="AZ172" s="1"/>
  <c r="AX172"/>
  <c r="AW172"/>
  <c r="AV172"/>
  <c r="AC172"/>
  <c r="H172"/>
  <c r="G172" s="1"/>
  <c r="BT171"/>
  <c r="BS171"/>
  <c r="BR171"/>
  <c r="BQ171"/>
  <c r="BP171"/>
  <c r="BO171"/>
  <c r="BN171"/>
  <c r="BM171"/>
  <c r="BL17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c r="AX167"/>
  <c r="AW167"/>
  <c r="AV167"/>
  <c r="AC167"/>
  <c r="H167"/>
  <c r="BT166"/>
  <c r="BS166"/>
  <c r="BR166"/>
  <c r="BQ166"/>
  <c r="BP166"/>
  <c r="BO166"/>
  <c r="BN166"/>
  <c r="BM166"/>
  <c r="BK166"/>
  <c r="BJ166"/>
  <c r="BI166"/>
  <c r="BH166"/>
  <c r="BG166"/>
  <c r="BF166"/>
  <c r="BE166"/>
  <c r="BD166"/>
  <c r="BC166"/>
  <c r="BB166"/>
  <c r="BA166"/>
  <c r="AX166"/>
  <c r="AW166"/>
  <c r="AV166"/>
  <c r="AC166"/>
  <c r="H166"/>
  <c r="G166"/>
  <c r="BT165"/>
  <c r="BS165"/>
  <c r="BR165"/>
  <c r="BQ165"/>
  <c r="BP165"/>
  <c r="BO165"/>
  <c r="BN165"/>
  <c r="BM165"/>
  <c r="BL165" s="1"/>
  <c r="BK165"/>
  <c r="BJ165"/>
  <c r="BI165"/>
  <c r="BH165"/>
  <c r="BG165"/>
  <c r="BF165"/>
  <c r="BE165"/>
  <c r="BD165"/>
  <c r="BC165"/>
  <c r="BB165"/>
  <c r="AX165"/>
  <c r="AW165"/>
  <c r="AV165"/>
  <c r="AC165"/>
  <c r="H165"/>
  <c r="G165" s="1"/>
  <c r="BT164"/>
  <c r="BS164"/>
  <c r="BR164"/>
  <c r="BQ164"/>
  <c r="BP164"/>
  <c r="BO164"/>
  <c r="BN164"/>
  <c r="BM164"/>
  <c r="BL164"/>
  <c r="BK164"/>
  <c r="BJ164"/>
  <c r="BI164"/>
  <c r="BH164"/>
  <c r="BG164"/>
  <c r="BF164"/>
  <c r="BE164"/>
  <c r="BD164"/>
  <c r="BC164"/>
  <c r="BB164"/>
  <c r="BA164" s="1"/>
  <c r="AX164"/>
  <c r="AW164"/>
  <c r="AV164"/>
  <c r="AC164"/>
  <c r="H164"/>
  <c r="G164" s="1"/>
  <c r="BT163"/>
  <c r="BS163"/>
  <c r="BR163"/>
  <c r="BQ163"/>
  <c r="BP163"/>
  <c r="BO163"/>
  <c r="BN163"/>
  <c r="BM163"/>
  <c r="BL163"/>
  <c r="BK163"/>
  <c r="BJ163"/>
  <c r="BI163"/>
  <c r="BH163"/>
  <c r="BG163"/>
  <c r="BF163"/>
  <c r="BE163"/>
  <c r="BD163"/>
  <c r="BC163"/>
  <c r="BB163"/>
  <c r="BA163" s="1"/>
  <c r="AZ163" s="1"/>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H160"/>
  <c r="G160"/>
  <c r="BT159"/>
  <c r="BS159"/>
  <c r="BR159"/>
  <c r="BQ159"/>
  <c r="BP159"/>
  <c r="BO159"/>
  <c r="BN159"/>
  <c r="BM159"/>
  <c r="BL159" s="1"/>
  <c r="BK159"/>
  <c r="BJ159"/>
  <c r="BI159"/>
  <c r="BH159"/>
  <c r="BG159"/>
  <c r="BF159"/>
  <c r="BE159"/>
  <c r="BD159"/>
  <c r="BC159"/>
  <c r="BB159"/>
  <c r="BA159"/>
  <c r="AZ159" s="1"/>
  <c r="AX159"/>
  <c r="AW159"/>
  <c r="AV159"/>
  <c r="AC159"/>
  <c r="H159"/>
  <c r="BT158"/>
  <c r="BS158"/>
  <c r="BR158"/>
  <c r="BQ158"/>
  <c r="BP158"/>
  <c r="BO158"/>
  <c r="BN158"/>
  <c r="BM158"/>
  <c r="BK158"/>
  <c r="BJ158"/>
  <c r="BI158"/>
  <c r="BH158"/>
  <c r="BG158"/>
  <c r="BF158"/>
  <c r="BE158"/>
  <c r="BD158"/>
  <c r="BC158"/>
  <c r="BB158"/>
  <c r="BA158" s="1"/>
  <c r="AX158"/>
  <c r="AW158"/>
  <c r="AV158"/>
  <c r="AC158"/>
  <c r="H158"/>
  <c r="G158" s="1"/>
  <c r="BT157"/>
  <c r="BS157"/>
  <c r="BR157"/>
  <c r="BQ157"/>
  <c r="BP157"/>
  <c r="BO157"/>
  <c r="BN157"/>
  <c r="BM157"/>
  <c r="BL157"/>
  <c r="BK157"/>
  <c r="BJ157"/>
  <c r="BI157"/>
  <c r="BH157"/>
  <c r="BG157"/>
  <c r="BF157"/>
  <c r="BE157"/>
  <c r="BD157"/>
  <c r="BC157"/>
  <c r="BB157"/>
  <c r="AX157"/>
  <c r="AW157"/>
  <c r="AV157"/>
  <c r="AC157"/>
  <c r="H157"/>
  <c r="G157"/>
  <c r="BT156"/>
  <c r="BS156"/>
  <c r="BR156"/>
  <c r="BQ156"/>
  <c r="BP156"/>
  <c r="BO156"/>
  <c r="BN156"/>
  <c r="BM156"/>
  <c r="BL156" s="1"/>
  <c r="BK156"/>
  <c r="BJ156"/>
  <c r="BI156"/>
  <c r="BH156"/>
  <c r="BG156"/>
  <c r="BF156"/>
  <c r="BE156"/>
  <c r="BD156"/>
  <c r="BC156"/>
  <c r="BB156"/>
  <c r="BA156"/>
  <c r="AZ156" s="1"/>
  <c r="AX156"/>
  <c r="AW156"/>
  <c r="AV156"/>
  <c r="AC156"/>
  <c r="H156"/>
  <c r="G156" s="1"/>
  <c r="BT155"/>
  <c r="BS155"/>
  <c r="BR155"/>
  <c r="BQ155"/>
  <c r="BP155"/>
  <c r="BO155"/>
  <c r="BN155"/>
  <c r="BM155"/>
  <c r="BL155"/>
  <c r="BK155"/>
  <c r="BJ155"/>
  <c r="BI155"/>
  <c r="BH155"/>
  <c r="BG155"/>
  <c r="BF155"/>
  <c r="BE155"/>
  <c r="BD155"/>
  <c r="BC155"/>
  <c r="BB155"/>
  <c r="BA155" s="1"/>
  <c r="AZ155" s="1"/>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c r="BK152"/>
  <c r="BJ152"/>
  <c r="BI152"/>
  <c r="BH152"/>
  <c r="BG152"/>
  <c r="BF152"/>
  <c r="BE152"/>
  <c r="BD152"/>
  <c r="BC152"/>
  <c r="BB152"/>
  <c r="BA152" s="1"/>
  <c r="AX152"/>
  <c r="AW152"/>
  <c r="AV152"/>
  <c r="AC152"/>
  <c r="H152"/>
  <c r="G152" s="1"/>
  <c r="BT151"/>
  <c r="BS151"/>
  <c r="BR151"/>
  <c r="BQ151"/>
  <c r="BP151"/>
  <c r="BO151"/>
  <c r="BN151"/>
  <c r="BM151"/>
  <c r="BK151"/>
  <c r="BJ151"/>
  <c r="BI151"/>
  <c r="BH151"/>
  <c r="BG151"/>
  <c r="BF151"/>
  <c r="BE151"/>
  <c r="BD151"/>
  <c r="BC151"/>
  <c r="BB151"/>
  <c r="BA151"/>
  <c r="AX151"/>
  <c r="AW151"/>
  <c r="AV151"/>
  <c r="AC151"/>
  <c r="H151"/>
  <c r="G15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c r="BK149"/>
  <c r="BJ149"/>
  <c r="BI149"/>
  <c r="BH149"/>
  <c r="BG149"/>
  <c r="BF149"/>
  <c r="BE149"/>
  <c r="BD149"/>
  <c r="BC149"/>
  <c r="BB149"/>
  <c r="BA149" s="1"/>
  <c r="AZ149" s="1"/>
  <c r="AX149"/>
  <c r="AW149"/>
  <c r="AV149"/>
  <c r="AC149"/>
  <c r="H149"/>
  <c r="G149"/>
  <c r="BT148"/>
  <c r="BS148"/>
  <c r="BR148"/>
  <c r="BQ148"/>
  <c r="BP148"/>
  <c r="BO148"/>
  <c r="BN148"/>
  <c r="BM148"/>
  <c r="BL148" s="1"/>
  <c r="BK148"/>
  <c r="BJ148"/>
  <c r="BI148"/>
  <c r="BH148"/>
  <c r="BG148"/>
  <c r="BF148"/>
  <c r="BE148"/>
  <c r="BD148"/>
  <c r="BC148"/>
  <c r="BB148"/>
  <c r="BA148"/>
  <c r="AX148"/>
  <c r="AW148"/>
  <c r="AV148"/>
  <c r="AC148"/>
  <c r="H148"/>
  <c r="BT147"/>
  <c r="BS147"/>
  <c r="BR147"/>
  <c r="BQ147"/>
  <c r="BP147"/>
  <c r="BO147"/>
  <c r="BN147"/>
  <c r="BM147"/>
  <c r="BK147"/>
  <c r="BJ147"/>
  <c r="BI147"/>
  <c r="BH147"/>
  <c r="BG147"/>
  <c r="BF147"/>
  <c r="BE147"/>
  <c r="BD147"/>
  <c r="BC147"/>
  <c r="BB147"/>
  <c r="BA147" s="1"/>
  <c r="AX147"/>
  <c r="AW147"/>
  <c r="AV147"/>
  <c r="AC147"/>
  <c r="H147"/>
  <c r="G147" s="1"/>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H144"/>
  <c r="BT143"/>
  <c r="BS143"/>
  <c r="BR143"/>
  <c r="BQ143"/>
  <c r="BP143"/>
  <c r="BO143"/>
  <c r="BN143"/>
  <c r="BM143"/>
  <c r="BK143"/>
  <c r="BJ143"/>
  <c r="BI143"/>
  <c r="BH143"/>
  <c r="BG143"/>
  <c r="BF143"/>
  <c r="BE143"/>
  <c r="BD143"/>
  <c r="BC143"/>
  <c r="BB143"/>
  <c r="BA143"/>
  <c r="AX143"/>
  <c r="AW143"/>
  <c r="AV143"/>
  <c r="AC143"/>
  <c r="H143"/>
  <c r="G143"/>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c r="BK141"/>
  <c r="BJ141"/>
  <c r="BI141"/>
  <c r="BH141"/>
  <c r="BG141"/>
  <c r="BF141"/>
  <c r="BE141"/>
  <c r="BD141"/>
  <c r="BC141"/>
  <c r="BB141"/>
  <c r="BA141" s="1"/>
  <c r="AZ141" s="1"/>
  <c r="AX141"/>
  <c r="AW141"/>
  <c r="AV141"/>
  <c r="AC141"/>
  <c r="H141"/>
  <c r="G141"/>
  <c r="BT140"/>
  <c r="BS140"/>
  <c r="BR140"/>
  <c r="BQ140"/>
  <c r="BP140"/>
  <c r="BO140"/>
  <c r="BN140"/>
  <c r="BM140"/>
  <c r="BL140" s="1"/>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c r="BK137"/>
  <c r="BJ137"/>
  <c r="BI137"/>
  <c r="BH137"/>
  <c r="BG137"/>
  <c r="BF137"/>
  <c r="BE137"/>
  <c r="BD137"/>
  <c r="BC137"/>
  <c r="BB137"/>
  <c r="BA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c r="AX132"/>
  <c r="AW132"/>
  <c r="AV132"/>
  <c r="AC132"/>
  <c r="H132"/>
  <c r="BT131"/>
  <c r="BS131"/>
  <c r="BR131"/>
  <c r="BQ131"/>
  <c r="BP131"/>
  <c r="BO131"/>
  <c r="BN131"/>
  <c r="BM131"/>
  <c r="BK131"/>
  <c r="BJ131"/>
  <c r="BI131"/>
  <c r="BH131"/>
  <c r="BG131"/>
  <c r="BF131"/>
  <c r="BE131"/>
  <c r="BD131"/>
  <c r="BC131"/>
  <c r="BB131"/>
  <c r="BA131" s="1"/>
  <c r="AX131"/>
  <c r="AW131"/>
  <c r="AV131"/>
  <c r="AC131"/>
  <c r="H131"/>
  <c r="G131" s="1"/>
  <c r="BT130"/>
  <c r="BS130"/>
  <c r="BR130"/>
  <c r="BQ130"/>
  <c r="BP130"/>
  <c r="BO130"/>
  <c r="BN130"/>
  <c r="BM130"/>
  <c r="BL130"/>
  <c r="BK130"/>
  <c r="BJ130"/>
  <c r="BI130"/>
  <c r="BH130"/>
  <c r="BG130"/>
  <c r="BF130"/>
  <c r="BE130"/>
  <c r="BD130"/>
  <c r="BC130"/>
  <c r="BB130"/>
  <c r="AX130"/>
  <c r="AW130"/>
  <c r="AV130"/>
  <c r="AC130"/>
  <c r="H130"/>
  <c r="G130"/>
  <c r="BT129"/>
  <c r="BS129"/>
  <c r="BR129"/>
  <c r="BQ129"/>
  <c r="BP129"/>
  <c r="BO129"/>
  <c r="BN129"/>
  <c r="BM129"/>
  <c r="BL129" s="1"/>
  <c r="BK129"/>
  <c r="BJ129"/>
  <c r="BI129"/>
  <c r="BH129"/>
  <c r="BG129"/>
  <c r="BF129"/>
  <c r="BE129"/>
  <c r="BD129"/>
  <c r="BC129"/>
  <c r="BB129"/>
  <c r="BA129"/>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H128"/>
  <c r="BT127"/>
  <c r="BS127"/>
  <c r="BR127"/>
  <c r="BQ127"/>
  <c r="BP127"/>
  <c r="BO127"/>
  <c r="BN127"/>
  <c r="BM127"/>
  <c r="BK127"/>
  <c r="BJ127"/>
  <c r="BI127"/>
  <c r="BH127"/>
  <c r="BG127"/>
  <c r="BF127"/>
  <c r="BE127"/>
  <c r="BD127"/>
  <c r="BC127"/>
  <c r="BB127"/>
  <c r="BA127"/>
  <c r="AX127"/>
  <c r="AW127"/>
  <c r="AV127"/>
  <c r="AC127"/>
  <c r="H127"/>
  <c r="G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L125"/>
  <c r="BK125"/>
  <c r="BJ125"/>
  <c r="BI125"/>
  <c r="BH125"/>
  <c r="BG125"/>
  <c r="BF125"/>
  <c r="BE125"/>
  <c r="BD125"/>
  <c r="BC125"/>
  <c r="BB125"/>
  <c r="BA125" s="1"/>
  <c r="AZ125" s="1"/>
  <c r="AX125"/>
  <c r="AW125"/>
  <c r="AV125"/>
  <c r="AC125"/>
  <c r="H125"/>
  <c r="G125"/>
  <c r="BT124"/>
  <c r="BS124"/>
  <c r="BR124"/>
  <c r="BQ124"/>
  <c r="BP124"/>
  <c r="BO124"/>
  <c r="BN124"/>
  <c r="BM124"/>
  <c r="BL124" s="1"/>
  <c r="BK124"/>
  <c r="BJ124"/>
  <c r="BI124"/>
  <c r="BH124"/>
  <c r="BG124"/>
  <c r="BF124"/>
  <c r="BE124"/>
  <c r="BD124"/>
  <c r="BC124"/>
  <c r="BB124"/>
  <c r="BA124"/>
  <c r="AX124"/>
  <c r="AW124"/>
  <c r="AV124"/>
  <c r="AC124"/>
  <c r="H124"/>
  <c r="BT123"/>
  <c r="BS123"/>
  <c r="BR123"/>
  <c r="BQ123"/>
  <c r="BP123"/>
  <c r="BO123"/>
  <c r="BN123"/>
  <c r="BM123"/>
  <c r="BK123"/>
  <c r="BJ123"/>
  <c r="BI123"/>
  <c r="BH123"/>
  <c r="BG123"/>
  <c r="BF123"/>
  <c r="BE123"/>
  <c r="BD123"/>
  <c r="BC123"/>
  <c r="BB123"/>
  <c r="BA123"/>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M121"/>
  <c r="BL121"/>
  <c r="BK121"/>
  <c r="BJ121"/>
  <c r="BI121"/>
  <c r="BH121"/>
  <c r="BG121"/>
  <c r="BF121"/>
  <c r="BE121"/>
  <c r="BD121"/>
  <c r="BC121"/>
  <c r="BB121"/>
  <c r="BA121" s="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H120"/>
  <c r="BT119"/>
  <c r="BS119"/>
  <c r="BR119"/>
  <c r="BQ119"/>
  <c r="BP119"/>
  <c r="BO119"/>
  <c r="BN119"/>
  <c r="BM119"/>
  <c r="BK119"/>
  <c r="BJ119"/>
  <c r="BI119"/>
  <c r="BH119"/>
  <c r="BG119"/>
  <c r="BF119"/>
  <c r="BE119"/>
  <c r="BD119"/>
  <c r="BC119"/>
  <c r="BB119"/>
  <c r="BA119"/>
  <c r="AX119"/>
  <c r="AW119"/>
  <c r="AV119"/>
  <c r="AC119"/>
  <c r="H119"/>
  <c r="G119"/>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L117"/>
  <c r="BK117"/>
  <c r="BJ117"/>
  <c r="BI117"/>
  <c r="BH117"/>
  <c r="BG117"/>
  <c r="BF117"/>
  <c r="BE117"/>
  <c r="BD117"/>
  <c r="BC117"/>
  <c r="BB117"/>
  <c r="BA117" s="1"/>
  <c r="AZ117" s="1"/>
  <c r="AX117"/>
  <c r="AW117"/>
  <c r="AV117"/>
  <c r="AC117"/>
  <c r="H117"/>
  <c r="G117"/>
  <c r="BT116"/>
  <c r="BS116"/>
  <c r="BR116"/>
  <c r="BQ116"/>
  <c r="BP116"/>
  <c r="BO116"/>
  <c r="BN116"/>
  <c r="BM116"/>
  <c r="BL116" s="1"/>
  <c r="BK116"/>
  <c r="BJ116"/>
  <c r="BI116"/>
  <c r="BH116"/>
  <c r="BG116"/>
  <c r="BF116"/>
  <c r="BE116"/>
  <c r="BD116"/>
  <c r="BC116"/>
  <c r="BB116"/>
  <c r="BA116"/>
  <c r="AX116"/>
  <c r="AW116"/>
  <c r="AV116"/>
  <c r="AC116"/>
  <c r="H116"/>
  <c r="BT115"/>
  <c r="BS115"/>
  <c r="BR115"/>
  <c r="BQ115"/>
  <c r="BP115"/>
  <c r="BO115"/>
  <c r="BN115"/>
  <c r="BM115"/>
  <c r="BK115"/>
  <c r="BJ115"/>
  <c r="BI115"/>
  <c r="BH115"/>
  <c r="BG115"/>
  <c r="BF115"/>
  <c r="BE115"/>
  <c r="BD115"/>
  <c r="BC115"/>
  <c r="BB115"/>
  <c r="BA115" s="1"/>
  <c r="AX115"/>
  <c r="AW115"/>
  <c r="AV115"/>
  <c r="AC115"/>
  <c r="H115"/>
  <c r="G115" s="1"/>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c r="AX113"/>
  <c r="AW113"/>
  <c r="AV113"/>
  <c r="AC113"/>
  <c r="H113"/>
  <c r="G113" s="1"/>
  <c r="BT296"/>
  <c r="BS296"/>
  <c r="BR296"/>
  <c r="BQ296"/>
  <c r="BP296"/>
  <c r="BO296"/>
  <c r="BN296"/>
  <c r="BM296"/>
  <c r="BL296"/>
  <c r="BK296"/>
  <c r="BJ296"/>
  <c r="BI296"/>
  <c r="BH296"/>
  <c r="BG296"/>
  <c r="BF296"/>
  <c r="BE296"/>
  <c r="BD296"/>
  <c r="BC296"/>
  <c r="BB296"/>
  <c r="BA296" s="1"/>
  <c r="AZ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c r="AZ291" s="1"/>
  <c r="AX291"/>
  <c r="AW291"/>
  <c r="AV291"/>
  <c r="AC291"/>
  <c r="H291"/>
  <c r="G291" s="1"/>
  <c r="BT290"/>
  <c r="BS290"/>
  <c r="BR290"/>
  <c r="BQ290"/>
  <c r="BP290"/>
  <c r="BO290"/>
  <c r="BN290"/>
  <c r="BM290"/>
  <c r="BL290"/>
  <c r="BK290"/>
  <c r="BJ290"/>
  <c r="BI290"/>
  <c r="BH290"/>
  <c r="BG290"/>
  <c r="BF290"/>
  <c r="BE290"/>
  <c r="BD290"/>
  <c r="BC290"/>
  <c r="BB290"/>
  <c r="BA290" s="1"/>
  <c r="AX290"/>
  <c r="AW290"/>
  <c r="AV290"/>
  <c r="AC290"/>
  <c r="H290"/>
  <c r="G290" s="1"/>
  <c r="BT289"/>
  <c r="BS289"/>
  <c r="BR289"/>
  <c r="BQ289"/>
  <c r="BP289"/>
  <c r="BO289"/>
  <c r="BN289"/>
  <c r="BM289"/>
  <c r="BL289"/>
  <c r="BK289"/>
  <c r="BJ289"/>
  <c r="BI289"/>
  <c r="BH289"/>
  <c r="BG289"/>
  <c r="BF289"/>
  <c r="BE289"/>
  <c r="BD289"/>
  <c r="BC289"/>
  <c r="BB289"/>
  <c r="BA289" s="1"/>
  <c r="AX289"/>
  <c r="AW289"/>
  <c r="AV289"/>
  <c r="AC289"/>
  <c r="H289"/>
  <c r="G289" s="1"/>
  <c r="BT288"/>
  <c r="BS288"/>
  <c r="BR288"/>
  <c r="BQ288"/>
  <c r="BP288"/>
  <c r="BO288"/>
  <c r="BN288"/>
  <c r="BM288"/>
  <c r="BL288"/>
  <c r="BK288"/>
  <c r="BJ288"/>
  <c r="BI288"/>
  <c r="BH288"/>
  <c r="BG288"/>
  <c r="BF288"/>
  <c r="BE288"/>
  <c r="BD288"/>
  <c r="BC288"/>
  <c r="BB288"/>
  <c r="BA288" s="1"/>
  <c r="AZ288" s="1"/>
  <c r="AX288"/>
  <c r="AW288"/>
  <c r="AV288"/>
  <c r="AC288"/>
  <c r="H288"/>
  <c r="G288"/>
  <c r="BT287"/>
  <c r="BS287"/>
  <c r="BR287"/>
  <c r="BQ287"/>
  <c r="BP287"/>
  <c r="BO287"/>
  <c r="BN287"/>
  <c r="BM287"/>
  <c r="BL287" s="1"/>
  <c r="BK287"/>
  <c r="BJ287"/>
  <c r="BI287"/>
  <c r="BH287"/>
  <c r="BG287"/>
  <c r="BF287"/>
  <c r="BE287"/>
  <c r="BD287"/>
  <c r="BC287"/>
  <c r="BB287"/>
  <c r="BA287"/>
  <c r="AX287"/>
  <c r="AW287"/>
  <c r="AV287"/>
  <c r="AC287"/>
  <c r="H287"/>
  <c r="G287" s="1"/>
  <c r="BT286"/>
  <c r="BS286"/>
  <c r="BR286"/>
  <c r="BQ286"/>
  <c r="BP286"/>
  <c r="BO286"/>
  <c r="BN286"/>
  <c r="BM286"/>
  <c r="BL286"/>
  <c r="BK286"/>
  <c r="BJ286"/>
  <c r="BI286"/>
  <c r="BH286"/>
  <c r="BG286"/>
  <c r="BF286"/>
  <c r="BE286"/>
  <c r="BD286"/>
  <c r="BC286"/>
  <c r="BB286"/>
  <c r="BA286" s="1"/>
  <c r="AX286"/>
  <c r="AW286"/>
  <c r="AV286"/>
  <c r="AC286"/>
  <c r="H286"/>
  <c r="G286" s="1"/>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c r="BT283"/>
  <c r="BS283"/>
  <c r="BR283"/>
  <c r="BQ283"/>
  <c r="BP283"/>
  <c r="BO283"/>
  <c r="BN283"/>
  <c r="BM283"/>
  <c r="BL283" s="1"/>
  <c r="BK283"/>
  <c r="BJ283"/>
  <c r="BI283"/>
  <c r="BH283"/>
  <c r="BG283"/>
  <c r="BF283"/>
  <c r="BE283"/>
  <c r="BD283"/>
  <c r="BC283"/>
  <c r="BB283"/>
  <c r="BA283"/>
  <c r="AZ283" s="1"/>
  <c r="AX283"/>
  <c r="AW283"/>
  <c r="AV283"/>
  <c r="AC283"/>
  <c r="H283"/>
  <c r="G283" s="1"/>
  <c r="BT282"/>
  <c r="BS282"/>
  <c r="BR282"/>
  <c r="BQ282"/>
  <c r="BP282"/>
  <c r="BO282"/>
  <c r="BN282"/>
  <c r="BM282"/>
  <c r="BL282"/>
  <c r="BK282"/>
  <c r="BJ282"/>
  <c r="BI282"/>
  <c r="BH282"/>
  <c r="BG282"/>
  <c r="BF282"/>
  <c r="BE282"/>
  <c r="BD282"/>
  <c r="BC282"/>
  <c r="BB282"/>
  <c r="BA282" s="1"/>
  <c r="AX282"/>
  <c r="AW282"/>
  <c r="AV282"/>
  <c r="AC282"/>
  <c r="H282"/>
  <c r="G282" s="1"/>
  <c r="BT281"/>
  <c r="BS281"/>
  <c r="BR281"/>
  <c r="BQ281"/>
  <c r="BP281"/>
  <c r="BO281"/>
  <c r="BN281"/>
  <c r="BM281"/>
  <c r="BL281"/>
  <c r="BK281"/>
  <c r="BJ281"/>
  <c r="BI281"/>
  <c r="BH281"/>
  <c r="BG281"/>
  <c r="BF281"/>
  <c r="BE281"/>
  <c r="BD281"/>
  <c r="BC281"/>
  <c r="BB281"/>
  <c r="BA281" s="1"/>
  <c r="AX281"/>
  <c r="AW281"/>
  <c r="AV281"/>
  <c r="AC281"/>
  <c r="H281"/>
  <c r="G281" s="1"/>
  <c r="BT280"/>
  <c r="BS280"/>
  <c r="BR280"/>
  <c r="BQ280"/>
  <c r="BP280"/>
  <c r="BO280"/>
  <c r="BN280"/>
  <c r="BM280"/>
  <c r="BL280"/>
  <c r="BK280"/>
  <c r="BJ280"/>
  <c r="BI280"/>
  <c r="BH280"/>
  <c r="BG280"/>
  <c r="BF280"/>
  <c r="BE280"/>
  <c r="BD280"/>
  <c r="BC280"/>
  <c r="BB280"/>
  <c r="BA280" s="1"/>
  <c r="AZ280"/>
  <c r="AX280"/>
  <c r="AW280"/>
  <c r="AV280"/>
  <c r="AC280"/>
  <c r="H280"/>
  <c r="G280"/>
  <c r="BT279"/>
  <c r="BS279"/>
  <c r="BR279"/>
  <c r="BQ279"/>
  <c r="BP279"/>
  <c r="BO279"/>
  <c r="BN279"/>
  <c r="BM279"/>
  <c r="BL279" s="1"/>
  <c r="BK279"/>
  <c r="BJ279"/>
  <c r="BI279"/>
  <c r="BH279"/>
  <c r="BG279"/>
  <c r="BF279"/>
  <c r="BE279"/>
  <c r="BD279"/>
  <c r="BC279"/>
  <c r="BB279"/>
  <c r="BA279"/>
  <c r="AX279"/>
  <c r="AW279"/>
  <c r="AV279"/>
  <c r="AC279"/>
  <c r="H279"/>
  <c r="G279" s="1"/>
  <c r="BT278"/>
  <c r="BS278"/>
  <c r="BR278"/>
  <c r="BQ278"/>
  <c r="BP278"/>
  <c r="BO278"/>
  <c r="BN278"/>
  <c r="BM278"/>
  <c r="BL278"/>
  <c r="BK278"/>
  <c r="BJ278"/>
  <c r="BI278"/>
  <c r="BH278"/>
  <c r="BG278"/>
  <c r="BF278"/>
  <c r="BE278"/>
  <c r="BD278"/>
  <c r="BC278"/>
  <c r="BB278"/>
  <c r="BA278" s="1"/>
  <c r="AX278"/>
  <c r="AW278"/>
  <c r="AV278"/>
  <c r="AC278"/>
  <c r="H278"/>
  <c r="G278" s="1"/>
  <c r="BT277"/>
  <c r="BS277"/>
  <c r="BR277"/>
  <c r="BQ277"/>
  <c r="BP277"/>
  <c r="BO277"/>
  <c r="BN277"/>
  <c r="BM277"/>
  <c r="BL277"/>
  <c r="BK277"/>
  <c r="BJ277"/>
  <c r="BI277"/>
  <c r="BH277"/>
  <c r="BG277"/>
  <c r="BF277"/>
  <c r="BE277"/>
  <c r="BD277"/>
  <c r="BC277"/>
  <c r="BB277"/>
  <c r="BA277" s="1"/>
  <c r="AZ277"/>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c r="BT275"/>
  <c r="BS275"/>
  <c r="BR275"/>
  <c r="BQ275"/>
  <c r="BP275"/>
  <c r="BO275"/>
  <c r="BN275"/>
  <c r="BM275"/>
  <c r="BL275" s="1"/>
  <c r="BK275"/>
  <c r="BJ275"/>
  <c r="BI275"/>
  <c r="BH275"/>
  <c r="BG275"/>
  <c r="BF275"/>
  <c r="BE275"/>
  <c r="BD275"/>
  <c r="BC275"/>
  <c r="BB275"/>
  <c r="BA275"/>
  <c r="AZ275" s="1"/>
  <c r="AX275"/>
  <c r="AW275"/>
  <c r="AV275"/>
  <c r="AC275"/>
  <c r="H275"/>
  <c r="G275" s="1"/>
  <c r="BT274"/>
  <c r="BS274"/>
  <c r="BR274"/>
  <c r="BQ274"/>
  <c r="BP274"/>
  <c r="BO274"/>
  <c r="BN274"/>
  <c r="BM274"/>
  <c r="BL274"/>
  <c r="BK274"/>
  <c r="BJ274"/>
  <c r="BI274"/>
  <c r="BH274"/>
  <c r="BG274"/>
  <c r="BF274"/>
  <c r="BE274"/>
  <c r="BD274"/>
  <c r="BC274"/>
  <c r="BB274"/>
  <c r="BA274" s="1"/>
  <c r="AX274"/>
  <c r="AW274"/>
  <c r="AV274"/>
  <c r="AC274"/>
  <c r="H274"/>
  <c r="G274" s="1"/>
  <c r="BT273"/>
  <c r="BS273"/>
  <c r="BR273"/>
  <c r="BQ273"/>
  <c r="BP273"/>
  <c r="BO273"/>
  <c r="BN273"/>
  <c r="BM273"/>
  <c r="BL273"/>
  <c r="BK273"/>
  <c r="BJ273"/>
  <c r="BI273"/>
  <c r="BH273"/>
  <c r="BG273"/>
  <c r="BF273"/>
  <c r="BE273"/>
  <c r="BD273"/>
  <c r="BC273"/>
  <c r="BB273"/>
  <c r="BA273" s="1"/>
  <c r="AX273"/>
  <c r="AW273"/>
  <c r="AV273"/>
  <c r="AC273"/>
  <c r="H273"/>
  <c r="G273" s="1"/>
  <c r="BT272"/>
  <c r="BS272"/>
  <c r="BR272"/>
  <c r="BQ272"/>
  <c r="BP272"/>
  <c r="BO272"/>
  <c r="BN272"/>
  <c r="BM272"/>
  <c r="BL272"/>
  <c r="BK272"/>
  <c r="BJ272"/>
  <c r="BI272"/>
  <c r="BH272"/>
  <c r="BG272"/>
  <c r="BF272"/>
  <c r="BE272"/>
  <c r="BD272"/>
  <c r="BC272"/>
  <c r="BB272"/>
  <c r="BA272" s="1"/>
  <c r="AZ272" s="1"/>
  <c r="AX272"/>
  <c r="AW272"/>
  <c r="AV272"/>
  <c r="AC272"/>
  <c r="H272"/>
  <c r="G272"/>
  <c r="BT271"/>
  <c r="BS271"/>
  <c r="BR271"/>
  <c r="BQ271"/>
  <c r="BP271"/>
  <c r="BO271"/>
  <c r="BN271"/>
  <c r="BM271"/>
  <c r="BL271" s="1"/>
  <c r="BK271"/>
  <c r="BJ271"/>
  <c r="BI271"/>
  <c r="BH271"/>
  <c r="BG271"/>
  <c r="BF271"/>
  <c r="BE271"/>
  <c r="BD271"/>
  <c r="BC271"/>
  <c r="BB271"/>
  <c r="BA271"/>
  <c r="AZ271" s="1"/>
  <c r="AX271"/>
  <c r="AW271"/>
  <c r="AV271"/>
  <c r="AC271"/>
  <c r="H271"/>
  <c r="G271" s="1"/>
  <c r="BT270"/>
  <c r="BS270"/>
  <c r="BR270"/>
  <c r="BQ270"/>
  <c r="BP270"/>
  <c r="BO270"/>
  <c r="BN270"/>
  <c r="BM270"/>
  <c r="BL270"/>
  <c r="BK270"/>
  <c r="BJ270"/>
  <c r="BI270"/>
  <c r="BH270"/>
  <c r="BG270"/>
  <c r="BF270"/>
  <c r="BE270"/>
  <c r="BD270"/>
  <c r="BC270"/>
  <c r="BB270"/>
  <c r="BA270" s="1"/>
  <c r="AX270"/>
  <c r="AW270"/>
  <c r="AV270"/>
  <c r="AC270"/>
  <c r="H270"/>
  <c r="G270" s="1"/>
  <c r="BT269"/>
  <c r="BS269"/>
  <c r="BR269"/>
  <c r="BQ269"/>
  <c r="BP269"/>
  <c r="BO269"/>
  <c r="BN269"/>
  <c r="BM269"/>
  <c r="BL269"/>
  <c r="BK269"/>
  <c r="BJ269"/>
  <c r="BI269"/>
  <c r="BH269"/>
  <c r="BG269"/>
  <c r="BF269"/>
  <c r="BE269"/>
  <c r="BD269"/>
  <c r="BC269"/>
  <c r="BB269"/>
  <c r="BA269" s="1"/>
  <c r="AZ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c r="BT267"/>
  <c r="BS267"/>
  <c r="BR267"/>
  <c r="BQ267"/>
  <c r="BP267"/>
  <c r="BO267"/>
  <c r="BN267"/>
  <c r="BM267"/>
  <c r="BL267" s="1"/>
  <c r="BK267"/>
  <c r="BJ267"/>
  <c r="BI267"/>
  <c r="BH267"/>
  <c r="BG267"/>
  <c r="BF267"/>
  <c r="BE267"/>
  <c r="BD267"/>
  <c r="BC267"/>
  <c r="BB267"/>
  <c r="BA267"/>
  <c r="AZ267" s="1"/>
  <c r="AX267"/>
  <c r="AW267"/>
  <c r="AV267"/>
  <c r="AC267"/>
  <c r="H267"/>
  <c r="G267" s="1"/>
  <c r="BT266"/>
  <c r="BS266"/>
  <c r="BR266"/>
  <c r="BQ266"/>
  <c r="BP266"/>
  <c r="BO266"/>
  <c r="BN266"/>
  <c r="BM266"/>
  <c r="BL266"/>
  <c r="BK266"/>
  <c r="BJ266"/>
  <c r="BI266"/>
  <c r="BH266"/>
  <c r="BG266"/>
  <c r="BF266"/>
  <c r="BE266"/>
  <c r="BD266"/>
  <c r="BC266"/>
  <c r="BB266"/>
  <c r="BA266" s="1"/>
  <c r="AZ266"/>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c r="AZ264" s="1"/>
  <c r="AX264"/>
  <c r="AW264"/>
  <c r="AV264"/>
  <c r="AC264"/>
  <c r="H264"/>
  <c r="G264" s="1"/>
  <c r="BT263"/>
  <c r="BS263"/>
  <c r="BR263"/>
  <c r="BQ263"/>
  <c r="BP263"/>
  <c r="BO263"/>
  <c r="BN263"/>
  <c r="BM263"/>
  <c r="BL263"/>
  <c r="BK263"/>
  <c r="BJ263"/>
  <c r="BI263"/>
  <c r="BH263"/>
  <c r="BG263"/>
  <c r="BF263"/>
  <c r="BE263"/>
  <c r="BD263"/>
  <c r="BC263"/>
  <c r="BB263"/>
  <c r="BA263" s="1"/>
  <c r="AX263"/>
  <c r="AW263"/>
  <c r="AV263"/>
  <c r="AC263"/>
  <c r="H263"/>
  <c r="G263" s="1"/>
  <c r="BT262"/>
  <c r="BS262"/>
  <c r="BR262"/>
  <c r="BQ262"/>
  <c r="BP262"/>
  <c r="BO262"/>
  <c r="BN262"/>
  <c r="BM262"/>
  <c r="BL262"/>
  <c r="BK262"/>
  <c r="BJ262"/>
  <c r="BI262"/>
  <c r="BH262"/>
  <c r="BG262"/>
  <c r="BF262"/>
  <c r="BE262"/>
  <c r="BD262"/>
  <c r="BC262"/>
  <c r="BB262"/>
  <c r="BA262" s="1"/>
  <c r="AZ262"/>
  <c r="AX262"/>
  <c r="AW262"/>
  <c r="AV262"/>
  <c r="AC262"/>
  <c r="H262"/>
  <c r="G262"/>
  <c r="BT261"/>
  <c r="BS261"/>
  <c r="BR261"/>
  <c r="BQ261"/>
  <c r="BP261"/>
  <c r="BO261"/>
  <c r="BN261"/>
  <c r="BM261"/>
  <c r="BL261" s="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c r="BT259"/>
  <c r="BS259"/>
  <c r="BR259"/>
  <c r="BQ259"/>
  <c r="BP259"/>
  <c r="BO259"/>
  <c r="BN259"/>
  <c r="BM259"/>
  <c r="BL259" s="1"/>
  <c r="BK259"/>
  <c r="BJ259"/>
  <c r="BI259"/>
  <c r="BH259"/>
  <c r="BG259"/>
  <c r="BF259"/>
  <c r="BE259"/>
  <c r="BD259"/>
  <c r="BC259"/>
  <c r="BB259"/>
  <c r="BA259"/>
  <c r="AX259"/>
  <c r="AW259"/>
  <c r="AV259"/>
  <c r="AC259"/>
  <c r="H259"/>
  <c r="G259" s="1"/>
  <c r="BT258"/>
  <c r="BS258"/>
  <c r="BR258"/>
  <c r="BQ258"/>
  <c r="BP258"/>
  <c r="BO258"/>
  <c r="BN258"/>
  <c r="BM258"/>
  <c r="BL258"/>
  <c r="BK258"/>
  <c r="BJ258"/>
  <c r="BI258"/>
  <c r="BH258"/>
  <c r="BG258"/>
  <c r="BF258"/>
  <c r="BE258"/>
  <c r="BD258"/>
  <c r="BC258"/>
  <c r="BB258"/>
  <c r="BA258" s="1"/>
  <c r="AZ258"/>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c r="BT256"/>
  <c r="BS256"/>
  <c r="BR256"/>
  <c r="BQ256"/>
  <c r="BP256"/>
  <c r="BO256"/>
  <c r="BN256"/>
  <c r="BM256"/>
  <c r="BL256" s="1"/>
  <c r="BK256"/>
  <c r="BJ256"/>
  <c r="BI256"/>
  <c r="BH256"/>
  <c r="BG256"/>
  <c r="BF256"/>
  <c r="BE256"/>
  <c r="BD256"/>
  <c r="BC256"/>
  <c r="BB256"/>
  <c r="BA256"/>
  <c r="AZ256" s="1"/>
  <c r="AX256"/>
  <c r="AW256"/>
  <c r="AV256"/>
  <c r="AC256"/>
  <c r="H256"/>
  <c r="G256" s="1"/>
  <c r="BT255"/>
  <c r="BS255"/>
  <c r="BR255"/>
  <c r="BQ255"/>
  <c r="BP255"/>
  <c r="BO255"/>
  <c r="BN255"/>
  <c r="BM255"/>
  <c r="BL255"/>
  <c r="BK255"/>
  <c r="BJ255"/>
  <c r="BI255"/>
  <c r="BH255"/>
  <c r="BG255"/>
  <c r="BF255"/>
  <c r="BE255"/>
  <c r="BD255"/>
  <c r="BC255"/>
  <c r="BB255"/>
  <c r="BA255" s="1"/>
  <c r="AX255"/>
  <c r="AW255"/>
  <c r="AV255"/>
  <c r="AC255"/>
  <c r="H255"/>
  <c r="G255" s="1"/>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c r="AZ251" s="1"/>
  <c r="AX251"/>
  <c r="AW251"/>
  <c r="AV251"/>
  <c r="AC251"/>
  <c r="H251"/>
  <c r="G251" s="1"/>
  <c r="BT250"/>
  <c r="BS250"/>
  <c r="BR250"/>
  <c r="BQ250"/>
  <c r="BP250"/>
  <c r="BO250"/>
  <c r="BN250"/>
  <c r="BM250"/>
  <c r="BL250"/>
  <c r="BK250"/>
  <c r="BJ250"/>
  <c r="BI250"/>
  <c r="BH250"/>
  <c r="BG250"/>
  <c r="BF250"/>
  <c r="BE250"/>
  <c r="BD250"/>
  <c r="BC250"/>
  <c r="BB250"/>
  <c r="BA250" s="1"/>
  <c r="AZ250"/>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G249"/>
  <c r="BT248"/>
  <c r="BS248"/>
  <c r="BR248"/>
  <c r="BQ248"/>
  <c r="BP248"/>
  <c r="BO248"/>
  <c r="BN248"/>
  <c r="BM248"/>
  <c r="BL248" s="1"/>
  <c r="BK248"/>
  <c r="BJ248"/>
  <c r="BI248"/>
  <c r="BH248"/>
  <c r="BG248"/>
  <c r="BF248"/>
  <c r="BE248"/>
  <c r="BD248"/>
  <c r="BC248"/>
  <c r="BB248"/>
  <c r="BA248"/>
  <c r="AZ248" s="1"/>
  <c r="AX248"/>
  <c r="AW248"/>
  <c r="AV248"/>
  <c r="AC248"/>
  <c r="H248"/>
  <c r="G248" s="1"/>
  <c r="BT247"/>
  <c r="BS247"/>
  <c r="BR247"/>
  <c r="BQ247"/>
  <c r="BP247"/>
  <c r="BO247"/>
  <c r="BN247"/>
  <c r="BM247"/>
  <c r="BL247"/>
  <c r="BK247"/>
  <c r="BJ247"/>
  <c r="BI247"/>
  <c r="BH247"/>
  <c r="BG247"/>
  <c r="BF247"/>
  <c r="BE247"/>
  <c r="BD247"/>
  <c r="BC247"/>
  <c r="BB247"/>
  <c r="BA247" s="1"/>
  <c r="AX247"/>
  <c r="AW247"/>
  <c r="AV247"/>
  <c r="AC247"/>
  <c r="H247"/>
  <c r="G247" s="1"/>
  <c r="BT246"/>
  <c r="BS246"/>
  <c r="BR246"/>
  <c r="BQ246"/>
  <c r="BP246"/>
  <c r="BO246"/>
  <c r="BN246"/>
  <c r="BM246"/>
  <c r="BL246"/>
  <c r="BK246"/>
  <c r="BJ246"/>
  <c r="BI246"/>
  <c r="BH246"/>
  <c r="BG246"/>
  <c r="BF246"/>
  <c r="BE246"/>
  <c r="BD246"/>
  <c r="BC246"/>
  <c r="BB246"/>
  <c r="BA246" s="1"/>
  <c r="AZ246"/>
  <c r="AX246"/>
  <c r="AW246"/>
  <c r="AV246"/>
  <c r="AC246"/>
  <c r="H246"/>
  <c r="G246"/>
  <c r="BT245"/>
  <c r="BS245"/>
  <c r="BR245"/>
  <c r="BQ245"/>
  <c r="BP245"/>
  <c r="BO245"/>
  <c r="BN245"/>
  <c r="BM245"/>
  <c r="BL245" s="1"/>
  <c r="BK245"/>
  <c r="BJ245"/>
  <c r="BI245"/>
  <c r="BH245"/>
  <c r="BG245"/>
  <c r="BF245"/>
  <c r="BE245"/>
  <c r="BD245"/>
  <c r="BC245"/>
  <c r="BB245"/>
  <c r="BA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c r="BT243"/>
  <c r="BS243"/>
  <c r="BR243"/>
  <c r="BQ243"/>
  <c r="BP243"/>
  <c r="BO243"/>
  <c r="BN243"/>
  <c r="BM243"/>
  <c r="BL243" s="1"/>
  <c r="BK243"/>
  <c r="BJ243"/>
  <c r="BI243"/>
  <c r="BH243"/>
  <c r="BG243"/>
  <c r="BF243"/>
  <c r="BE243"/>
  <c r="BD243"/>
  <c r="BC243"/>
  <c r="BB243"/>
  <c r="BA243"/>
  <c r="AX243"/>
  <c r="AW243"/>
  <c r="AV243"/>
  <c r="AC243"/>
  <c r="H243"/>
  <c r="G243" s="1"/>
  <c r="BT242"/>
  <c r="BS242"/>
  <c r="BR242"/>
  <c r="BQ242"/>
  <c r="BP242"/>
  <c r="BO242"/>
  <c r="BN242"/>
  <c r="BM242"/>
  <c r="BL242"/>
  <c r="BK242"/>
  <c r="BJ242"/>
  <c r="BI242"/>
  <c r="BH242"/>
  <c r="BG242"/>
  <c r="BF242"/>
  <c r="BE242"/>
  <c r="BD242"/>
  <c r="BC242"/>
  <c r="BB242"/>
  <c r="BA242" s="1"/>
  <c r="AZ242"/>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c r="BT240"/>
  <c r="BS240"/>
  <c r="BR240"/>
  <c r="BQ240"/>
  <c r="BP240"/>
  <c r="BO240"/>
  <c r="BN240"/>
  <c r="BM240"/>
  <c r="BL240" s="1"/>
  <c r="BK240"/>
  <c r="BJ240"/>
  <c r="BI240"/>
  <c r="BH240"/>
  <c r="BG240"/>
  <c r="BF240"/>
  <c r="BE240"/>
  <c r="BD240"/>
  <c r="BC240"/>
  <c r="BB240"/>
  <c r="BA240"/>
  <c r="AZ240" s="1"/>
  <c r="AX240"/>
  <c r="AW240"/>
  <c r="AV240"/>
  <c r="AC240"/>
  <c r="H240"/>
  <c r="G240"/>
  <c r="BT239"/>
  <c r="BS239"/>
  <c r="BR239"/>
  <c r="BQ239"/>
  <c r="BP239"/>
  <c r="BO239"/>
  <c r="BN239"/>
  <c r="BM239"/>
  <c r="BL239" s="1"/>
  <c r="BK239"/>
  <c r="BJ239"/>
  <c r="BI239"/>
  <c r="BH239"/>
  <c r="BG239"/>
  <c r="BF239"/>
  <c r="BE239"/>
  <c r="BD239"/>
  <c r="BC239"/>
  <c r="BB239"/>
  <c r="BA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X237"/>
  <c r="AW237"/>
  <c r="AV237"/>
  <c r="AC237"/>
  <c r="H237"/>
  <c r="G237" s="1"/>
  <c r="BT236"/>
  <c r="BS236"/>
  <c r="BR236"/>
  <c r="BQ236"/>
  <c r="BP236"/>
  <c r="BO236"/>
  <c r="BN236"/>
  <c r="BM236"/>
  <c r="BL236"/>
  <c r="BK236"/>
  <c r="BJ236"/>
  <c r="BI236"/>
  <c r="BH236"/>
  <c r="BG236"/>
  <c r="BF236"/>
  <c r="BE236"/>
  <c r="BD236"/>
  <c r="BC236"/>
  <c r="BB236"/>
  <c r="BA236" s="1"/>
  <c r="AX236"/>
  <c r="AW236"/>
  <c r="AV236"/>
  <c r="AC236"/>
  <c r="H236"/>
  <c r="G236" s="1"/>
  <c r="BT235"/>
  <c r="BS235"/>
  <c r="BR235"/>
  <c r="BQ235"/>
  <c r="BP235"/>
  <c r="BO235"/>
  <c r="BN235"/>
  <c r="BM235"/>
  <c r="BL235"/>
  <c r="BK235"/>
  <c r="BJ235"/>
  <c r="BI235"/>
  <c r="BH235"/>
  <c r="BG235"/>
  <c r="BF235"/>
  <c r="BE235"/>
  <c r="BD235"/>
  <c r="BC235"/>
  <c r="BB235"/>
  <c r="BA235" s="1"/>
  <c r="AZ235" s="1"/>
  <c r="AX235"/>
  <c r="AW235"/>
  <c r="AV235"/>
  <c r="AC235"/>
  <c r="H235"/>
  <c r="G235"/>
  <c r="BT234"/>
  <c r="BS234"/>
  <c r="BR234"/>
  <c r="BQ234"/>
  <c r="BP234"/>
  <c r="BO234"/>
  <c r="BN234"/>
  <c r="BM234"/>
  <c r="BL234" s="1"/>
  <c r="BK234"/>
  <c r="BJ234"/>
  <c r="BI234"/>
  <c r="BH234"/>
  <c r="BG234"/>
  <c r="BF234"/>
  <c r="BE234"/>
  <c r="BD234"/>
  <c r="BC234"/>
  <c r="BB234"/>
  <c r="BA234"/>
  <c r="AZ234" s="1"/>
  <c r="AX234"/>
  <c r="AW234"/>
  <c r="AV234"/>
  <c r="AC234"/>
  <c r="H234"/>
  <c r="G234" s="1"/>
  <c r="BT233"/>
  <c r="BS233"/>
  <c r="BR233"/>
  <c r="BQ233"/>
  <c r="BP233"/>
  <c r="BO233"/>
  <c r="BN233"/>
  <c r="BM233"/>
  <c r="BL233"/>
  <c r="BK233"/>
  <c r="BJ233"/>
  <c r="BI233"/>
  <c r="BH233"/>
  <c r="BG233"/>
  <c r="BF233"/>
  <c r="BE233"/>
  <c r="BD233"/>
  <c r="BC233"/>
  <c r="BB233"/>
  <c r="BA233" s="1"/>
  <c r="AX233"/>
  <c r="AW233"/>
  <c r="AV233"/>
  <c r="AC233"/>
  <c r="H233"/>
  <c r="G233" s="1"/>
  <c r="BT232"/>
  <c r="BS232"/>
  <c r="BR232"/>
  <c r="BQ232"/>
  <c r="BP232"/>
  <c r="BO232"/>
  <c r="BN232"/>
  <c r="BM232"/>
  <c r="BL232"/>
  <c r="BK232"/>
  <c r="BJ232"/>
  <c r="BI232"/>
  <c r="BH232"/>
  <c r="BG232"/>
  <c r="BF232"/>
  <c r="BE232"/>
  <c r="BD232"/>
  <c r="BC232"/>
  <c r="BB232"/>
  <c r="BA232" s="1"/>
  <c r="AZ232" s="1"/>
  <c r="AX232"/>
  <c r="AW232"/>
  <c r="AV232"/>
  <c r="AC232"/>
  <c r="H232"/>
  <c r="G232"/>
  <c r="BT231"/>
  <c r="BS231"/>
  <c r="BR231"/>
  <c r="BQ231"/>
  <c r="BP231"/>
  <c r="BO231"/>
  <c r="BN231"/>
  <c r="BM231"/>
  <c r="BL231" s="1"/>
  <c r="BK231"/>
  <c r="BJ231"/>
  <c r="BI231"/>
  <c r="BH231"/>
  <c r="BG231"/>
  <c r="BF231"/>
  <c r="BE231"/>
  <c r="BD231"/>
  <c r="BC231"/>
  <c r="BB231"/>
  <c r="BA231"/>
  <c r="AX231"/>
  <c r="AW231"/>
  <c r="AV231"/>
  <c r="AC231"/>
  <c r="H231"/>
  <c r="G231"/>
  <c r="BT230"/>
  <c r="BS230"/>
  <c r="BR230"/>
  <c r="BQ230"/>
  <c r="BP230"/>
  <c r="BO230"/>
  <c r="BN230"/>
  <c r="BM230"/>
  <c r="BL230" s="1"/>
  <c r="BK230"/>
  <c r="BJ230"/>
  <c r="BI230"/>
  <c r="BH230"/>
  <c r="BG230"/>
  <c r="BF230"/>
  <c r="BE230"/>
  <c r="BD230"/>
  <c r="BC230"/>
  <c r="BB230"/>
  <c r="BA230"/>
  <c r="AZ230" s="1"/>
  <c r="AX230"/>
  <c r="AW230"/>
  <c r="AV230"/>
  <c r="AC230"/>
  <c r="H230"/>
  <c r="G230" s="1"/>
  <c r="BT229"/>
  <c r="BS229"/>
  <c r="BR229"/>
  <c r="BQ229"/>
  <c r="BP229"/>
  <c r="BO229"/>
  <c r="BN229"/>
  <c r="BM229"/>
  <c r="BL229"/>
  <c r="BK229"/>
  <c r="BJ229"/>
  <c r="BI229"/>
  <c r="BH229"/>
  <c r="BG229"/>
  <c r="BF229"/>
  <c r="BE229"/>
  <c r="BD229"/>
  <c r="BC229"/>
  <c r="BB229"/>
  <c r="BA229" s="1"/>
  <c r="AX229"/>
  <c r="AW229"/>
  <c r="AV229"/>
  <c r="AC229"/>
  <c r="H229"/>
  <c r="G229" s="1"/>
  <c r="BT228"/>
  <c r="BS228"/>
  <c r="BR228"/>
  <c r="BQ228"/>
  <c r="BP228"/>
  <c r="BO228"/>
  <c r="BN228"/>
  <c r="BM228"/>
  <c r="BL228"/>
  <c r="BK228"/>
  <c r="BJ228"/>
  <c r="BI228"/>
  <c r="BH228"/>
  <c r="BG228"/>
  <c r="BF228"/>
  <c r="BE228"/>
  <c r="BD228"/>
  <c r="BC228"/>
  <c r="BB228"/>
  <c r="BA228" s="1"/>
  <c r="AX228"/>
  <c r="AW228"/>
  <c r="AV228"/>
  <c r="AC228"/>
  <c r="H228"/>
  <c r="G228" s="1"/>
  <c r="BT227"/>
  <c r="BS227"/>
  <c r="BR227"/>
  <c r="BQ227"/>
  <c r="BP227"/>
  <c r="BO227"/>
  <c r="BN227"/>
  <c r="BM227"/>
  <c r="BL227"/>
  <c r="BK227"/>
  <c r="BJ227"/>
  <c r="BI227"/>
  <c r="BH227"/>
  <c r="BG227"/>
  <c r="BF227"/>
  <c r="BE227"/>
  <c r="BD227"/>
  <c r="BC227"/>
  <c r="BB227"/>
  <c r="BA227" s="1"/>
  <c r="AZ227" s="1"/>
  <c r="AX227"/>
  <c r="AW227"/>
  <c r="AV227"/>
  <c r="AC227"/>
  <c r="H227"/>
  <c r="G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X225"/>
  <c r="AW225"/>
  <c r="AV225"/>
  <c r="AC225"/>
  <c r="H225"/>
  <c r="G225" s="1"/>
  <c r="BT224"/>
  <c r="BS224"/>
  <c r="BR224"/>
  <c r="BQ224"/>
  <c r="BP224"/>
  <c r="BO224"/>
  <c r="BN224"/>
  <c r="BM224"/>
  <c r="BL224"/>
  <c r="BK224"/>
  <c r="BJ224"/>
  <c r="BI224"/>
  <c r="BH224"/>
  <c r="BG224"/>
  <c r="BF224"/>
  <c r="BE224"/>
  <c r="BD224"/>
  <c r="BC224"/>
  <c r="BB224"/>
  <c r="BA224" s="1"/>
  <c r="AZ224" s="1"/>
  <c r="AX224"/>
  <c r="AW224"/>
  <c r="AV224"/>
  <c r="AC224"/>
  <c r="H224"/>
  <c r="G224"/>
  <c r="BT223"/>
  <c r="BS223"/>
  <c r="BR223"/>
  <c r="BQ223"/>
  <c r="BP223"/>
  <c r="BO223"/>
  <c r="BN223"/>
  <c r="BM223"/>
  <c r="BL223" s="1"/>
  <c r="BK223"/>
  <c r="BJ223"/>
  <c r="BI223"/>
  <c r="BH223"/>
  <c r="BG223"/>
  <c r="BF223"/>
  <c r="BE223"/>
  <c r="BD223"/>
  <c r="BC223"/>
  <c r="BB223"/>
  <c r="BA223"/>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N221"/>
  <c r="BM221"/>
  <c r="BL221"/>
  <c r="BK221"/>
  <c r="BJ221"/>
  <c r="BI221"/>
  <c r="BH221"/>
  <c r="BG221"/>
  <c r="BF221"/>
  <c r="BE221"/>
  <c r="BD221"/>
  <c r="BC221"/>
  <c r="BB221"/>
  <c r="BA221" s="1"/>
  <c r="AX221"/>
  <c r="AW221"/>
  <c r="AV221"/>
  <c r="AC221"/>
  <c r="H221"/>
  <c r="G221" s="1"/>
  <c r="BT220"/>
  <c r="BS220"/>
  <c r="BR220"/>
  <c r="BQ220"/>
  <c r="BP220"/>
  <c r="BO220"/>
  <c r="BN220"/>
  <c r="BM220"/>
  <c r="BL220"/>
  <c r="BK220"/>
  <c r="BJ220"/>
  <c r="BI220"/>
  <c r="BH220"/>
  <c r="BG220"/>
  <c r="BF220"/>
  <c r="BE220"/>
  <c r="BD220"/>
  <c r="BC220"/>
  <c r="BB220"/>
  <c r="BA220" s="1"/>
  <c r="AX220"/>
  <c r="AW220"/>
  <c r="AV220"/>
  <c r="AC220"/>
  <c r="H220"/>
  <c r="G220" s="1"/>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c r="AZ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c r="AZ214" s="1"/>
  <c r="AX214"/>
  <c r="AW214"/>
  <c r="AV214"/>
  <c r="AC214"/>
  <c r="H214"/>
  <c r="G214" s="1"/>
  <c r="BT213"/>
  <c r="BS213"/>
  <c r="BR213"/>
  <c r="BQ213"/>
  <c r="BP213"/>
  <c r="BO213"/>
  <c r="BN213"/>
  <c r="BM213"/>
  <c r="BL213"/>
  <c r="BK213"/>
  <c r="BJ213"/>
  <c r="BI213"/>
  <c r="BH213"/>
  <c r="BG213"/>
  <c r="BF213"/>
  <c r="BE213"/>
  <c r="BD213"/>
  <c r="BC213"/>
  <c r="BB213"/>
  <c r="BA213" s="1"/>
  <c r="AX213"/>
  <c r="AW213"/>
  <c r="AV213"/>
  <c r="AC213"/>
  <c r="H213"/>
  <c r="G213" s="1"/>
  <c r="BT212"/>
  <c r="BS212"/>
  <c r="BR212"/>
  <c r="BQ212"/>
  <c r="BP212"/>
  <c r="BO212"/>
  <c r="BN212"/>
  <c r="BM212"/>
  <c r="BL212"/>
  <c r="BK212"/>
  <c r="BJ212"/>
  <c r="BI212"/>
  <c r="BH212"/>
  <c r="BG212"/>
  <c r="BF212"/>
  <c r="BE212"/>
  <c r="BD212"/>
  <c r="BC212"/>
  <c r="BB212"/>
  <c r="BA212" s="1"/>
  <c r="AX212"/>
  <c r="AW212"/>
  <c r="AV212"/>
  <c r="AC212"/>
  <c r="H212"/>
  <c r="G212" s="1"/>
  <c r="BT211"/>
  <c r="BS211"/>
  <c r="BR211"/>
  <c r="BQ211"/>
  <c r="BP211"/>
  <c r="BO211"/>
  <c r="BN211"/>
  <c r="BM211"/>
  <c r="BL211"/>
  <c r="BK211"/>
  <c r="BJ211"/>
  <c r="BI211"/>
  <c r="BH211"/>
  <c r="BG211"/>
  <c r="BF211"/>
  <c r="BE211"/>
  <c r="BD211"/>
  <c r="BC211"/>
  <c r="BB211"/>
  <c r="BA211" s="1"/>
  <c r="AZ211" s="1"/>
  <c r="AX211"/>
  <c r="AW211"/>
  <c r="AV211"/>
  <c r="AC211"/>
  <c r="H211"/>
  <c r="G211"/>
  <c r="BT210"/>
  <c r="BS210"/>
  <c r="BR210"/>
  <c r="BQ210"/>
  <c r="BP210"/>
  <c r="BO210"/>
  <c r="BN210"/>
  <c r="BM210"/>
  <c r="BL210" s="1"/>
  <c r="BK210"/>
  <c r="BJ210"/>
  <c r="BI210"/>
  <c r="BH210"/>
  <c r="BG210"/>
  <c r="BF210"/>
  <c r="BE210"/>
  <c r="BD210"/>
  <c r="BC210"/>
  <c r="BB210"/>
  <c r="BA210"/>
  <c r="AX210"/>
  <c r="AW210"/>
  <c r="AV210"/>
  <c r="AC210"/>
  <c r="H210"/>
  <c r="G210" s="1"/>
  <c r="BT209"/>
  <c r="BS209"/>
  <c r="BR209"/>
  <c r="BQ209"/>
  <c r="BP209"/>
  <c r="BO209"/>
  <c r="BN209"/>
  <c r="BM209"/>
  <c r="BL209"/>
  <c r="BK209"/>
  <c r="BJ209"/>
  <c r="BI209"/>
  <c r="BH209"/>
  <c r="BG209"/>
  <c r="BF209"/>
  <c r="BE209"/>
  <c r="BD209"/>
  <c r="BC209"/>
  <c r="BB209"/>
  <c r="BA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H208"/>
  <c r="G208"/>
  <c r="BT207"/>
  <c r="BS207"/>
  <c r="BR207"/>
  <c r="BQ207"/>
  <c r="BP207"/>
  <c r="BO207"/>
  <c r="BN207"/>
  <c r="BM207"/>
  <c r="BL207" s="1"/>
  <c r="BK207"/>
  <c r="BJ207"/>
  <c r="BI207"/>
  <c r="BH207"/>
  <c r="BG207"/>
  <c r="BF207"/>
  <c r="BE207"/>
  <c r="BD207"/>
  <c r="BC207"/>
  <c r="BB207"/>
  <c r="BA207"/>
  <c r="AX207"/>
  <c r="AW207"/>
  <c r="AV207"/>
  <c r="AC207"/>
  <c r="H207"/>
  <c r="G207"/>
  <c r="BT206"/>
  <c r="BS206"/>
  <c r="BR206"/>
  <c r="BQ206"/>
  <c r="BP206"/>
  <c r="BO206"/>
  <c r="BN206"/>
  <c r="BM206"/>
  <c r="BL206" s="1"/>
  <c r="BK206"/>
  <c r="BJ206"/>
  <c r="BI206"/>
  <c r="BH206"/>
  <c r="BG206"/>
  <c r="BF206"/>
  <c r="BE206"/>
  <c r="BD206"/>
  <c r="BC206"/>
  <c r="BB206"/>
  <c r="BA206"/>
  <c r="AX206"/>
  <c r="AW206"/>
  <c r="AV206"/>
  <c r="AC206"/>
  <c r="H206"/>
  <c r="G206" s="1"/>
  <c r="BT205"/>
  <c r="BS205"/>
  <c r="BR205"/>
  <c r="BQ205"/>
  <c r="BP205"/>
  <c r="BO205"/>
  <c r="BN205"/>
  <c r="BM205"/>
  <c r="BL205"/>
  <c r="BK205"/>
  <c r="BJ205"/>
  <c r="BI205"/>
  <c r="BH205"/>
  <c r="BG205"/>
  <c r="BF205"/>
  <c r="BE205"/>
  <c r="BD205"/>
  <c r="BC205"/>
  <c r="BB205"/>
  <c r="BA205" s="1"/>
  <c r="AX205"/>
  <c r="AW205"/>
  <c r="AV205"/>
  <c r="AC205"/>
  <c r="H205"/>
  <c r="G205" s="1"/>
  <c r="BT388"/>
  <c r="BS388"/>
  <c r="BR388"/>
  <c r="BQ388"/>
  <c r="BP388"/>
  <c r="BO388"/>
  <c r="BN388"/>
  <c r="BM388"/>
  <c r="BL388"/>
  <c r="BK388"/>
  <c r="BJ388"/>
  <c r="BI388"/>
  <c r="BH388"/>
  <c r="BG388"/>
  <c r="BF388"/>
  <c r="BE388"/>
  <c r="BD388"/>
  <c r="BC388"/>
  <c r="BB388"/>
  <c r="BA388" s="1"/>
  <c r="AX388"/>
  <c r="AW388"/>
  <c r="AV388"/>
  <c r="AC388"/>
  <c r="H388"/>
  <c r="G388" s="1"/>
  <c r="BT387"/>
  <c r="BS387"/>
  <c r="BR387"/>
  <c r="BQ387"/>
  <c r="BP387"/>
  <c r="BO387"/>
  <c r="BN387"/>
  <c r="BM387"/>
  <c r="BL387"/>
  <c r="BK387"/>
  <c r="BJ387"/>
  <c r="BI387"/>
  <c r="BH387"/>
  <c r="BG387"/>
  <c r="BF387"/>
  <c r="BE387"/>
  <c r="BD387"/>
  <c r="BC387"/>
  <c r="BB387"/>
  <c r="BA387" s="1"/>
  <c r="AZ387" s="1"/>
  <c r="AX387"/>
  <c r="AW387"/>
  <c r="AV387"/>
  <c r="AC387"/>
  <c r="H387"/>
  <c r="G387"/>
  <c r="BT386"/>
  <c r="BS386"/>
  <c r="BR386"/>
  <c r="BQ386"/>
  <c r="BP386"/>
  <c r="BO386"/>
  <c r="BN386"/>
  <c r="BM386"/>
  <c r="BL386" s="1"/>
  <c r="BK386"/>
  <c r="BJ386"/>
  <c r="BI386"/>
  <c r="BH386"/>
  <c r="BG386"/>
  <c r="BF386"/>
  <c r="BE386"/>
  <c r="BD386"/>
  <c r="BC386"/>
  <c r="BB386"/>
  <c r="BA386"/>
  <c r="AZ386" s="1"/>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Z384" s="1"/>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BA375"/>
  <c r="AX375"/>
  <c r="AW375"/>
  <c r="AV375"/>
  <c r="AC375"/>
  <c r="H375"/>
  <c r="G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BA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L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Z368" s="1"/>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M366"/>
  <c r="BL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L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G352"/>
  <c r="BT351"/>
  <c r="BS351"/>
  <c r="BR351"/>
  <c r="BQ351"/>
  <c r="BP351"/>
  <c r="BO351"/>
  <c r="BN351"/>
  <c r="BM351"/>
  <c r="BL351" s="1"/>
  <c r="BK351"/>
  <c r="BJ351"/>
  <c r="BI351"/>
  <c r="BH351"/>
  <c r="BG351"/>
  <c r="BF351"/>
  <c r="BE351"/>
  <c r="BD351"/>
  <c r="BC351"/>
  <c r="BB351"/>
  <c r="BA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c r="BT335"/>
  <c r="BS335"/>
  <c r="BR335"/>
  <c r="BQ335"/>
  <c r="BP335"/>
  <c r="BO335"/>
  <c r="BN335"/>
  <c r="BM335"/>
  <c r="BL335" s="1"/>
  <c r="BK335"/>
  <c r="BJ335"/>
  <c r="BI335"/>
  <c r="BH335"/>
  <c r="BG335"/>
  <c r="BF335"/>
  <c r="BE335"/>
  <c r="BD335"/>
  <c r="BC335"/>
  <c r="BB335"/>
  <c r="BA335"/>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c r="BT319"/>
  <c r="BS319"/>
  <c r="BR319"/>
  <c r="BQ319"/>
  <c r="BP319"/>
  <c r="BO319"/>
  <c r="BN319"/>
  <c r="BM319"/>
  <c r="BL319" s="1"/>
  <c r="BK319"/>
  <c r="BJ319"/>
  <c r="BI319"/>
  <c r="BH319"/>
  <c r="BG319"/>
  <c r="BF319"/>
  <c r="BE319"/>
  <c r="BD319"/>
  <c r="BC319"/>
  <c r="BB319"/>
  <c r="BA319"/>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H317"/>
  <c r="G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BA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L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H309"/>
  <c r="G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B480"/>
  <c r="BA480"/>
  <c r="AZ480" s="1"/>
  <c r="AX480"/>
  <c r="AW480"/>
  <c r="AV480"/>
  <c r="AC480"/>
  <c r="H480"/>
  <c r="G480" s="1"/>
  <c r="BT479"/>
  <c r="BS479"/>
  <c r="BR479"/>
  <c r="BQ479"/>
  <c r="BP479"/>
  <c r="BO479"/>
  <c r="BN479"/>
  <c r="BM479"/>
  <c r="BL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M474"/>
  <c r="BL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H470"/>
  <c r="G470"/>
  <c r="BT469"/>
  <c r="BS469"/>
  <c r="BR469"/>
  <c r="BQ469"/>
  <c r="BP469"/>
  <c r="BO469"/>
  <c r="BN469"/>
  <c r="BM469"/>
  <c r="BL469" s="1"/>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M466"/>
  <c r="BL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H465"/>
  <c r="G465"/>
  <c r="BT464"/>
  <c r="BS464"/>
  <c r="BR464"/>
  <c r="BQ464"/>
  <c r="BP464"/>
  <c r="BO464"/>
  <c r="BN464"/>
  <c r="BM464"/>
  <c r="BL464" s="1"/>
  <c r="BK464"/>
  <c r="BJ464"/>
  <c r="BI464"/>
  <c r="BH464"/>
  <c r="BG464"/>
  <c r="BF464"/>
  <c r="BE464"/>
  <c r="BD464"/>
  <c r="BC464"/>
  <c r="BB464"/>
  <c r="BA464"/>
  <c r="AZ464" s="1"/>
  <c r="AX464"/>
  <c r="AW464"/>
  <c r="AV464"/>
  <c r="AC464"/>
  <c r="H464"/>
  <c r="G464" s="1"/>
  <c r="BT463"/>
  <c r="BS463"/>
  <c r="BR463"/>
  <c r="BQ463"/>
  <c r="BP463"/>
  <c r="BO463"/>
  <c r="BN463"/>
  <c r="BM463"/>
  <c r="BL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H462"/>
  <c r="G462"/>
  <c r="BT461"/>
  <c r="BS461"/>
  <c r="BR461"/>
  <c r="BQ461"/>
  <c r="BP461"/>
  <c r="BO461"/>
  <c r="BN461"/>
  <c r="BM461"/>
  <c r="BL461" s="1"/>
  <c r="BK461"/>
  <c r="BJ461"/>
  <c r="BI461"/>
  <c r="BH461"/>
  <c r="BG461"/>
  <c r="BF461"/>
  <c r="BE461"/>
  <c r="BD461"/>
  <c r="BC461"/>
  <c r="BB461"/>
  <c r="BA461"/>
  <c r="AX461"/>
  <c r="AW461"/>
  <c r="AV461"/>
  <c r="AC461"/>
  <c r="H461"/>
  <c r="G461"/>
  <c r="BT460"/>
  <c r="BS460"/>
  <c r="BR460"/>
  <c r="BQ460"/>
  <c r="BP460"/>
  <c r="BO460"/>
  <c r="BN460"/>
  <c r="BM460"/>
  <c r="BL460" s="1"/>
  <c r="BK460"/>
  <c r="BJ460"/>
  <c r="BI460"/>
  <c r="BH460"/>
  <c r="BG460"/>
  <c r="BF460"/>
  <c r="BE460"/>
  <c r="BD460"/>
  <c r="BC460"/>
  <c r="BB460"/>
  <c r="BA460"/>
  <c r="AZ460" s="1"/>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M458"/>
  <c r="BL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c r="BT455"/>
  <c r="BS455"/>
  <c r="BR455"/>
  <c r="BQ455"/>
  <c r="BP455"/>
  <c r="BO455"/>
  <c r="BN455"/>
  <c r="BM455"/>
  <c r="BL455" s="1"/>
  <c r="BK455"/>
  <c r="BJ455"/>
  <c r="BI455"/>
  <c r="BH455"/>
  <c r="BG455"/>
  <c r="BF455"/>
  <c r="BE455"/>
  <c r="BD455"/>
  <c r="BC455"/>
  <c r="BB455"/>
  <c r="BA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c r="AZ453" s="1"/>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M451"/>
  <c r="BL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M443"/>
  <c r="BL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c r="AX441"/>
  <c r="AW441"/>
  <c r="AV441"/>
  <c r="AC441"/>
  <c r="H441"/>
  <c r="G441"/>
  <c r="BT440"/>
  <c r="BS440"/>
  <c r="BR440"/>
  <c r="BQ440"/>
  <c r="BP440"/>
  <c r="BO440"/>
  <c r="BN440"/>
  <c r="BM440"/>
  <c r="BL440" s="1"/>
  <c r="BK440"/>
  <c r="BJ440"/>
  <c r="BI440"/>
  <c r="BH440"/>
  <c r="BG440"/>
  <c r="BF440"/>
  <c r="BE440"/>
  <c r="BD440"/>
  <c r="BC440"/>
  <c r="BB440"/>
  <c r="BA440"/>
  <c r="AZ440" s="1"/>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M438"/>
  <c r="BL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M433"/>
  <c r="BL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c r="BT429"/>
  <c r="BS429"/>
  <c r="BR429"/>
  <c r="BQ429"/>
  <c r="BP429"/>
  <c r="BO429"/>
  <c r="BN429"/>
  <c r="BM429"/>
  <c r="BL429" s="1"/>
  <c r="BK429"/>
  <c r="BJ429"/>
  <c r="BI429"/>
  <c r="BH429"/>
  <c r="BG429"/>
  <c r="BF429"/>
  <c r="BE429"/>
  <c r="BD429"/>
  <c r="BC429"/>
  <c r="BB429"/>
  <c r="BA429"/>
  <c r="AX429"/>
  <c r="AW429"/>
  <c r="AV429"/>
  <c r="AC429"/>
  <c r="H429"/>
  <c r="G429" s="1"/>
  <c r="BT428"/>
  <c r="BS428"/>
  <c r="BR428"/>
  <c r="BQ428"/>
  <c r="BP428"/>
  <c r="BO428"/>
  <c r="BN428"/>
  <c r="BM428"/>
  <c r="BL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c r="BT425"/>
  <c r="BS425"/>
  <c r="BR425"/>
  <c r="BQ425"/>
  <c r="BP425"/>
  <c r="BO425"/>
  <c r="BN425"/>
  <c r="BM425"/>
  <c r="BL425" s="1"/>
  <c r="BK425"/>
  <c r="BJ425"/>
  <c r="BI425"/>
  <c r="BH425"/>
  <c r="BG425"/>
  <c r="BF425"/>
  <c r="BE425"/>
  <c r="BD425"/>
  <c r="BC425"/>
  <c r="BB425"/>
  <c r="BA425"/>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H424"/>
  <c r="G424"/>
  <c r="BT423"/>
  <c r="BS423"/>
  <c r="BR423"/>
  <c r="BQ423"/>
  <c r="BP423"/>
  <c r="BO423"/>
  <c r="BN423"/>
  <c r="BM423"/>
  <c r="BL423" s="1"/>
  <c r="BK423"/>
  <c r="BJ423"/>
  <c r="BI423"/>
  <c r="BH423"/>
  <c r="BG423"/>
  <c r="BF423"/>
  <c r="BE423"/>
  <c r="BD423"/>
  <c r="BC423"/>
  <c r="BB423"/>
  <c r="BA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c r="AZ421" s="1"/>
  <c r="AX421"/>
  <c r="AW421"/>
  <c r="AV421"/>
  <c r="AC421"/>
  <c r="H421"/>
  <c r="G421" s="1"/>
  <c r="BT420"/>
  <c r="BS420"/>
  <c r="BR420"/>
  <c r="BQ420"/>
  <c r="BP420"/>
  <c r="BO420"/>
  <c r="BN420"/>
  <c r="BM420"/>
  <c r="BL420"/>
  <c r="BK420"/>
  <c r="BJ420"/>
  <c r="BI420"/>
  <c r="BH420"/>
  <c r="BG420"/>
  <c r="BF420"/>
  <c r="BE420"/>
  <c r="BD420"/>
  <c r="BC420"/>
  <c r="BB420"/>
  <c r="BA420" s="1"/>
  <c r="AZ420" s="1"/>
  <c r="AX420"/>
  <c r="AW420"/>
  <c r="AV420"/>
  <c r="AC420"/>
  <c r="H420"/>
  <c r="G420"/>
  <c r="BT419"/>
  <c r="BS419"/>
  <c r="BR419"/>
  <c r="BQ419"/>
  <c r="BP419"/>
  <c r="BO419"/>
  <c r="BN419"/>
  <c r="BM419"/>
  <c r="BL419" s="1"/>
  <c r="BK419"/>
  <c r="BJ419"/>
  <c r="BI419"/>
  <c r="BH419"/>
  <c r="BG419"/>
  <c r="BF419"/>
  <c r="BE419"/>
  <c r="BD419"/>
  <c r="BC419"/>
  <c r="BB419"/>
  <c r="BA419"/>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M417"/>
  <c r="BL417"/>
  <c r="BK417"/>
  <c r="BJ417"/>
  <c r="BI417"/>
  <c r="BH417"/>
  <c r="BG417"/>
  <c r="BF417"/>
  <c r="BE417"/>
  <c r="BD417"/>
  <c r="BC417"/>
  <c r="BB417"/>
  <c r="BA417" s="1"/>
  <c r="AZ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M414"/>
  <c r="BL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c r="BT409"/>
  <c r="BS409"/>
  <c r="BR409"/>
  <c r="BQ409"/>
  <c r="BP409"/>
  <c r="BO409"/>
  <c r="BN409"/>
  <c r="BM409"/>
  <c r="BL409" s="1"/>
  <c r="BK409"/>
  <c r="BJ409"/>
  <c r="BI409"/>
  <c r="BH409"/>
  <c r="BG409"/>
  <c r="BF409"/>
  <c r="BE409"/>
  <c r="BD409"/>
  <c r="BC409"/>
  <c r="BB409"/>
  <c r="BA409"/>
  <c r="AX409"/>
  <c r="AW409"/>
  <c r="AV409"/>
  <c r="AC409"/>
  <c r="H409"/>
  <c r="G409" s="1"/>
  <c r="BT408"/>
  <c r="BS408"/>
  <c r="BR408"/>
  <c r="BQ408"/>
  <c r="BP408"/>
  <c r="BO408"/>
  <c r="BN408"/>
  <c r="BM408"/>
  <c r="BL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s="1"/>
  <c r="BT405"/>
  <c r="BS405"/>
  <c r="BR405"/>
  <c r="BQ405"/>
  <c r="BP405"/>
  <c r="BO405"/>
  <c r="BN405"/>
  <c r="BM405"/>
  <c r="BL405"/>
  <c r="BK405"/>
  <c r="BJ405"/>
  <c r="BI405"/>
  <c r="BH405"/>
  <c r="BG405"/>
  <c r="BF405"/>
  <c r="BE405"/>
  <c r="BD405"/>
  <c r="BC405"/>
  <c r="BB405"/>
  <c r="BA405" s="1"/>
  <c r="AZ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M402"/>
  <c r="BL402"/>
  <c r="BK402"/>
  <c r="BJ402"/>
  <c r="BI402"/>
  <c r="BH402"/>
  <c r="BG402"/>
  <c r="BF402"/>
  <c r="BE402"/>
  <c r="BD402"/>
  <c r="BC402"/>
  <c r="BB402"/>
  <c r="BA402" s="1"/>
  <c r="AZ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H401"/>
  <c r="G401"/>
  <c r="BT400"/>
  <c r="BS400"/>
  <c r="BR400"/>
  <c r="BQ400"/>
  <c r="BP400"/>
  <c r="BO400"/>
  <c r="BN400"/>
  <c r="BM400"/>
  <c r="BL400" s="1"/>
  <c r="BK400"/>
  <c r="BJ400"/>
  <c r="BI400"/>
  <c r="BH400"/>
  <c r="BG400"/>
  <c r="BF400"/>
  <c r="BE400"/>
  <c r="BD400"/>
  <c r="BC400"/>
  <c r="BB400"/>
  <c r="BA400"/>
  <c r="AZ400" s="1"/>
  <c r="AX400"/>
  <c r="AW400"/>
  <c r="AV400"/>
  <c r="AC400"/>
  <c r="H400"/>
  <c r="G400" s="1"/>
  <c r="BT399"/>
  <c r="BS399"/>
  <c r="BR399"/>
  <c r="BQ399"/>
  <c r="BP399"/>
  <c r="BO399"/>
  <c r="BN399"/>
  <c r="BM399"/>
  <c r="BL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c r="BT393"/>
  <c r="BS393"/>
  <c r="BR393"/>
  <c r="BQ393"/>
  <c r="BP393"/>
  <c r="BO393"/>
  <c r="BN393"/>
  <c r="BM393"/>
  <c r="BL393" s="1"/>
  <c r="BK393"/>
  <c r="BJ393"/>
  <c r="BI393"/>
  <c r="BH393"/>
  <c r="BG393"/>
  <c r="BF393"/>
  <c r="BE393"/>
  <c r="BD393"/>
  <c r="BC393"/>
  <c r="BB393"/>
  <c r="BA393"/>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H392"/>
  <c r="G392"/>
  <c r="BT391"/>
  <c r="BS391"/>
  <c r="BR391"/>
  <c r="BQ391"/>
  <c r="BP391"/>
  <c r="BO391"/>
  <c r="BN391"/>
  <c r="BM391"/>
  <c r="BL391" s="1"/>
  <c r="BK391"/>
  <c r="BJ391"/>
  <c r="BI391"/>
  <c r="BH391"/>
  <c r="BG391"/>
  <c r="BF391"/>
  <c r="BE391"/>
  <c r="BD391"/>
  <c r="BC391"/>
  <c r="BB391"/>
  <c r="BA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c r="BT389"/>
  <c r="BS389"/>
  <c r="BR389"/>
  <c r="BQ389"/>
  <c r="BP389"/>
  <c r="BO389"/>
  <c r="BN389"/>
  <c r="BM389"/>
  <c r="BL389" s="1"/>
  <c r="BK389"/>
  <c r="BJ389"/>
  <c r="BI389"/>
  <c r="BH389"/>
  <c r="BG389"/>
  <c r="BF389"/>
  <c r="BE389"/>
  <c r="BD389"/>
  <c r="BC389"/>
  <c r="BB389"/>
  <c r="BA389"/>
  <c r="AZ389" s="1"/>
  <c r="AX389"/>
  <c r="AW389"/>
  <c r="AV389"/>
  <c r="AC389"/>
  <c r="H389"/>
  <c r="G389" s="1"/>
  <c r="H62" i="40"/>
  <c r="I62" s="1"/>
  <c r="C62" s="1"/>
  <c r="H61"/>
  <c r="I61" s="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c r="C64" s="1"/>
  <c r="H62"/>
  <c r="I62" s="1"/>
  <c r="C62" s="1"/>
  <c r="H61"/>
  <c r="I61" s="1"/>
  <c r="C61" s="1"/>
  <c r="H60"/>
  <c r="I60" s="1"/>
  <c r="C60" s="1"/>
  <c r="L25" i="4"/>
  <c r="C109" i="9"/>
  <c r="C145" i="21"/>
  <c r="J142"/>
  <c r="J140"/>
  <c r="K145" s="1"/>
  <c r="K139"/>
  <c r="M87"/>
  <c r="L87"/>
  <c r="K87"/>
  <c r="J87"/>
  <c r="I87"/>
  <c r="H87"/>
  <c r="G87"/>
  <c r="F87"/>
  <c r="E87"/>
  <c r="D87"/>
  <c r="G2" i="46"/>
  <c r="X7" s="1"/>
  <c r="G19"/>
  <c r="R26" i="31"/>
  <c r="S26"/>
  <c r="R27"/>
  <c r="R28"/>
  <c r="S28" s="1"/>
  <c r="R29"/>
  <c r="R30"/>
  <c r="S30"/>
  <c r="R31"/>
  <c r="R32"/>
  <c r="S32" s="1"/>
  <c r="R33"/>
  <c r="R34"/>
  <c r="S34"/>
  <c r="R35"/>
  <c r="R36"/>
  <c r="S36" s="1"/>
  <c r="R37"/>
  <c r="R38"/>
  <c r="S38"/>
  <c r="R39"/>
  <c r="R40"/>
  <c r="S40" s="1"/>
  <c r="R41"/>
  <c r="R42"/>
  <c r="S42"/>
  <c r="R43"/>
  <c r="R44"/>
  <c r="S44" s="1"/>
  <c r="R45"/>
  <c r="R46"/>
  <c r="S46"/>
  <c r="R47"/>
  <c r="R48"/>
  <c r="S48" s="1"/>
  <c r="R49"/>
  <c r="R50"/>
  <c r="S50"/>
  <c r="R51"/>
  <c r="R52"/>
  <c r="S52" s="1"/>
  <c r="R53"/>
  <c r="R54"/>
  <c r="S54"/>
  <c r="R55"/>
  <c r="R56"/>
  <c r="S56" s="1"/>
  <c r="R57"/>
  <c r="R58"/>
  <c r="S58"/>
  <c r="R59"/>
  <c r="R60"/>
  <c r="S60" s="1"/>
  <c r="R61"/>
  <c r="R62"/>
  <c r="S62"/>
  <c r="R63"/>
  <c r="R64"/>
  <c r="S64" s="1"/>
  <c r="R65"/>
  <c r="R66"/>
  <c r="S66"/>
  <c r="R67"/>
  <c r="R68"/>
  <c r="S68" s="1"/>
  <c r="R69"/>
  <c r="R70"/>
  <c r="S70"/>
  <c r="R71"/>
  <c r="R72"/>
  <c r="S72" s="1"/>
  <c r="R73"/>
  <c r="R74"/>
  <c r="S74"/>
  <c r="R75"/>
  <c r="R76"/>
  <c r="S76" s="1"/>
  <c r="R77"/>
  <c r="R78"/>
  <c r="S78"/>
  <c r="R79"/>
  <c r="R80"/>
  <c r="S80" s="1"/>
  <c r="R81"/>
  <c r="R82"/>
  <c r="S82"/>
  <c r="R83"/>
  <c r="R84"/>
  <c r="S84" s="1"/>
  <c r="R85"/>
  <c r="R86"/>
  <c r="S86"/>
  <c r="R87"/>
  <c r="R88"/>
  <c r="S88" s="1"/>
  <c r="R89"/>
  <c r="R90"/>
  <c r="S90"/>
  <c r="R91"/>
  <c r="R92"/>
  <c r="S92" s="1"/>
  <c r="R93"/>
  <c r="R94"/>
  <c r="S94"/>
  <c r="R95"/>
  <c r="R96"/>
  <c r="S96" s="1"/>
  <c r="R97"/>
  <c r="R98"/>
  <c r="S98"/>
  <c r="R99"/>
  <c r="R100"/>
  <c r="S100" s="1"/>
  <c r="R101"/>
  <c r="R102"/>
  <c r="S102"/>
  <c r="R103"/>
  <c r="R104"/>
  <c r="S104" s="1"/>
  <c r="R105"/>
  <c r="R106"/>
  <c r="S106"/>
  <c r="R107"/>
  <c r="R108"/>
  <c r="S108" s="1"/>
  <c r="R109"/>
  <c r="R110"/>
  <c r="S110"/>
  <c r="R111"/>
  <c r="R112"/>
  <c r="S112" s="1"/>
  <c r="R113"/>
  <c r="R114"/>
  <c r="S114"/>
  <c r="R115"/>
  <c r="R116"/>
  <c r="S116" s="1"/>
  <c r="R117"/>
  <c r="R118"/>
  <c r="S118"/>
  <c r="R119"/>
  <c r="R120"/>
  <c r="S120" s="1"/>
  <c r="R121"/>
  <c r="R122"/>
  <c r="S122"/>
  <c r="R123"/>
  <c r="R124"/>
  <c r="S124" s="1"/>
  <c r="R125"/>
  <c r="R126"/>
  <c r="S126"/>
  <c r="R127"/>
  <c r="R128"/>
  <c r="S128" s="1"/>
  <c r="R129"/>
  <c r="R130"/>
  <c r="S130"/>
  <c r="R131"/>
  <c r="R132"/>
  <c r="S132" s="1"/>
  <c r="R133"/>
  <c r="R134"/>
  <c r="S134"/>
  <c r="R135"/>
  <c r="R136"/>
  <c r="S136" s="1"/>
  <c r="R137"/>
  <c r="R138"/>
  <c r="S138"/>
  <c r="R139"/>
  <c r="R140"/>
  <c r="S140" s="1"/>
  <c r="R141"/>
  <c r="R142"/>
  <c r="S142"/>
  <c r="R143"/>
  <c r="R144"/>
  <c r="S144" s="1"/>
  <c r="R145"/>
  <c r="R146"/>
  <c r="S146"/>
  <c r="R147"/>
  <c r="R148"/>
  <c r="S148" s="1"/>
  <c r="R149"/>
  <c r="R150"/>
  <c r="S150"/>
  <c r="R151"/>
  <c r="R152"/>
  <c r="S152" s="1"/>
  <c r="R153"/>
  <c r="R154"/>
  <c r="S154"/>
  <c r="R155"/>
  <c r="R156"/>
  <c r="S156" s="1"/>
  <c r="R157"/>
  <c r="R158"/>
  <c r="S158"/>
  <c r="R159"/>
  <c r="R160"/>
  <c r="S160" s="1"/>
  <c r="R161"/>
  <c r="R162"/>
  <c r="S162"/>
  <c r="R163"/>
  <c r="R164"/>
  <c r="S164" s="1"/>
  <c r="R165"/>
  <c r="R166"/>
  <c r="S166"/>
  <c r="R167"/>
  <c r="R168"/>
  <c r="S168" s="1"/>
  <c r="R169"/>
  <c r="R170"/>
  <c r="S170"/>
  <c r="R171"/>
  <c r="R172"/>
  <c r="S172" s="1"/>
  <c r="R173"/>
  <c r="R174"/>
  <c r="S174"/>
  <c r="R175"/>
  <c r="R176"/>
  <c r="S176" s="1"/>
  <c r="R177"/>
  <c r="R178"/>
  <c r="S178"/>
  <c r="R179"/>
  <c r="R180"/>
  <c r="S180" s="1"/>
  <c r="R181"/>
  <c r="R182"/>
  <c r="S182"/>
  <c r="R183"/>
  <c r="R184"/>
  <c r="S184" s="1"/>
  <c r="R185"/>
  <c r="R186"/>
  <c r="S186"/>
  <c r="R187"/>
  <c r="R188"/>
  <c r="S188" s="1"/>
  <c r="R189"/>
  <c r="R190"/>
  <c r="S190"/>
  <c r="R191"/>
  <c r="R192"/>
  <c r="S192" s="1"/>
  <c r="R193"/>
  <c r="R194"/>
  <c r="S194"/>
  <c r="R195"/>
  <c r="R196"/>
  <c r="S196" s="1"/>
  <c r="R197"/>
  <c r="R198"/>
  <c r="S198"/>
  <c r="R199"/>
  <c r="R200"/>
  <c r="S200" s="1"/>
  <c r="R201"/>
  <c r="R202"/>
  <c r="S202"/>
  <c r="R203"/>
  <c r="R204"/>
  <c r="S204" s="1"/>
  <c r="R205"/>
  <c r="R206"/>
  <c r="S206"/>
  <c r="R207"/>
  <c r="R208"/>
  <c r="S208" s="1"/>
  <c r="R209"/>
  <c r="R210"/>
  <c r="S210"/>
  <c r="R211"/>
  <c r="R212"/>
  <c r="S212" s="1"/>
  <c r="R213"/>
  <c r="R214"/>
  <c r="S214"/>
  <c r="R215"/>
  <c r="R216"/>
  <c r="S216" s="1"/>
  <c r="R217"/>
  <c r="R218"/>
  <c r="S218"/>
  <c r="R219"/>
  <c r="R220"/>
  <c r="S220" s="1"/>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c r="R429"/>
  <c r="R430"/>
  <c r="S430" s="1"/>
  <c r="R431"/>
  <c r="R432"/>
  <c r="S432"/>
  <c r="R433"/>
  <c r="R434"/>
  <c r="S434" s="1"/>
  <c r="R435"/>
  <c r="R436"/>
  <c r="S436"/>
  <c r="R437"/>
  <c r="R438"/>
  <c r="S438" s="1"/>
  <c r="R439"/>
  <c r="R440"/>
  <c r="S440"/>
  <c r="R441"/>
  <c r="R442"/>
  <c r="S442" s="1"/>
  <c r="R443"/>
  <c r="R444"/>
  <c r="S444"/>
  <c r="R445"/>
  <c r="R446"/>
  <c r="S446" s="1"/>
  <c r="R447"/>
  <c r="R448"/>
  <c r="S448"/>
  <c r="R449"/>
  <c r="R450"/>
  <c r="S450" s="1"/>
  <c r="R451"/>
  <c r="R452"/>
  <c r="S452"/>
  <c r="R453"/>
  <c r="R454"/>
  <c r="S454" s="1"/>
  <c r="R455"/>
  <c r="R456"/>
  <c r="S456"/>
  <c r="R457"/>
  <c r="R458"/>
  <c r="S458" s="1"/>
  <c r="R459"/>
  <c r="R460"/>
  <c r="S460"/>
  <c r="R461"/>
  <c r="R462"/>
  <c r="S462" s="1"/>
  <c r="R463"/>
  <c r="R464"/>
  <c r="S464"/>
  <c r="R465"/>
  <c r="R466"/>
  <c r="S466" s="1"/>
  <c r="R467"/>
  <c r="R468"/>
  <c r="S468"/>
  <c r="R469"/>
  <c r="R470"/>
  <c r="S470" s="1"/>
  <c r="R471"/>
  <c r="R472"/>
  <c r="S472"/>
  <c r="R473"/>
  <c r="R474"/>
  <c r="R475"/>
  <c r="R476"/>
  <c r="R477"/>
  <c r="R478"/>
  <c r="R479"/>
  <c r="R480"/>
  <c r="R481"/>
  <c r="R482"/>
  <c r="R483"/>
  <c r="R484"/>
  <c r="R485"/>
  <c r="R486"/>
  <c r="R487"/>
  <c r="R488"/>
  <c r="R489"/>
  <c r="R490"/>
  <c r="R491"/>
  <c r="R492"/>
  <c r="S492" s="1"/>
  <c r="R493"/>
  <c r="R494"/>
  <c r="R495"/>
  <c r="R496"/>
  <c r="R497"/>
  <c r="R498"/>
  <c r="S498"/>
  <c r="R499"/>
  <c r="R500"/>
  <c r="S500" s="1"/>
  <c r="R501"/>
  <c r="R502"/>
  <c r="S502"/>
  <c r="R503"/>
  <c r="R504"/>
  <c r="S504" s="1"/>
  <c r="R505"/>
  <c r="R506"/>
  <c r="S506"/>
  <c r="R507"/>
  <c r="R508"/>
  <c r="S508" s="1"/>
  <c r="R509"/>
  <c r="R510"/>
  <c r="S510"/>
  <c r="R511"/>
  <c r="R512"/>
  <c r="S512" s="1"/>
  <c r="R513"/>
  <c r="R514"/>
  <c r="S514"/>
  <c r="R515"/>
  <c r="R516"/>
  <c r="S516" s="1"/>
  <c r="R517"/>
  <c r="R518"/>
  <c r="S518"/>
  <c r="R519"/>
  <c r="R520"/>
  <c r="S520" s="1"/>
  <c r="R521"/>
  <c r="R522"/>
  <c r="S522"/>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B62" i="63"/>
  <c r="L24" i="4"/>
  <c r="A11" i="55" s="1"/>
  <c r="A2"/>
  <c r="B55" i="63" s="1"/>
  <c r="N3" i="54"/>
  <c r="B42" i="63" s="1"/>
  <c r="A2" i="9"/>
  <c r="T16" i="4"/>
  <c r="D14"/>
  <c r="G36"/>
  <c r="K2" i="54"/>
  <c r="B23" i="63" s="1"/>
  <c r="A3" i="51"/>
  <c r="R41" i="4"/>
  <c r="Q41"/>
  <c r="P41"/>
  <c r="O41"/>
  <c r="N41"/>
  <c r="M41"/>
  <c r="L41"/>
  <c r="K40"/>
  <c r="T40"/>
  <c r="F23"/>
  <c r="D19"/>
  <c r="I19"/>
  <c r="H19"/>
  <c r="G19"/>
  <c r="F9" i="1"/>
  <c r="F19" i="4"/>
  <c r="F8" i="1"/>
  <c r="E19" i="4"/>
  <c r="F7" i="1"/>
  <c r="B2" i="52"/>
  <c r="E22" s="1"/>
  <c r="I2" i="46"/>
  <c r="N12" s="1"/>
  <c r="A7"/>
  <c r="F41" i="4"/>
  <c r="J52" i="40" s="1"/>
  <c r="H61" i="49"/>
  <c r="H39" i="46"/>
  <c r="H38"/>
  <c r="H37"/>
  <c r="H36"/>
  <c r="H35"/>
  <c r="H34"/>
  <c r="H33"/>
  <c r="G20"/>
  <c r="J20"/>
  <c r="C18"/>
  <c r="G17"/>
  <c r="F15"/>
  <c r="E15"/>
  <c r="D15"/>
  <c r="C15"/>
  <c r="C10"/>
  <c r="C11" s="1"/>
  <c r="C9"/>
  <c r="E20" i="6"/>
  <c r="D9" i="12" s="1"/>
  <c r="D10" s="1"/>
  <c r="E21" i="6"/>
  <c r="K8" i="1" s="1"/>
  <c r="M8" s="1"/>
  <c r="E22" i="6"/>
  <c r="E23"/>
  <c r="E24"/>
  <c r="E25"/>
  <c r="E26"/>
  <c r="D38" i="4"/>
  <c r="C39" s="1"/>
  <c r="C35"/>
  <c r="E16" i="12"/>
  <c r="F14"/>
  <c r="F15"/>
  <c r="F17"/>
  <c r="E19"/>
  <c r="E21"/>
  <c r="E22"/>
  <c r="F23"/>
  <c r="F24"/>
  <c r="F25"/>
  <c r="C43" i="9"/>
  <c r="K47"/>
  <c r="A14" i="55" s="1"/>
  <c r="B65" i="63" s="1"/>
  <c r="I73" i="9"/>
  <c r="F73"/>
  <c r="P73" s="1"/>
  <c r="D107"/>
  <c r="C107" s="1"/>
  <c r="C105" s="1"/>
  <c r="C110" s="1"/>
  <c r="C17"/>
  <c r="D17"/>
  <c r="F17" i="44"/>
  <c r="F19"/>
  <c r="F22"/>
  <c r="F25"/>
  <c r="D25" s="1"/>
  <c r="F23"/>
  <c r="E16" i="43"/>
  <c r="F14"/>
  <c r="F15"/>
  <c r="F17"/>
  <c r="F19"/>
  <c r="F20"/>
  <c r="F10" i="40"/>
  <c r="AA10" s="1"/>
  <c r="F11"/>
  <c r="AA11" s="1"/>
  <c r="C21"/>
  <c r="C32"/>
  <c r="F32" s="1"/>
  <c r="AA32" s="1"/>
  <c r="F36"/>
  <c r="AA36" s="1"/>
  <c r="H10"/>
  <c r="AB10" s="1"/>
  <c r="H11"/>
  <c r="AB11" s="1"/>
  <c r="H36"/>
  <c r="AB36" s="1"/>
  <c r="J10"/>
  <c r="AC10" s="1"/>
  <c r="J11"/>
  <c r="AC11" s="1"/>
  <c r="J36"/>
  <c r="AC36" s="1"/>
  <c r="F10" i="39"/>
  <c r="AA10" s="1"/>
  <c r="F11"/>
  <c r="AA11" s="1"/>
  <c r="C25"/>
  <c r="F36"/>
  <c r="AA36"/>
  <c r="F40"/>
  <c r="AA40" s="1"/>
  <c r="F42"/>
  <c r="AA42" s="1"/>
  <c r="H10"/>
  <c r="AB10" s="1"/>
  <c r="H11"/>
  <c r="AB11" s="1"/>
  <c r="H36"/>
  <c r="AB36" s="1"/>
  <c r="H40"/>
  <c r="AB40" s="1"/>
  <c r="H42"/>
  <c r="AB42"/>
  <c r="J10"/>
  <c r="AC10"/>
  <c r="J11"/>
  <c r="AC11"/>
  <c r="J36"/>
  <c r="AC36"/>
  <c r="J40"/>
  <c r="AC40" s="1"/>
  <c r="J42"/>
  <c r="AC42" s="1"/>
  <c r="F35" i="44"/>
  <c r="M21"/>
  <c r="F20"/>
  <c r="C6" i="43"/>
  <c r="K9"/>
  <c r="J9"/>
  <c r="I9"/>
  <c r="H9"/>
  <c r="G9"/>
  <c r="F9"/>
  <c r="E9"/>
  <c r="D9"/>
  <c r="C9"/>
  <c r="B24" i="1"/>
  <c r="E77" i="9"/>
  <c r="O75" s="1"/>
  <c r="L75"/>
  <c r="F77"/>
  <c r="P75"/>
  <c r="O74"/>
  <c r="O73"/>
  <c r="E66"/>
  <c r="O72"/>
  <c r="F74"/>
  <c r="P74"/>
  <c r="N67"/>
  <c r="K44"/>
  <c r="K43"/>
  <c r="B31" i="1"/>
  <c r="E10" i="11" s="1"/>
  <c r="B22" i="1"/>
  <c r="C2" i="65"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c r="H14" i="3"/>
  <c r="AC14"/>
  <c r="G14" s="1"/>
  <c r="H15"/>
  <c r="AC15"/>
  <c r="G15" s="1"/>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c r="AC481"/>
  <c r="BB481"/>
  <c r="BC481"/>
  <c r="BD481"/>
  <c r="BE481"/>
  <c r="BF481"/>
  <c r="BG481"/>
  <c r="BH481"/>
  <c r="BI481"/>
  <c r="BJ481"/>
  <c r="BK481"/>
  <c r="BM481"/>
  <c r="BN481"/>
  <c r="BO481"/>
  <c r="BP481"/>
  <c r="BQ481"/>
  <c r="BR481"/>
  <c r="BS481"/>
  <c r="BT481"/>
  <c r="H482"/>
  <c r="G482" s="1"/>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c r="AC486"/>
  <c r="BB486"/>
  <c r="BC486"/>
  <c r="BD486"/>
  <c r="BE486"/>
  <c r="BF486"/>
  <c r="BG486"/>
  <c r="BH486"/>
  <c r="BI486"/>
  <c r="BJ486"/>
  <c r="BK486"/>
  <c r="BM486"/>
  <c r="BN486"/>
  <c r="BO486"/>
  <c r="BP486"/>
  <c r="BR486"/>
  <c r="BS486"/>
  <c r="BT486"/>
  <c r="H487"/>
  <c r="AC487"/>
  <c r="G487" s="1"/>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c r="AC489"/>
  <c r="BB489"/>
  <c r="BC489"/>
  <c r="BD489"/>
  <c r="BE489"/>
  <c r="BF489"/>
  <c r="BG489"/>
  <c r="BH489"/>
  <c r="BI489"/>
  <c r="BJ489"/>
  <c r="BK489"/>
  <c r="BM489"/>
  <c r="BN489"/>
  <c r="BO489"/>
  <c r="BP489"/>
  <c r="BQ489"/>
  <c r="BR489"/>
  <c r="BS489"/>
  <c r="BT489"/>
  <c r="H490"/>
  <c r="G490" s="1"/>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G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s="1"/>
  <c r="AC511"/>
  <c r="BB511"/>
  <c r="BC511"/>
  <c r="BD511"/>
  <c r="BE511"/>
  <c r="BF511"/>
  <c r="BG511"/>
  <c r="BH511"/>
  <c r="BI511"/>
  <c r="BJ511"/>
  <c r="BK511"/>
  <c r="BM511"/>
  <c r="BN511"/>
  <c r="BO511"/>
  <c r="BP511"/>
  <c r="BQ511"/>
  <c r="BR511"/>
  <c r="BS511"/>
  <c r="BT511"/>
  <c r="H512"/>
  <c r="G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c r="AC524"/>
  <c r="BB524"/>
  <c r="BC524"/>
  <c r="BD524"/>
  <c r="BE524"/>
  <c r="BF524"/>
  <c r="BG524"/>
  <c r="BH524"/>
  <c r="BI524"/>
  <c r="BJ524"/>
  <c r="BK524"/>
  <c r="BM524"/>
  <c r="BN524"/>
  <c r="BO524"/>
  <c r="BP524"/>
  <c r="BR524"/>
  <c r="BS524"/>
  <c r="BT524"/>
  <c r="H525"/>
  <c r="AC525"/>
  <c r="G525" s="1"/>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c r="AC527"/>
  <c r="BB527"/>
  <c r="BC527"/>
  <c r="BD527"/>
  <c r="BE527"/>
  <c r="BF527"/>
  <c r="BG527"/>
  <c r="BH527"/>
  <c r="BI527"/>
  <c r="BJ527"/>
  <c r="BK527"/>
  <c r="BM527"/>
  <c r="BN527"/>
  <c r="BO527"/>
  <c r="BP527"/>
  <c r="BQ527"/>
  <c r="BR527"/>
  <c r="BS527"/>
  <c r="BT527"/>
  <c r="H528"/>
  <c r="G528" s="1"/>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s="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G547"/>
  <c r="BB547"/>
  <c r="BC547"/>
  <c r="BD547"/>
  <c r="BE547"/>
  <c r="BF547"/>
  <c r="BG547"/>
  <c r="BH547"/>
  <c r="BI547"/>
  <c r="BJ547"/>
  <c r="BK547"/>
  <c r="BM547"/>
  <c r="BN547"/>
  <c r="BO547"/>
  <c r="BP547"/>
  <c r="BQ547"/>
  <c r="BR547"/>
  <c r="BS547"/>
  <c r="BT547"/>
  <c r="H548"/>
  <c r="G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c r="BB551"/>
  <c r="BC551"/>
  <c r="BD551"/>
  <c r="BE551"/>
  <c r="BF551"/>
  <c r="BG551"/>
  <c r="BH551"/>
  <c r="BI551"/>
  <c r="BJ551"/>
  <c r="BK551"/>
  <c r="BM551"/>
  <c r="BN551"/>
  <c r="BO551"/>
  <c r="BP551"/>
  <c r="BQ551"/>
  <c r="BR551"/>
  <c r="BS551"/>
  <c r="BT551"/>
  <c r="H552"/>
  <c r="AC552"/>
  <c r="G552" s="1"/>
  <c r="BB552"/>
  <c r="BC552"/>
  <c r="BD552"/>
  <c r="BE552"/>
  <c r="BF552"/>
  <c r="BG552"/>
  <c r="BH552"/>
  <c r="BI552"/>
  <c r="BJ552"/>
  <c r="BK552"/>
  <c r="BM552"/>
  <c r="BN552"/>
  <c r="BO552"/>
  <c r="BP552"/>
  <c r="BR552"/>
  <c r="BS552"/>
  <c r="BT552"/>
  <c r="H553"/>
  <c r="G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s="1"/>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G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c r="J30" i="36"/>
  <c r="H30"/>
  <c r="U30" s="1"/>
  <c r="F30"/>
  <c r="AA30" s="1"/>
  <c r="C26" i="35"/>
  <c r="C79" s="1"/>
  <c r="J31"/>
  <c r="AC31" s="1"/>
  <c r="H31"/>
  <c r="F31"/>
  <c r="AA31" s="1"/>
  <c r="D87"/>
  <c r="E87"/>
  <c r="F87" s="1"/>
  <c r="G87"/>
  <c r="H87" s="1"/>
  <c r="I87" s="1"/>
  <c r="J87" s="1"/>
  <c r="K87" s="1"/>
  <c r="L87" s="1"/>
  <c r="M87" s="1"/>
  <c r="H34" i="37"/>
  <c r="AB34"/>
  <c r="D101"/>
  <c r="F34"/>
  <c r="D99"/>
  <c r="E99"/>
  <c r="H42" i="34"/>
  <c r="J42"/>
  <c r="F42"/>
  <c r="J38"/>
  <c r="D114"/>
  <c r="F38"/>
  <c r="D112"/>
  <c r="E112"/>
  <c r="F112" s="1"/>
  <c r="G112"/>
  <c r="H112" s="1"/>
  <c r="I112" s="1"/>
  <c r="J112" s="1"/>
  <c r="K112" s="1"/>
  <c r="L112" s="1"/>
  <c r="M112" s="1"/>
  <c r="F40" i="33"/>
  <c r="J41"/>
  <c r="AC41" s="1"/>
  <c r="D113"/>
  <c r="F37"/>
  <c r="AA37"/>
  <c r="D111"/>
  <c r="E111"/>
  <c r="F111" s="1"/>
  <c r="G111" s="1"/>
  <c r="H111" s="1"/>
  <c r="I111" s="1"/>
  <c r="J111" s="1"/>
  <c r="K111" s="1"/>
  <c r="L111" s="1"/>
  <c r="M111" s="1"/>
  <c r="S515" i="31"/>
  <c r="S517"/>
  <c r="S519"/>
  <c r="S521"/>
  <c r="S523"/>
  <c r="F41" i="21"/>
  <c r="J41"/>
  <c r="AC41"/>
  <c r="H41"/>
  <c r="U41"/>
  <c r="D83" i="39"/>
  <c r="E83"/>
  <c r="F83" s="1"/>
  <c r="G83" s="1"/>
  <c r="H83" s="1"/>
  <c r="I83" s="1"/>
  <c r="J83" s="1"/>
  <c r="K83" s="1"/>
  <c r="L83" s="1"/>
  <c r="M83" s="1"/>
  <c r="D78" i="40"/>
  <c r="F13"/>
  <c r="S13" s="1"/>
  <c r="B122"/>
  <c r="F42" s="1"/>
  <c r="AA42"/>
  <c r="B120"/>
  <c r="B118"/>
  <c r="F40" s="1"/>
  <c r="AA40" s="1"/>
  <c r="D117"/>
  <c r="E117"/>
  <c r="F117" s="1"/>
  <c r="G117"/>
  <c r="H117" s="1"/>
  <c r="I117" s="1"/>
  <c r="J117" s="1"/>
  <c r="K117"/>
  <c r="L117" s="1"/>
  <c r="M117" s="1"/>
  <c r="D115"/>
  <c r="J38"/>
  <c r="AC38" s="1"/>
  <c r="E115"/>
  <c r="F115" s="1"/>
  <c r="G115" s="1"/>
  <c r="H115" s="1"/>
  <c r="I115"/>
  <c r="J115" s="1"/>
  <c r="K115" s="1"/>
  <c r="L115" s="1"/>
  <c r="M115" s="1"/>
  <c r="H38"/>
  <c r="AB38"/>
  <c r="D113"/>
  <c r="E113"/>
  <c r="F113" s="1"/>
  <c r="M109"/>
  <c r="L109"/>
  <c r="K109"/>
  <c r="J109"/>
  <c r="I109"/>
  <c r="H109"/>
  <c r="G109"/>
  <c r="F109"/>
  <c r="E109"/>
  <c r="D109"/>
  <c r="C109"/>
  <c r="B107"/>
  <c r="B105"/>
  <c r="F34" s="1"/>
  <c r="AA34"/>
  <c r="B103"/>
  <c r="D102"/>
  <c r="E102" s="1"/>
  <c r="F102" s="1"/>
  <c r="G102" s="1"/>
  <c r="H102"/>
  <c r="I102" s="1"/>
  <c r="J102" s="1"/>
  <c r="K102" s="1"/>
  <c r="L102" s="1"/>
  <c r="M102" s="1"/>
  <c r="D100"/>
  <c r="E100" s="1"/>
  <c r="D98"/>
  <c r="E98" s="1"/>
  <c r="B97"/>
  <c r="D94"/>
  <c r="D92"/>
  <c r="D90"/>
  <c r="H21"/>
  <c r="AB21" s="1"/>
  <c r="D88"/>
  <c r="E88" s="1"/>
  <c r="D86"/>
  <c r="E86" s="1"/>
  <c r="J17"/>
  <c r="B83"/>
  <c r="F16"/>
  <c r="AA16" s="1"/>
  <c r="B81"/>
  <c r="B79"/>
  <c r="F14"/>
  <c r="AA14" s="1"/>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s="1"/>
  <c r="D126" i="39"/>
  <c r="E126" s="1"/>
  <c r="F126" s="1"/>
  <c r="D122"/>
  <c r="E122"/>
  <c r="F122" s="1"/>
  <c r="G122" s="1"/>
  <c r="H122" s="1"/>
  <c r="I122"/>
  <c r="J122" s="1"/>
  <c r="K122" s="1"/>
  <c r="L122" s="1"/>
  <c r="M122" s="1"/>
  <c r="B116"/>
  <c r="D111"/>
  <c r="E111" s="1"/>
  <c r="F111" s="1"/>
  <c r="G111" s="1"/>
  <c r="H111"/>
  <c r="I111" s="1"/>
  <c r="J111" s="1"/>
  <c r="K111" s="1"/>
  <c r="L111" s="1"/>
  <c r="M111" s="1"/>
  <c r="D109"/>
  <c r="E109" s="1"/>
  <c r="F109"/>
  <c r="G109" s="1"/>
  <c r="H109" s="1"/>
  <c r="I109" s="1"/>
  <c r="J109"/>
  <c r="K109" s="1"/>
  <c r="L109" s="1"/>
  <c r="M109" s="1"/>
  <c r="D107"/>
  <c r="E107" s="1"/>
  <c r="F107" s="1"/>
  <c r="G107" s="1"/>
  <c r="H107"/>
  <c r="I107" s="1"/>
  <c r="J107" s="1"/>
  <c r="K107" s="1"/>
  <c r="L107" s="1"/>
  <c r="M107" s="1"/>
  <c r="D103"/>
  <c r="D101"/>
  <c r="E101" s="1"/>
  <c r="Q41"/>
  <c r="Z41" s="1"/>
  <c r="Q42"/>
  <c r="Z42" s="1"/>
  <c r="Q43"/>
  <c r="Z43" s="1"/>
  <c r="Q44"/>
  <c r="Z44"/>
  <c r="Q45"/>
  <c r="Z45"/>
  <c r="Q46"/>
  <c r="Z46"/>
  <c r="Q47"/>
  <c r="Z47"/>
  <c r="Q40"/>
  <c r="Z40"/>
  <c r="Q38"/>
  <c r="Z38"/>
  <c r="Q39"/>
  <c r="Z39"/>
  <c r="M118"/>
  <c r="L118"/>
  <c r="K118"/>
  <c r="J118"/>
  <c r="I118"/>
  <c r="H118"/>
  <c r="G118"/>
  <c r="F118"/>
  <c r="E118"/>
  <c r="D118"/>
  <c r="C118"/>
  <c r="B133"/>
  <c r="B131"/>
  <c r="B129"/>
  <c r="D128"/>
  <c r="D124"/>
  <c r="E124"/>
  <c r="F124" s="1"/>
  <c r="G124" s="1"/>
  <c r="H124" s="1"/>
  <c r="I124"/>
  <c r="J124" s="1"/>
  <c r="K124" s="1"/>
  <c r="L124" s="1"/>
  <c r="M124" s="1"/>
  <c r="B106"/>
  <c r="D99"/>
  <c r="E99" s="1"/>
  <c r="F99" s="1"/>
  <c r="G99" s="1"/>
  <c r="D97"/>
  <c r="D95"/>
  <c r="E95" s="1"/>
  <c r="F95" s="1"/>
  <c r="G95" s="1"/>
  <c r="D93"/>
  <c r="E93" s="1"/>
  <c r="D91"/>
  <c r="E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B110"/>
  <c r="J39"/>
  <c r="AC39" s="1"/>
  <c r="B108"/>
  <c r="C23"/>
  <c r="C19"/>
  <c r="C17"/>
  <c r="C15"/>
  <c r="B112"/>
  <c r="D107"/>
  <c r="E107" s="1"/>
  <c r="D105"/>
  <c r="E105" s="1"/>
  <c r="H36"/>
  <c r="D103"/>
  <c r="J35"/>
  <c r="AC35" s="1"/>
  <c r="F97"/>
  <c r="E97"/>
  <c r="D97"/>
  <c r="C97"/>
  <c r="D96"/>
  <c r="E96" s="1"/>
  <c r="D94"/>
  <c r="M90"/>
  <c r="L90"/>
  <c r="K90"/>
  <c r="J90"/>
  <c r="I90"/>
  <c r="H90"/>
  <c r="G90"/>
  <c r="F90"/>
  <c r="E90"/>
  <c r="D90"/>
  <c r="C90"/>
  <c r="D89"/>
  <c r="B86"/>
  <c r="B84"/>
  <c r="H27" s="1"/>
  <c r="U27"/>
  <c r="B82"/>
  <c r="D79"/>
  <c r="E79" s="1"/>
  <c r="D75"/>
  <c r="E75" s="1"/>
  <c r="F75"/>
  <c r="D73"/>
  <c r="E73"/>
  <c r="F73" s="1"/>
  <c r="G73" s="1"/>
  <c r="D71"/>
  <c r="E71"/>
  <c r="F71" s="1"/>
  <c r="G71"/>
  <c r="F15"/>
  <c r="AA15"/>
  <c r="B68"/>
  <c r="H14"/>
  <c r="U14" s="1"/>
  <c r="B66"/>
  <c r="B64"/>
  <c r="D63"/>
  <c r="E63" s="1"/>
  <c r="F63"/>
  <c r="G63" s="1"/>
  <c r="H63" s="1"/>
  <c r="I63" s="1"/>
  <c r="J63"/>
  <c r="K63" s="1"/>
  <c r="L63" s="1"/>
  <c r="M63" s="1"/>
  <c r="M61"/>
  <c r="L61"/>
  <c r="K61"/>
  <c r="J61"/>
  <c r="I61"/>
  <c r="H61"/>
  <c r="G61"/>
  <c r="F61"/>
  <c r="E61"/>
  <c r="D61"/>
  <c r="C61"/>
  <c r="F60"/>
  <c r="G60"/>
  <c r="H60" s="1"/>
  <c r="I60" s="1"/>
  <c r="H10"/>
  <c r="U10"/>
  <c r="C57"/>
  <c r="P43"/>
  <c r="P42"/>
  <c r="V41"/>
  <c r="T41"/>
  <c r="R41"/>
  <c r="P41"/>
  <c r="Q40"/>
  <c r="Z40" s="1"/>
  <c r="Q39"/>
  <c r="Z39" s="1"/>
  <c r="Q38"/>
  <c r="Z38" s="1"/>
  <c r="Q37"/>
  <c r="Z37" s="1"/>
  <c r="Q36"/>
  <c r="Z36" s="1"/>
  <c r="Q35"/>
  <c r="Z35" s="1"/>
  <c r="Q34"/>
  <c r="Z34" s="1"/>
  <c r="Q33"/>
  <c r="Z33" s="1"/>
  <c r="Q32"/>
  <c r="Z32" s="1"/>
  <c r="Q31"/>
  <c r="Z31" s="1"/>
  <c r="J31"/>
  <c r="Q30"/>
  <c r="Z30"/>
  <c r="J30"/>
  <c r="W30"/>
  <c r="H30"/>
  <c r="AB30"/>
  <c r="F30"/>
  <c r="Q29"/>
  <c r="Z29" s="1"/>
  <c r="H29"/>
  <c r="U29" s="1"/>
  <c r="Q28"/>
  <c r="Z28" s="1"/>
  <c r="Q27"/>
  <c r="Z27" s="1"/>
  <c r="Q26"/>
  <c r="Z26" s="1"/>
  <c r="J26"/>
  <c r="H26"/>
  <c r="AB26"/>
  <c r="F26"/>
  <c r="AA26"/>
  <c r="Q25"/>
  <c r="Z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s="1"/>
  <c r="G81" s="1"/>
  <c r="H81" s="1"/>
  <c r="I81"/>
  <c r="J81" s="1"/>
  <c r="K81" s="1"/>
  <c r="L81" s="1"/>
  <c r="M81" s="1"/>
  <c r="F79"/>
  <c r="E79"/>
  <c r="D79"/>
  <c r="C79"/>
  <c r="B93"/>
  <c r="B91"/>
  <c r="F32" s="1"/>
  <c r="S32" s="1"/>
  <c r="B95"/>
  <c r="H34"/>
  <c r="D83"/>
  <c r="E83"/>
  <c r="F83" s="1"/>
  <c r="G83"/>
  <c r="H83" s="1"/>
  <c r="I83" s="1"/>
  <c r="J83" s="1"/>
  <c r="K83" s="1"/>
  <c r="L83" s="1"/>
  <c r="M83" s="1"/>
  <c r="D78"/>
  <c r="J26"/>
  <c r="W26" s="1"/>
  <c r="B75"/>
  <c r="B73"/>
  <c r="J24"/>
  <c r="W24" s="1"/>
  <c r="B71"/>
  <c r="D70"/>
  <c r="H22"/>
  <c r="AB22" s="1"/>
  <c r="D68"/>
  <c r="E68" s="1"/>
  <c r="D64"/>
  <c r="E64" s="1"/>
  <c r="F64"/>
  <c r="G64" s="1"/>
  <c r="J16"/>
  <c r="D62"/>
  <c r="E62"/>
  <c r="B59"/>
  <c r="B57"/>
  <c r="J12" s="1"/>
  <c r="B55"/>
  <c r="F54"/>
  <c r="G54"/>
  <c r="H54" s="1"/>
  <c r="I54" s="1"/>
  <c r="J10"/>
  <c r="W10"/>
  <c r="C5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c r="H27"/>
  <c r="U27"/>
  <c r="F27"/>
  <c r="AA27"/>
  <c r="J22"/>
  <c r="AC22"/>
  <c r="B101"/>
  <c r="H36"/>
  <c r="B99"/>
  <c r="B97"/>
  <c r="B77"/>
  <c r="B75"/>
  <c r="J24" s="1"/>
  <c r="AC24" s="1"/>
  <c r="B73"/>
  <c r="B57"/>
  <c r="B61"/>
  <c r="B59"/>
  <c r="H12" s="1"/>
  <c r="B131" i="34"/>
  <c r="B129"/>
  <c r="B127"/>
  <c r="B99"/>
  <c r="B97"/>
  <c r="B95"/>
  <c r="B93"/>
  <c r="B75"/>
  <c r="B73"/>
  <c r="B71"/>
  <c r="B130" i="33"/>
  <c r="B128"/>
  <c r="H45"/>
  <c r="U45" s="1"/>
  <c r="B126"/>
  <c r="B98"/>
  <c r="F31"/>
  <c r="AA31" s="1"/>
  <c r="B96"/>
  <c r="B94"/>
  <c r="B74"/>
  <c r="B72"/>
  <c r="B70"/>
  <c r="D96" i="35"/>
  <c r="E96"/>
  <c r="F96" s="1"/>
  <c r="G96" s="1"/>
  <c r="D94"/>
  <c r="D84"/>
  <c r="E84" s="1"/>
  <c r="F84"/>
  <c r="G84" s="1"/>
  <c r="H84" s="1"/>
  <c r="I84" s="1"/>
  <c r="J84"/>
  <c r="K84" s="1"/>
  <c r="L84" s="1"/>
  <c r="M84" s="1"/>
  <c r="D80"/>
  <c r="D72"/>
  <c r="D70"/>
  <c r="E70" s="1"/>
  <c r="F70" s="1"/>
  <c r="G70" s="1"/>
  <c r="D66"/>
  <c r="E66" s="1"/>
  <c r="F66" s="1"/>
  <c r="G66" s="1"/>
  <c r="D64"/>
  <c r="E64" s="1"/>
  <c r="F64" s="1"/>
  <c r="G64" s="1"/>
  <c r="F56"/>
  <c r="G56" s="1"/>
  <c r="H56" s="1"/>
  <c r="I56" s="1"/>
  <c r="C53"/>
  <c r="P39"/>
  <c r="P38"/>
  <c r="V37"/>
  <c r="T37"/>
  <c r="R37"/>
  <c r="P37"/>
  <c r="Q36"/>
  <c r="Z36"/>
  <c r="J36"/>
  <c r="AC36"/>
  <c r="Q35"/>
  <c r="Z35"/>
  <c r="Q34"/>
  <c r="Z34"/>
  <c r="Q33"/>
  <c r="Z33"/>
  <c r="Q32"/>
  <c r="Z32"/>
  <c r="H32"/>
  <c r="AB32"/>
  <c r="F32"/>
  <c r="AA32"/>
  <c r="Q31"/>
  <c r="Z31"/>
  <c r="AB31"/>
  <c r="Q30"/>
  <c r="Z30" s="1"/>
  <c r="Q29"/>
  <c r="Z29" s="1"/>
  <c r="Q28"/>
  <c r="Z28" s="1"/>
  <c r="J28"/>
  <c r="H28"/>
  <c r="F28"/>
  <c r="AA28" s="1"/>
  <c r="Q27"/>
  <c r="Z27" s="1"/>
  <c r="Q26"/>
  <c r="Z26" s="1"/>
  <c r="Q25"/>
  <c r="Z25" s="1"/>
  <c r="Q24"/>
  <c r="Z24" s="1"/>
  <c r="Q23"/>
  <c r="Z23" s="1"/>
  <c r="J23"/>
  <c r="AC23" s="1"/>
  <c r="Q22"/>
  <c r="Z22" s="1"/>
  <c r="Q20"/>
  <c r="Z20" s="1"/>
  <c r="Q16"/>
  <c r="Z16" s="1"/>
  <c r="Q14"/>
  <c r="Z14" s="1"/>
  <c r="Q13"/>
  <c r="Z13" s="1"/>
  <c r="Q12"/>
  <c r="Z12" s="1"/>
  <c r="J12"/>
  <c r="W12" s="1"/>
  <c r="F12"/>
  <c r="AA12" s="1"/>
  <c r="Q11"/>
  <c r="Z11" s="1"/>
  <c r="Q10"/>
  <c r="Z10" s="1"/>
  <c r="Q9"/>
  <c r="Z9" s="1"/>
  <c r="F9"/>
  <c r="AA9" s="1"/>
  <c r="J8"/>
  <c r="H8"/>
  <c r="F8"/>
  <c r="AA8" s="1"/>
  <c r="C7"/>
  <c r="D120" i="34"/>
  <c r="E120"/>
  <c r="F120" s="1"/>
  <c r="G120" s="1"/>
  <c r="H120" s="1"/>
  <c r="I120" s="1"/>
  <c r="J120" s="1"/>
  <c r="K120" s="1"/>
  <c r="L120" s="1"/>
  <c r="M120" s="1"/>
  <c r="D90"/>
  <c r="C15"/>
  <c r="F67"/>
  <c r="G67"/>
  <c r="H67" s="1"/>
  <c r="I67" s="1"/>
  <c r="H10"/>
  <c r="AB10"/>
  <c r="D126"/>
  <c r="E126"/>
  <c r="F126" s="1"/>
  <c r="G126"/>
  <c r="D124"/>
  <c r="E124"/>
  <c r="F124" s="1"/>
  <c r="G124" s="1"/>
  <c r="H124" s="1"/>
  <c r="I124"/>
  <c r="J124" s="1"/>
  <c r="K124" s="1"/>
  <c r="L124" s="1"/>
  <c r="M124" s="1"/>
  <c r="J43"/>
  <c r="D118"/>
  <c r="E118" s="1"/>
  <c r="F118" s="1"/>
  <c r="G118" s="1"/>
  <c r="H40"/>
  <c r="U40" s="1"/>
  <c r="D116"/>
  <c r="E116" s="1"/>
  <c r="F116"/>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c r="F102" s="1"/>
  <c r="G102"/>
  <c r="H102" s="1"/>
  <c r="I102" s="1"/>
  <c r="J102" s="1"/>
  <c r="K102" s="1"/>
  <c r="L102" s="1"/>
  <c r="M102" s="1"/>
  <c r="H33"/>
  <c r="U33"/>
  <c r="D92"/>
  <c r="E92"/>
  <c r="F92" s="1"/>
  <c r="G92"/>
  <c r="H92" s="1"/>
  <c r="I92" s="1"/>
  <c r="J92" s="1"/>
  <c r="K92" s="1"/>
  <c r="L92" s="1"/>
  <c r="M92" s="1"/>
  <c r="B91"/>
  <c r="F28"/>
  <c r="S28" s="1"/>
  <c r="B89"/>
  <c r="J27" s="1"/>
  <c r="D88"/>
  <c r="E88" s="1"/>
  <c r="F88"/>
  <c r="G88" s="1"/>
  <c r="H88" s="1"/>
  <c r="I88" s="1"/>
  <c r="J88" s="1"/>
  <c r="K88" s="1"/>
  <c r="L88" s="1"/>
  <c r="M88" s="1"/>
  <c r="D86"/>
  <c r="E86" s="1"/>
  <c r="D82"/>
  <c r="E82" s="1"/>
  <c r="F82"/>
  <c r="G82" s="1"/>
  <c r="D80"/>
  <c r="D78"/>
  <c r="D70"/>
  <c r="E70" s="1"/>
  <c r="F70"/>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s="1"/>
  <c r="Q40"/>
  <c r="Z40" s="1"/>
  <c r="F40"/>
  <c r="S40" s="1"/>
  <c r="Q39"/>
  <c r="Z39" s="1"/>
  <c r="J39"/>
  <c r="AC39" s="1"/>
  <c r="H39"/>
  <c r="U39" s="1"/>
  <c r="F39"/>
  <c r="Q38"/>
  <c r="Z38"/>
  <c r="Q37"/>
  <c r="Z37"/>
  <c r="Q36"/>
  <c r="Z36"/>
  <c r="Q35"/>
  <c r="Z35"/>
  <c r="Q34"/>
  <c r="Z34"/>
  <c r="J34"/>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Q11"/>
  <c r="Z11"/>
  <c r="Q10"/>
  <c r="Z10"/>
  <c r="F10"/>
  <c r="AA10"/>
  <c r="Q9"/>
  <c r="Z9"/>
  <c r="J9"/>
  <c r="AC9"/>
  <c r="H9"/>
  <c r="AB9"/>
  <c r="F9"/>
  <c r="AA9"/>
  <c r="J8"/>
  <c r="AC8"/>
  <c r="H8"/>
  <c r="U8"/>
  <c r="F8"/>
  <c r="AA8"/>
  <c r="C7"/>
  <c r="D121" i="33"/>
  <c r="F109"/>
  <c r="E109"/>
  <c r="D109"/>
  <c r="C109"/>
  <c r="D91"/>
  <c r="E91"/>
  <c r="F91" s="1"/>
  <c r="G91" s="1"/>
  <c r="H91" s="1"/>
  <c r="I91" s="1"/>
  <c r="J91" s="1"/>
  <c r="K91" s="1"/>
  <c r="L91" s="1"/>
  <c r="M91" s="1"/>
  <c r="B88"/>
  <c r="J26"/>
  <c r="AC26" s="1"/>
  <c r="C23"/>
  <c r="C19"/>
  <c r="C17"/>
  <c r="C15"/>
  <c r="C15" i="21"/>
  <c r="D125" i="33"/>
  <c r="D123"/>
  <c r="D117"/>
  <c r="E117"/>
  <c r="F117" s="1"/>
  <c r="G117"/>
  <c r="D115"/>
  <c r="E115"/>
  <c r="F115" s="1"/>
  <c r="G115" s="1"/>
  <c r="H115" s="1"/>
  <c r="I115" s="1"/>
  <c r="J115" s="1"/>
  <c r="K115" s="1"/>
  <c r="L115" s="1"/>
  <c r="M115" s="1"/>
  <c r="D108"/>
  <c r="E108"/>
  <c r="F108" s="1"/>
  <c r="G108" s="1"/>
  <c r="H108" s="1"/>
  <c r="I108" s="1"/>
  <c r="J108" s="1"/>
  <c r="K108" s="1"/>
  <c r="L108" s="1"/>
  <c r="M108" s="1"/>
  <c r="D106"/>
  <c r="M102"/>
  <c r="L102"/>
  <c r="K102"/>
  <c r="J102"/>
  <c r="I102"/>
  <c r="H102"/>
  <c r="G102"/>
  <c r="F102"/>
  <c r="E102"/>
  <c r="D102"/>
  <c r="C102"/>
  <c r="D101"/>
  <c r="E101"/>
  <c r="F101" s="1"/>
  <c r="G101" s="1"/>
  <c r="H101" s="1"/>
  <c r="I101" s="1"/>
  <c r="J101" s="1"/>
  <c r="K101" s="1"/>
  <c r="L101" s="1"/>
  <c r="M101" s="1"/>
  <c r="B92"/>
  <c r="B90"/>
  <c r="H27" s="1"/>
  <c r="U27" s="1"/>
  <c r="D87"/>
  <c r="E87"/>
  <c r="D85"/>
  <c r="E85"/>
  <c r="D81"/>
  <c r="E81"/>
  <c r="F81" s="1"/>
  <c r="G81"/>
  <c r="D79"/>
  <c r="E79"/>
  <c r="D77"/>
  <c r="E77"/>
  <c r="F77" s="1"/>
  <c r="G77" s="1"/>
  <c r="D69"/>
  <c r="E69"/>
  <c r="F69" s="1"/>
  <c r="G69"/>
  <c r="H69" s="1"/>
  <c r="I69" s="1"/>
  <c r="J69" s="1"/>
  <c r="K69" s="1"/>
  <c r="L69" s="1"/>
  <c r="M69" s="1"/>
  <c r="M67"/>
  <c r="L67"/>
  <c r="K67"/>
  <c r="J67"/>
  <c r="I67"/>
  <c r="H67"/>
  <c r="G67"/>
  <c r="F67"/>
  <c r="E67"/>
  <c r="D67"/>
  <c r="C67"/>
  <c r="G66"/>
  <c r="C63"/>
  <c r="H54"/>
  <c r="P49"/>
  <c r="P48"/>
  <c r="V47"/>
  <c r="T47"/>
  <c r="R47"/>
  <c r="P47"/>
  <c r="Q46"/>
  <c r="Z46"/>
  <c r="Q45"/>
  <c r="Z45"/>
  <c r="Q44"/>
  <c r="Z44"/>
  <c r="Q43"/>
  <c r="Z43"/>
  <c r="Q42"/>
  <c r="Z42"/>
  <c r="J42"/>
  <c r="AC42"/>
  <c r="W41"/>
  <c r="Q41"/>
  <c r="Z41" s="1"/>
  <c r="Q40"/>
  <c r="Z40" s="1"/>
  <c r="J40"/>
  <c r="AC40" s="1"/>
  <c r="H40"/>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s="1"/>
  <c r="D58" s="1"/>
  <c r="E58" s="1"/>
  <c r="M102" i="21"/>
  <c r="D102"/>
  <c r="E102"/>
  <c r="F102"/>
  <c r="G102"/>
  <c r="H102"/>
  <c r="I102"/>
  <c r="J102"/>
  <c r="K102"/>
  <c r="L102"/>
  <c r="C102"/>
  <c r="C63"/>
  <c r="F9"/>
  <c r="S9" s="1"/>
  <c r="G18" i="20"/>
  <c r="B87" i="46" s="1"/>
  <c r="C25" i="40"/>
  <c r="G16" i="20"/>
  <c r="B81" i="46"/>
  <c r="G15" i="20"/>
  <c r="B80" i="46"/>
  <c r="C24" i="20"/>
  <c r="B72" i="46"/>
  <c r="C21" i="20"/>
  <c r="B73" i="46"/>
  <c r="C20" i="20"/>
  <c r="B76" i="46"/>
  <c r="C18" i="20"/>
  <c r="B70" i="46"/>
  <c r="C17" i="20"/>
  <c r="B58" i="46"/>
  <c r="C16" i="20"/>
  <c r="B47" i="46"/>
  <c r="C15" i="20"/>
  <c r="B69" i="46"/>
  <c r="E54" i="21"/>
  <c r="F54"/>
  <c r="I54"/>
  <c r="J54"/>
  <c r="G54"/>
  <c r="H54"/>
  <c r="D125"/>
  <c r="E125"/>
  <c r="D123"/>
  <c r="E123"/>
  <c r="F123" s="1"/>
  <c r="G123" s="1"/>
  <c r="H123" s="1"/>
  <c r="I123" s="1"/>
  <c r="J123" s="1"/>
  <c r="K123" s="1"/>
  <c r="L123" s="1"/>
  <c r="M123" s="1"/>
  <c r="H42"/>
  <c r="AB42"/>
  <c r="D119"/>
  <c r="D117"/>
  <c r="E117" s="1"/>
  <c r="F117" s="1"/>
  <c r="G117" s="1"/>
  <c r="D115"/>
  <c r="E115" s="1"/>
  <c r="F115" s="1"/>
  <c r="G115" s="1"/>
  <c r="H115" s="1"/>
  <c r="I115" s="1"/>
  <c r="J115" s="1"/>
  <c r="K115" s="1"/>
  <c r="L115" s="1"/>
  <c r="M115" s="1"/>
  <c r="D113"/>
  <c r="E113" s="1"/>
  <c r="F113" s="1"/>
  <c r="G113" s="1"/>
  <c r="H113" s="1"/>
  <c r="D110"/>
  <c r="E110"/>
  <c r="F110" s="1"/>
  <c r="G110" s="1"/>
  <c r="H110" s="1"/>
  <c r="I110" s="1"/>
  <c r="J110" s="1"/>
  <c r="K110" s="1"/>
  <c r="L110" s="1"/>
  <c r="M110" s="1"/>
  <c r="J36"/>
  <c r="W36"/>
  <c r="D108"/>
  <c r="E108"/>
  <c r="F108" s="1"/>
  <c r="G108" s="1"/>
  <c r="H108" s="1"/>
  <c r="I108" s="1"/>
  <c r="J108" s="1"/>
  <c r="K108" s="1"/>
  <c r="L108" s="1"/>
  <c r="M108" s="1"/>
  <c r="D106"/>
  <c r="E106"/>
  <c r="F106" s="1"/>
  <c r="G106" s="1"/>
  <c r="H106" s="1"/>
  <c r="I106" s="1"/>
  <c r="J106" s="1"/>
  <c r="K106" s="1"/>
  <c r="L106" s="1"/>
  <c r="M106" s="1"/>
  <c r="D101"/>
  <c r="E101"/>
  <c r="F101" s="1"/>
  <c r="G101" s="1"/>
  <c r="H101" s="1"/>
  <c r="I101" s="1"/>
  <c r="J101" s="1"/>
  <c r="K101" s="1"/>
  <c r="L101" s="1"/>
  <c r="M101" s="1"/>
  <c r="D89"/>
  <c r="E89"/>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s="1"/>
  <c r="F10"/>
  <c r="AA10" s="1"/>
  <c r="C7"/>
  <c r="C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BB12" i="3"/>
  <c r="F9" i="12"/>
  <c r="G9"/>
  <c r="K5" i="3"/>
  <c r="J5"/>
  <c r="BE10"/>
  <c r="BI5"/>
  <c r="BB570"/>
  <c r="BC570"/>
  <c r="BA570" s="1"/>
  <c r="BD570"/>
  <c r="BE570"/>
  <c r="BF570"/>
  <c r="BF5" s="1"/>
  <c r="BG570"/>
  <c r="BG5" s="1"/>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G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AC13"/>
  <c r="BB11"/>
  <c r="BB10"/>
  <c r="AD5"/>
  <c r="AE5"/>
  <c r="AF5"/>
  <c r="AG5"/>
  <c r="AH5"/>
  <c r="AI5"/>
  <c r="AJ5"/>
  <c r="AK5"/>
  <c r="AM5"/>
  <c r="AN5"/>
  <c r="AO5"/>
  <c r="AP5"/>
  <c r="AQ5"/>
  <c r="AR5"/>
  <c r="AS5"/>
  <c r="AT5"/>
  <c r="I5"/>
  <c r="L5"/>
  <c r="M5"/>
  <c r="N5"/>
  <c r="O5"/>
  <c r="P5"/>
  <c r="Q5"/>
  <c r="R5"/>
  <c r="S5"/>
  <c r="T5"/>
  <c r="U5"/>
  <c r="V5"/>
  <c r="W5"/>
  <c r="X5"/>
  <c r="Y5"/>
  <c r="Z5"/>
  <c r="AA5"/>
  <c r="AB5"/>
  <c r="H570"/>
  <c r="H5" s="1"/>
  <c r="G570"/>
  <c r="H571"/>
  <c r="H572"/>
  <c r="G572" s="1"/>
  <c r="F5"/>
  <c r="G27" i="6"/>
  <c r="F34" i="21"/>
  <c r="AA34"/>
  <c r="H34"/>
  <c r="U34"/>
  <c r="F43"/>
  <c r="S43"/>
  <c r="H38"/>
  <c r="AB38"/>
  <c r="H43"/>
  <c r="AB43"/>
  <c r="F32"/>
  <c r="F38"/>
  <c r="S38" s="1"/>
  <c r="F36"/>
  <c r="S36" s="1"/>
  <c r="F39"/>
  <c r="AA39" s="1"/>
  <c r="J40"/>
  <c r="W40" s="1"/>
  <c r="H35"/>
  <c r="AB35" s="1"/>
  <c r="J8"/>
  <c r="AC8" s="1"/>
  <c r="J9"/>
  <c r="AC9" s="1"/>
  <c r="H8"/>
  <c r="H9"/>
  <c r="AB9"/>
  <c r="H10"/>
  <c r="U10"/>
  <c r="H39"/>
  <c r="AB39"/>
  <c r="J34"/>
  <c r="W34"/>
  <c r="H36"/>
  <c r="U36" s="1"/>
  <c r="F35"/>
  <c r="AA35" s="1"/>
  <c r="J33"/>
  <c r="W33" s="1"/>
  <c r="H33"/>
  <c r="U33" s="1"/>
  <c r="F33"/>
  <c r="J10"/>
  <c r="AC10" s="1"/>
  <c r="H26"/>
  <c r="F19"/>
  <c r="AA19" s="1"/>
  <c r="H19"/>
  <c r="AB19" s="1"/>
  <c r="J19"/>
  <c r="W19" s="1"/>
  <c r="J12"/>
  <c r="H12"/>
  <c r="U12"/>
  <c r="J26"/>
  <c r="W26"/>
  <c r="F26"/>
  <c r="AA26"/>
  <c r="AB41"/>
  <c r="S41"/>
  <c r="AA41"/>
  <c r="W41"/>
  <c r="S10" i="39"/>
  <c r="U30" i="37"/>
  <c r="E103"/>
  <c r="F103"/>
  <c r="F39"/>
  <c r="S39"/>
  <c r="W39"/>
  <c r="F29" i="36"/>
  <c r="AA29" s="1"/>
  <c r="F16"/>
  <c r="AA16" s="1"/>
  <c r="U22"/>
  <c r="W23"/>
  <c r="W22"/>
  <c r="U26"/>
  <c r="AC31"/>
  <c r="J33"/>
  <c r="W33"/>
  <c r="AC27" i="35"/>
  <c r="U31"/>
  <c r="W36"/>
  <c r="W24"/>
  <c r="S31"/>
  <c r="W31"/>
  <c r="F36" i="34"/>
  <c r="S36"/>
  <c r="W9"/>
  <c r="S34"/>
  <c r="W39"/>
  <c r="H39" i="33"/>
  <c r="AB39" s="1"/>
  <c r="F26"/>
  <c r="AA26" s="1"/>
  <c r="U9"/>
  <c r="U33"/>
  <c r="W38"/>
  <c r="S40"/>
  <c r="S33"/>
  <c r="W33"/>
  <c r="U38"/>
  <c r="S8" i="21"/>
  <c r="W8"/>
  <c r="H39" i="37"/>
  <c r="AB39"/>
  <c r="AB27" i="35"/>
  <c r="S10" i="40"/>
  <c r="W10"/>
  <c r="S11"/>
  <c r="U11"/>
  <c r="S36"/>
  <c r="U36"/>
  <c r="S36" i="39"/>
  <c r="F11" i="21"/>
  <c r="S11"/>
  <c r="AC40"/>
  <c r="AA38"/>
  <c r="AB36"/>
  <c r="AC35"/>
  <c r="C29" i="39"/>
  <c r="C23"/>
  <c r="U36"/>
  <c r="S42"/>
  <c r="H32" i="33"/>
  <c r="AB32"/>
  <c r="H11" i="21"/>
  <c r="U11"/>
  <c r="J11"/>
  <c r="W11"/>
  <c r="F100" i="40"/>
  <c r="F86"/>
  <c r="AA12" i="33"/>
  <c r="U9" i="21"/>
  <c r="J27" i="36"/>
  <c r="W27"/>
  <c r="J34"/>
  <c r="W34"/>
  <c r="J30" i="35"/>
  <c r="W30"/>
  <c r="F22"/>
  <c r="AA22"/>
  <c r="H10"/>
  <c r="U10"/>
  <c r="AC24" i="36"/>
  <c r="U29"/>
  <c r="U24"/>
  <c r="E85"/>
  <c r="F85" s="1"/>
  <c r="G85" s="1"/>
  <c r="H85" s="1"/>
  <c r="I85" s="1"/>
  <c r="J85" s="1"/>
  <c r="K85" s="1"/>
  <c r="L85" s="1"/>
  <c r="M85" s="1"/>
  <c r="J29"/>
  <c r="AC29"/>
  <c r="F12"/>
  <c r="S12"/>
  <c r="F24"/>
  <c r="AA24"/>
  <c r="F34"/>
  <c r="S34"/>
  <c r="S10"/>
  <c r="AB8"/>
  <c r="H16" i="35"/>
  <c r="U16" s="1"/>
  <c r="H33"/>
  <c r="AB33" s="1"/>
  <c r="W8"/>
  <c r="AC8"/>
  <c r="F35" i="37"/>
  <c r="E101"/>
  <c r="F101"/>
  <c r="G101" s="1"/>
  <c r="H101" s="1"/>
  <c r="I101" s="1"/>
  <c r="J101" s="1"/>
  <c r="K101" s="1"/>
  <c r="L101" s="1"/>
  <c r="M101" s="1"/>
  <c r="J34"/>
  <c r="W34" s="1"/>
  <c r="AA39"/>
  <c r="H43" i="34"/>
  <c r="U42"/>
  <c r="E114"/>
  <c r="H36"/>
  <c r="U36" s="1"/>
  <c r="F37"/>
  <c r="AA37" s="1"/>
  <c r="F33"/>
  <c r="S33" s="1"/>
  <c r="AA28"/>
  <c r="F19"/>
  <c r="AA19"/>
  <c r="J10"/>
  <c r="AC10" s="1"/>
  <c r="U9"/>
  <c r="W8"/>
  <c r="J28"/>
  <c r="W28" s="1"/>
  <c r="S38" i="33"/>
  <c r="E113"/>
  <c r="F36"/>
  <c r="S36" s="1"/>
  <c r="F19"/>
  <c r="S19" s="1"/>
  <c r="J19"/>
  <c r="S10" i="21"/>
  <c r="W40" i="33"/>
  <c r="F125" i="21"/>
  <c r="G125"/>
  <c r="G86" i="40"/>
  <c r="AB30" i="36"/>
  <c r="AC34"/>
  <c r="S22" i="35"/>
  <c r="H29"/>
  <c r="U34" i="37"/>
  <c r="S34"/>
  <c r="AA34"/>
  <c r="AC43" i="34"/>
  <c r="AB42"/>
  <c r="AB40"/>
  <c r="W36"/>
  <c r="J19"/>
  <c r="AC19"/>
  <c r="F113" i="33"/>
  <c r="G113"/>
  <c r="H113" s="1"/>
  <c r="I113" s="1"/>
  <c r="J113" s="1"/>
  <c r="K113" s="1"/>
  <c r="L113" s="1"/>
  <c r="M113" s="1"/>
  <c r="H37"/>
  <c r="AB37"/>
  <c r="S37"/>
  <c r="W43" i="34"/>
  <c r="AC42"/>
  <c r="W42"/>
  <c r="AA42"/>
  <c r="S42"/>
  <c r="AC38"/>
  <c r="W38"/>
  <c r="AA38"/>
  <c r="S38"/>
  <c r="J37" i="33"/>
  <c r="W37"/>
  <c r="J42" i="21"/>
  <c r="AC42"/>
  <c r="J44" i="34"/>
  <c r="AC44" s="1"/>
  <c r="F44"/>
  <c r="S44" s="1"/>
  <c r="J10" i="35"/>
  <c r="W10" s="1"/>
  <c r="AL5" i="3"/>
  <c r="BL572"/>
  <c r="J14" i="21"/>
  <c r="F14"/>
  <c r="AA14" s="1"/>
  <c r="H14"/>
  <c r="U14" s="1"/>
  <c r="H28"/>
  <c r="AB28" s="1"/>
  <c r="F28"/>
  <c r="J28"/>
  <c r="AC28"/>
  <c r="H30"/>
  <c r="U30"/>
  <c r="F30"/>
  <c r="S30"/>
  <c r="J30"/>
  <c r="J44"/>
  <c r="AC44" s="1"/>
  <c r="H44"/>
  <c r="U44" s="1"/>
  <c r="F44"/>
  <c r="AA44" s="1"/>
  <c r="H46"/>
  <c r="AB46" s="1"/>
  <c r="J46"/>
  <c r="W46" s="1"/>
  <c r="F46"/>
  <c r="AA46" s="1"/>
  <c r="H26" i="33"/>
  <c r="U26" s="1"/>
  <c r="H28"/>
  <c r="F28"/>
  <c r="AA28"/>
  <c r="J28"/>
  <c r="W28"/>
  <c r="F33" i="35"/>
  <c r="S33"/>
  <c r="J33"/>
  <c r="W33"/>
  <c r="F30"/>
  <c r="AA30"/>
  <c r="E89"/>
  <c r="F89"/>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S31"/>
  <c r="J45"/>
  <c r="W45"/>
  <c r="F45"/>
  <c r="S45"/>
  <c r="F11" i="35"/>
  <c r="S11"/>
  <c r="H28" i="36"/>
  <c r="U28"/>
  <c r="H32"/>
  <c r="AB32"/>
  <c r="J32"/>
  <c r="J11"/>
  <c r="W11" s="1"/>
  <c r="H13"/>
  <c r="AB13" s="1"/>
  <c r="J13"/>
  <c r="W13" s="1"/>
  <c r="F13"/>
  <c r="S13" s="1"/>
  <c r="E89" i="37"/>
  <c r="F89" s="1"/>
  <c r="G89" s="1"/>
  <c r="H89" s="1"/>
  <c r="I89" s="1"/>
  <c r="J89" s="1"/>
  <c r="K89" s="1"/>
  <c r="L89" s="1"/>
  <c r="M89" s="1"/>
  <c r="J29"/>
  <c r="W29"/>
  <c r="F29"/>
  <c r="AA29"/>
  <c r="F105"/>
  <c r="AB36"/>
  <c r="F107"/>
  <c r="J37"/>
  <c r="AC37" s="1"/>
  <c r="H37"/>
  <c r="U37" s="1"/>
  <c r="H40"/>
  <c r="U40" s="1"/>
  <c r="J40"/>
  <c r="F40"/>
  <c r="AA40"/>
  <c r="H14" i="33"/>
  <c r="U14"/>
  <c r="F14"/>
  <c r="AA14"/>
  <c r="J14"/>
  <c r="AC14"/>
  <c r="H30"/>
  <c r="AB30"/>
  <c r="F30"/>
  <c r="S30"/>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AB13" i="35"/>
  <c r="U30" i="33"/>
  <c r="J36" i="37"/>
  <c r="AC36" s="1"/>
  <c r="G105"/>
  <c r="AB28" i="36"/>
  <c r="AB31" i="21"/>
  <c r="S46"/>
  <c r="U46"/>
  <c r="AC30"/>
  <c r="W30"/>
  <c r="AB30"/>
  <c r="S28"/>
  <c r="AA28"/>
  <c r="AB14"/>
  <c r="W14"/>
  <c r="AC14"/>
  <c r="W42"/>
  <c r="S46" i="33"/>
  <c r="U36" i="37"/>
  <c r="AC13" i="36"/>
  <c r="AB45" i="33"/>
  <c r="AB31"/>
  <c r="AB27"/>
  <c r="AC28"/>
  <c r="U28" i="21"/>
  <c r="AB44"/>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c r="BA555"/>
  <c r="AZ555"/>
  <c r="BA551"/>
  <c r="AZ551"/>
  <c r="BA545"/>
  <c r="BA543"/>
  <c r="BA541"/>
  <c r="AZ541"/>
  <c r="BA531"/>
  <c r="BA521"/>
  <c r="BA509"/>
  <c r="BA505"/>
  <c r="BA501"/>
  <c r="BA493"/>
  <c r="AZ493" s="1"/>
  <c r="BA487"/>
  <c r="BA19"/>
  <c r="BA572"/>
  <c r="AZ572" s="1"/>
  <c r="BA566"/>
  <c r="BA562"/>
  <c r="AZ562" s="1"/>
  <c r="BA560"/>
  <c r="BA558"/>
  <c r="BA556"/>
  <c r="BA554"/>
  <c r="BA550"/>
  <c r="BA546"/>
  <c r="BA544"/>
  <c r="AZ544" s="1"/>
  <c r="BA540"/>
  <c r="BA536"/>
  <c r="BA532"/>
  <c r="BA528"/>
  <c r="BA524"/>
  <c r="BA520"/>
  <c r="AZ520" s="1"/>
  <c r="BA516"/>
  <c r="BA512"/>
  <c r="BA508"/>
  <c r="BA502"/>
  <c r="BA498"/>
  <c r="BA492"/>
  <c r="AZ492" s="1"/>
  <c r="BA488"/>
  <c r="BA484"/>
  <c r="BA20"/>
  <c r="AZ545"/>
  <c r="G566"/>
  <c r="G562"/>
  <c r="G560"/>
  <c r="G558"/>
  <c r="G556"/>
  <c r="G554"/>
  <c r="G550"/>
  <c r="G546"/>
  <c r="BL543"/>
  <c r="AZ543"/>
  <c r="BA542"/>
  <c r="AC542"/>
  <c r="G542" s="1"/>
  <c r="BQ542"/>
  <c r="BL542" s="1"/>
  <c r="AZ542" s="1"/>
  <c r="BQ568"/>
  <c r="BQ566"/>
  <c r="BQ564"/>
  <c r="BL564"/>
  <c r="BQ562"/>
  <c r="BL562"/>
  <c r="BQ560"/>
  <c r="BL560" s="1"/>
  <c r="AZ560" s="1"/>
  <c r="BQ558"/>
  <c r="BL558" s="1"/>
  <c r="AZ558" s="1"/>
  <c r="BQ556"/>
  <c r="BL556" s="1"/>
  <c r="AZ556" s="1"/>
  <c r="BQ554"/>
  <c r="BQ552"/>
  <c r="BL552" s="1"/>
  <c r="BQ550"/>
  <c r="BL550" s="1"/>
  <c r="AZ550" s="1"/>
  <c r="BQ548"/>
  <c r="BQ546"/>
  <c r="BL546"/>
  <c r="BQ544"/>
  <c r="BL544"/>
  <c r="G544"/>
  <c r="G538"/>
  <c r="G534"/>
  <c r="G530"/>
  <c r="G526"/>
  <c r="G522"/>
  <c r="BQ540"/>
  <c r="BL540" s="1"/>
  <c r="BQ538"/>
  <c r="BL538" s="1"/>
  <c r="BQ536"/>
  <c r="BQ534"/>
  <c r="BL534"/>
  <c r="BQ532"/>
  <c r="BL532"/>
  <c r="BQ530"/>
  <c r="BQ528"/>
  <c r="BQ526"/>
  <c r="BL526"/>
  <c r="BQ524"/>
  <c r="BL524"/>
  <c r="BQ522"/>
  <c r="BQ520"/>
  <c r="BL520" s="1"/>
  <c r="BQ518"/>
  <c r="BQ516"/>
  <c r="BL516"/>
  <c r="BQ514"/>
  <c r="BL514"/>
  <c r="BQ512"/>
  <c r="BQ510"/>
  <c r="BL510" s="1"/>
  <c r="BQ508"/>
  <c r="BL508" s="1"/>
  <c r="AC506"/>
  <c r="G506" s="1"/>
  <c r="BQ506"/>
  <c r="G502"/>
  <c r="G498"/>
  <c r="BQ504"/>
  <c r="BQ502"/>
  <c r="BL502" s="1"/>
  <c r="AZ502" s="1"/>
  <c r="BQ500"/>
  <c r="BL500" s="1"/>
  <c r="BQ498"/>
  <c r="BQ496"/>
  <c r="AC494"/>
  <c r="BQ494"/>
  <c r="BL493"/>
  <c r="G492"/>
  <c r="G488"/>
  <c r="G484"/>
  <c r="G20"/>
  <c r="BQ492"/>
  <c r="BL492"/>
  <c r="BQ490"/>
  <c r="BQ488"/>
  <c r="BL488" s="1"/>
  <c r="BQ486"/>
  <c r="BQ484"/>
  <c r="BL484"/>
  <c r="AZ484" s="1"/>
  <c r="BQ482"/>
  <c r="BL482"/>
  <c r="BQ20"/>
  <c r="BL20"/>
  <c r="AZ20" s="1"/>
  <c r="BQ18"/>
  <c r="AZ501"/>
  <c r="S505" i="31"/>
  <c r="S503"/>
  <c r="S501"/>
  <c r="S499"/>
  <c r="O27"/>
  <c r="O28"/>
  <c r="O26"/>
  <c r="M27"/>
  <c r="M28"/>
  <c r="M26"/>
  <c r="I26"/>
  <c r="I25"/>
  <c r="S25"/>
  <c r="Q26"/>
  <c r="K26"/>
  <c r="I27"/>
  <c r="Q27"/>
  <c r="K27"/>
  <c r="I28"/>
  <c r="Q28"/>
  <c r="K28"/>
  <c r="AC28" i="34"/>
  <c r="H25" i="21"/>
  <c r="U25" s="1"/>
  <c r="F25"/>
  <c r="S25" s="1"/>
  <c r="J25"/>
  <c r="AC25" s="1"/>
  <c r="E125" i="33"/>
  <c r="F125" s="1"/>
  <c r="G125" s="1"/>
  <c r="H43"/>
  <c r="U43"/>
  <c r="H17" i="37"/>
  <c r="U17"/>
  <c r="F23"/>
  <c r="S23"/>
  <c r="F79"/>
  <c r="AB27"/>
  <c r="F39" i="33"/>
  <c r="AA39"/>
  <c r="E123"/>
  <c r="F42"/>
  <c r="AA42" s="1"/>
  <c r="H28" i="34"/>
  <c r="AB28" s="1"/>
  <c r="F22" i="36"/>
  <c r="S22" s="1"/>
  <c r="H35" i="34"/>
  <c r="U35" s="1"/>
  <c r="F41"/>
  <c r="S41" s="1"/>
  <c r="H41"/>
  <c r="U41" s="1"/>
  <c r="J41"/>
  <c r="W41" s="1"/>
  <c r="F10" i="35"/>
  <c r="AA10" s="1"/>
  <c r="F24"/>
  <c r="AA24" s="1"/>
  <c r="H24"/>
  <c r="AB24" s="1"/>
  <c r="H23" i="37"/>
  <c r="AB23" s="1"/>
  <c r="J32"/>
  <c r="AC32" s="1"/>
  <c r="F36"/>
  <c r="S36" s="1"/>
  <c r="F37"/>
  <c r="AA37" s="1"/>
  <c r="U23"/>
  <c r="F123" i="33"/>
  <c r="G123" s="1"/>
  <c r="H123" s="1"/>
  <c r="I123" s="1"/>
  <c r="J123" s="1"/>
  <c r="K123" s="1"/>
  <c r="L123" s="1"/>
  <c r="M123" s="1"/>
  <c r="H42"/>
  <c r="U42" s="1"/>
  <c r="J43"/>
  <c r="AC43" s="1"/>
  <c r="G79" i="37"/>
  <c r="J23"/>
  <c r="W23"/>
  <c r="F17"/>
  <c r="AA17"/>
  <c r="AB43" i="33"/>
  <c r="D3" i="21"/>
  <c r="AC33" i="36"/>
  <c r="AC12" i="35"/>
  <c r="W23"/>
  <c r="AC23" i="37"/>
  <c r="S27"/>
  <c r="U39"/>
  <c r="AC8"/>
  <c r="AC36" i="34"/>
  <c r="AB8"/>
  <c r="AC37" i="33"/>
  <c r="AA13"/>
  <c r="AC45"/>
  <c r="U19" i="21"/>
  <c r="AC33"/>
  <c r="AA36"/>
  <c r="S39" i="33"/>
  <c r="F43"/>
  <c r="AA43" s="1"/>
  <c r="AA23" i="37"/>
  <c r="AB44" i="33"/>
  <c r="G107" i="37"/>
  <c r="H107"/>
  <c r="I107" s="1"/>
  <c r="J107" s="1"/>
  <c r="K107" s="1"/>
  <c r="L107" s="1"/>
  <c r="M107" s="1"/>
  <c r="AA9" i="21"/>
  <c r="F37"/>
  <c r="S37"/>
  <c r="J37"/>
  <c r="W37"/>
  <c r="H19" i="34"/>
  <c r="AB19"/>
  <c r="J10" i="37"/>
  <c r="W10"/>
  <c r="F36" i="35"/>
  <c r="S36"/>
  <c r="J9" i="37"/>
  <c r="W9"/>
  <c r="H9"/>
  <c r="U9"/>
  <c r="F9"/>
  <c r="S9"/>
  <c r="F11"/>
  <c r="S11"/>
  <c r="J12"/>
  <c r="AC12"/>
  <c r="H12"/>
  <c r="AB12"/>
  <c r="F12"/>
  <c r="AA12"/>
  <c r="H15"/>
  <c r="U15"/>
  <c r="E94"/>
  <c r="F31"/>
  <c r="S31" s="1"/>
  <c r="F94"/>
  <c r="G94" s="1"/>
  <c r="H94" s="1"/>
  <c r="I94" s="1"/>
  <c r="J94" s="1"/>
  <c r="K94" s="1"/>
  <c r="L94" s="1"/>
  <c r="M94" s="1"/>
  <c r="H31"/>
  <c r="AB31" s="1"/>
  <c r="J15"/>
  <c r="W15" s="1"/>
  <c r="U12"/>
  <c r="AB10"/>
  <c r="J11"/>
  <c r="W11" s="1"/>
  <c r="U31"/>
  <c r="E90" i="40"/>
  <c r="F21"/>
  <c r="S21" s="1"/>
  <c r="W36"/>
  <c r="U40" i="39"/>
  <c r="F90" i="40"/>
  <c r="G90" s="1"/>
  <c r="J21"/>
  <c r="AC21"/>
  <c r="S27" i="31"/>
  <c r="AZ540" i="3"/>
  <c r="G483"/>
  <c r="G515"/>
  <c r="G507"/>
  <c r="G501"/>
  <c r="BA15"/>
  <c r="BL17"/>
  <c r="BL15"/>
  <c r="BA14"/>
  <c r="BT5"/>
  <c r="J57" i="39"/>
  <c r="H13" i="40"/>
  <c r="U13" s="1"/>
  <c r="H12" i="48"/>
  <c r="I4" i="4"/>
  <c r="K141" i="21"/>
  <c r="K143"/>
  <c r="K144"/>
  <c r="I59" i="40"/>
  <c r="C59" s="1"/>
  <c r="I60"/>
  <c r="C60" s="1"/>
  <c r="W9" i="33"/>
  <c r="G297" i="3"/>
  <c r="BL298"/>
  <c r="G299"/>
  <c r="BL300"/>
  <c r="BA302"/>
  <c r="AZ302" s="1"/>
  <c r="BA303"/>
  <c r="BL303"/>
  <c r="G304"/>
  <c r="BA305"/>
  <c r="G321"/>
  <c r="BL322"/>
  <c r="G323"/>
  <c r="BL324"/>
  <c r="BA326"/>
  <c r="AZ326"/>
  <c r="BA327"/>
  <c r="BL327"/>
  <c r="AZ327" s="1"/>
  <c r="G328"/>
  <c r="BA329"/>
  <c r="AZ329"/>
  <c r="G337"/>
  <c r="BL338"/>
  <c r="G339"/>
  <c r="BL340"/>
  <c r="BA342"/>
  <c r="AZ342"/>
  <c r="BA343"/>
  <c r="BL343"/>
  <c r="AZ343" s="1"/>
  <c r="G344"/>
  <c r="BA345"/>
  <c r="G353"/>
  <c r="BL354"/>
  <c r="G355"/>
  <c r="BL356"/>
  <c r="G357"/>
  <c r="BL358"/>
  <c r="G359"/>
  <c r="BA360"/>
  <c r="AZ360"/>
  <c r="BA361"/>
  <c r="BL361"/>
  <c r="AZ361" s="1"/>
  <c r="G362"/>
  <c r="BA363"/>
  <c r="AZ363" s="1"/>
  <c r="G371"/>
  <c r="BL372"/>
  <c r="G373"/>
  <c r="BL374"/>
  <c r="BA376"/>
  <c r="AZ376"/>
  <c r="BA377"/>
  <c r="AZ377"/>
  <c r="BL377"/>
  <c r="G378"/>
  <c r="BA379"/>
  <c r="BA114"/>
  <c r="AZ114" s="1"/>
  <c r="BL115"/>
  <c r="AZ115" s="1"/>
  <c r="G116"/>
  <c r="BA118"/>
  <c r="AZ118"/>
  <c r="BL119"/>
  <c r="AZ119"/>
  <c r="G120"/>
  <c r="BA122"/>
  <c r="AZ122" s="1"/>
  <c r="BL123"/>
  <c r="AZ123" s="1"/>
  <c r="G124"/>
  <c r="BA126"/>
  <c r="AZ126"/>
  <c r="BL127"/>
  <c r="G128"/>
  <c r="BA130"/>
  <c r="AZ130"/>
  <c r="BL131"/>
  <c r="AZ131"/>
  <c r="G132"/>
  <c r="BA134"/>
  <c r="AZ134" s="1"/>
  <c r="BL135"/>
  <c r="AZ135" s="1"/>
  <c r="G136"/>
  <c r="BA138"/>
  <c r="AZ138"/>
  <c r="BL139"/>
  <c r="AZ139"/>
  <c r="G140"/>
  <c r="BA142"/>
  <c r="AZ142" s="1"/>
  <c r="BL143"/>
  <c r="G144"/>
  <c r="BA146"/>
  <c r="AZ146"/>
  <c r="BL147"/>
  <c r="AZ147"/>
  <c r="G148"/>
  <c r="BA150"/>
  <c r="AZ150" s="1"/>
  <c r="BL151"/>
  <c r="AZ151" s="1"/>
  <c r="BA153"/>
  <c r="AZ153" s="1"/>
  <c r="BL154"/>
  <c r="G155"/>
  <c r="BA157"/>
  <c r="AZ157" s="1"/>
  <c r="BL158"/>
  <c r="AZ158" s="1"/>
  <c r="G159"/>
  <c r="BA161"/>
  <c r="AZ161" s="1"/>
  <c r="BL162"/>
  <c r="G163"/>
  <c r="BA165"/>
  <c r="AZ165" s="1"/>
  <c r="BL166"/>
  <c r="AZ166" s="1"/>
  <c r="G167"/>
  <c r="BA169"/>
  <c r="AZ169" s="1"/>
  <c r="BL170"/>
  <c r="G171"/>
  <c r="BA173"/>
  <c r="AZ173" s="1"/>
  <c r="BL174"/>
  <c r="AZ174" s="1"/>
  <c r="G175"/>
  <c r="BA178"/>
  <c r="AZ178" s="1"/>
  <c r="BL179"/>
  <c r="G180"/>
  <c r="AZ23"/>
  <c r="AZ27"/>
  <c r="AZ31"/>
  <c r="AZ35"/>
  <c r="AZ39"/>
  <c r="AZ43"/>
  <c r="AZ47"/>
  <c r="AZ51"/>
  <c r="AZ55"/>
  <c r="AZ59"/>
  <c r="G537"/>
  <c r="BL181"/>
  <c r="AZ181"/>
  <c r="G182"/>
  <c r="BA184"/>
  <c r="AZ184" s="1"/>
  <c r="BL185"/>
  <c r="AZ185" s="1"/>
  <c r="G186"/>
  <c r="BA188"/>
  <c r="AZ188" s="1"/>
  <c r="BL189"/>
  <c r="AZ189" s="1"/>
  <c r="G190"/>
  <c r="BA192"/>
  <c r="AZ192"/>
  <c r="BL193"/>
  <c r="AZ193"/>
  <c r="G194"/>
  <c r="BA196"/>
  <c r="AZ196" s="1"/>
  <c r="BL197"/>
  <c r="AZ197" s="1"/>
  <c r="G198"/>
  <c r="BA200"/>
  <c r="AZ200"/>
  <c r="BL201"/>
  <c r="AZ66"/>
  <c r="AZ70"/>
  <c r="AZ74"/>
  <c r="AZ78"/>
  <c r="AZ82"/>
  <c r="AZ201"/>
  <c r="AZ84"/>
  <c r="AZ86"/>
  <c r="AZ90"/>
  <c r="AZ94"/>
  <c r="AZ98"/>
  <c r="AZ102"/>
  <c r="AZ106"/>
  <c r="AZ110"/>
  <c r="G491"/>
  <c r="BA298"/>
  <c r="AZ298" s="1"/>
  <c r="BA299"/>
  <c r="AZ299" s="1"/>
  <c r="BL299"/>
  <c r="G300"/>
  <c r="G303"/>
  <c r="BL304"/>
  <c r="BA306"/>
  <c r="AZ306" s="1"/>
  <c r="BA307"/>
  <c r="BL307"/>
  <c r="AZ307"/>
  <c r="G308"/>
  <c r="G319"/>
  <c r="BL320"/>
  <c r="BA322"/>
  <c r="BA323"/>
  <c r="AZ323"/>
  <c r="BL323"/>
  <c r="G324"/>
  <c r="G327"/>
  <c r="BL328"/>
  <c r="BA330"/>
  <c r="AZ330"/>
  <c r="BA331"/>
  <c r="BL331"/>
  <c r="G332"/>
  <c r="G335"/>
  <c r="BL336"/>
  <c r="BA338"/>
  <c r="AZ338" s="1"/>
  <c r="BA339"/>
  <c r="BL339"/>
  <c r="G340"/>
  <c r="G343"/>
  <c r="BL344"/>
  <c r="BA346"/>
  <c r="AZ346"/>
  <c r="BA347"/>
  <c r="BL347"/>
  <c r="AZ347" s="1"/>
  <c r="G348"/>
  <c r="G351"/>
  <c r="BL352"/>
  <c r="BA354"/>
  <c r="BA355"/>
  <c r="AZ355"/>
  <c r="BL355"/>
  <c r="G356"/>
  <c r="AZ127"/>
  <c r="AZ143"/>
  <c r="BA358"/>
  <c r="AZ358" s="1"/>
  <c r="BA359"/>
  <c r="BL359"/>
  <c r="AZ359"/>
  <c r="G360"/>
  <c r="G361"/>
  <c r="BL362"/>
  <c r="BA364"/>
  <c r="AZ364" s="1"/>
  <c r="BA365"/>
  <c r="AZ365" s="1"/>
  <c r="BL365"/>
  <c r="G366"/>
  <c r="G369"/>
  <c r="BL370"/>
  <c r="BA372"/>
  <c r="AZ372"/>
  <c r="BA373"/>
  <c r="BL373"/>
  <c r="AZ373" s="1"/>
  <c r="G374"/>
  <c r="G377"/>
  <c r="BL378"/>
  <c r="BA380"/>
  <c r="AZ380"/>
  <c r="BA381"/>
  <c r="AZ381"/>
  <c r="BL381"/>
  <c r="G382"/>
  <c r="G385"/>
  <c r="AZ154"/>
  <c r="AZ162"/>
  <c r="AZ170"/>
  <c r="AZ179"/>
  <c r="AZ183"/>
  <c r="AZ187"/>
  <c r="AZ191"/>
  <c r="AZ195"/>
  <c r="AZ199"/>
  <c r="AZ203"/>
  <c r="G523"/>
  <c r="BL297"/>
  <c r="AZ297" s="1"/>
  <c r="G298"/>
  <c r="BA300"/>
  <c r="BL301"/>
  <c r="AZ301" s="1"/>
  <c r="G302"/>
  <c r="BA304"/>
  <c r="AZ304"/>
  <c r="BL305"/>
  <c r="AZ305" s="1"/>
  <c r="G306"/>
  <c r="BA308"/>
  <c r="AZ308"/>
  <c r="BL309"/>
  <c r="G310"/>
  <c r="BA310"/>
  <c r="AZ310"/>
  <c r="BL311"/>
  <c r="G312"/>
  <c r="BA312"/>
  <c r="AZ312"/>
  <c r="BL313"/>
  <c r="G314"/>
  <c r="BA314"/>
  <c r="AZ314"/>
  <c r="BL315"/>
  <c r="G316"/>
  <c r="BA316"/>
  <c r="AZ316"/>
  <c r="BL317"/>
  <c r="G318"/>
  <c r="BA320"/>
  <c r="AZ320"/>
  <c r="BL321"/>
  <c r="G322"/>
  <c r="BA324"/>
  <c r="AZ324"/>
  <c r="BL325"/>
  <c r="G326"/>
  <c r="BA328"/>
  <c r="AZ328"/>
  <c r="BL329"/>
  <c r="G330"/>
  <c r="BA332"/>
  <c r="AZ332"/>
  <c r="BL333"/>
  <c r="G334"/>
  <c r="BA336"/>
  <c r="AZ336"/>
  <c r="BL337"/>
  <c r="G338"/>
  <c r="BA340"/>
  <c r="AZ340"/>
  <c r="BL341"/>
  <c r="G342"/>
  <c r="BA344"/>
  <c r="AZ344"/>
  <c r="BL345"/>
  <c r="AZ345" s="1"/>
  <c r="G346"/>
  <c r="BA348"/>
  <c r="AZ348"/>
  <c r="BL349"/>
  <c r="G350"/>
  <c r="BA352"/>
  <c r="AZ352"/>
  <c r="BL353"/>
  <c r="G354"/>
  <c r="BA356"/>
  <c r="AZ356"/>
  <c r="BL357"/>
  <c r="G358"/>
  <c r="BA362"/>
  <c r="AZ362"/>
  <c r="BL363"/>
  <c r="G364"/>
  <c r="BA366"/>
  <c r="AZ366"/>
  <c r="BL367"/>
  <c r="AZ205"/>
  <c r="AZ209"/>
  <c r="AZ213"/>
  <c r="AZ217"/>
  <c r="AZ221"/>
  <c r="AZ225"/>
  <c r="AZ229"/>
  <c r="AZ233"/>
  <c r="AZ237"/>
  <c r="AZ241"/>
  <c r="AZ245"/>
  <c r="AZ309"/>
  <c r="AZ317"/>
  <c r="AZ321"/>
  <c r="AZ325"/>
  <c r="AZ333"/>
  <c r="AZ337"/>
  <c r="AZ341"/>
  <c r="AZ349"/>
  <c r="AZ353"/>
  <c r="AZ357"/>
  <c r="AZ367"/>
  <c r="G368"/>
  <c r="BA370"/>
  <c r="AZ370" s="1"/>
  <c r="BL371"/>
  <c r="AZ371"/>
  <c r="G372"/>
  <c r="BA374"/>
  <c r="AZ374" s="1"/>
  <c r="BL375"/>
  <c r="G376"/>
  <c r="BA378"/>
  <c r="AZ378" s="1"/>
  <c r="BL379"/>
  <c r="AZ379" s="1"/>
  <c r="G380"/>
  <c r="BA382"/>
  <c r="AZ382"/>
  <c r="BL383"/>
  <c r="G384"/>
  <c r="AZ249"/>
  <c r="AZ253"/>
  <c r="AZ257"/>
  <c r="AZ261"/>
  <c r="AZ265"/>
  <c r="AZ375"/>
  <c r="AZ383"/>
  <c r="AZ270"/>
  <c r="AZ274"/>
  <c r="AZ278"/>
  <c r="AZ282"/>
  <c r="AZ286"/>
  <c r="AZ290"/>
  <c r="AZ295"/>
  <c r="AZ303"/>
  <c r="AZ311"/>
  <c r="AZ313"/>
  <c r="AZ315"/>
  <c r="AZ319"/>
  <c r="AZ331"/>
  <c r="AZ335"/>
  <c r="AZ339"/>
  <c r="AZ35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AA43" i="21"/>
  <c r="U43"/>
  <c r="AA13" i="40"/>
  <c r="E78"/>
  <c r="F78" s="1"/>
  <c r="G78" s="1"/>
  <c r="H78" s="1"/>
  <c r="I78" s="1"/>
  <c r="J78" s="1"/>
  <c r="K78" s="1"/>
  <c r="L78" s="1"/>
  <c r="M78" s="1"/>
  <c r="BH5" i="3"/>
  <c r="R16" i="4"/>
  <c r="P16"/>
  <c r="D3" i="35"/>
  <c r="G4" i="4"/>
  <c r="S37" i="34"/>
  <c r="J16" i="35"/>
  <c r="W16"/>
  <c r="U42" i="21"/>
  <c r="AC26" i="36"/>
  <c r="W25" i="35"/>
  <c r="AZ300" i="3"/>
  <c r="AZ354"/>
  <c r="AZ322"/>
  <c r="H13" i="39"/>
  <c r="AB13" s="1"/>
  <c r="F13"/>
  <c r="J13"/>
  <c r="AC13"/>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c r="F16" i="35"/>
  <c r="AA16"/>
  <c r="S24" i="36"/>
  <c r="W42" i="33"/>
  <c r="J35" i="34"/>
  <c r="W35"/>
  <c r="F107"/>
  <c r="G107"/>
  <c r="H107" s="1"/>
  <c r="I107" s="1"/>
  <c r="J107" s="1"/>
  <c r="K107" s="1"/>
  <c r="L107" s="1"/>
  <c r="M107" s="1"/>
  <c r="S30" i="36"/>
  <c r="H16"/>
  <c r="AB16" s="1"/>
  <c r="G103" i="37"/>
  <c r="H103" s="1"/>
  <c r="I103" s="1"/>
  <c r="J103" s="1"/>
  <c r="K103" s="1"/>
  <c r="L103" s="1"/>
  <c r="M103" s="1"/>
  <c r="H35"/>
  <c r="AB35"/>
  <c r="S26" i="21"/>
  <c r="AB12"/>
  <c r="H32"/>
  <c r="U32"/>
  <c r="AB26"/>
  <c r="U26"/>
  <c r="AA33"/>
  <c r="S33"/>
  <c r="U39"/>
  <c r="W9"/>
  <c r="J32"/>
  <c r="AC32"/>
  <c r="AC5" i="3"/>
  <c r="F17" i="21"/>
  <c r="S17" s="1"/>
  <c r="H17"/>
  <c r="AB17" s="1"/>
  <c r="J17"/>
  <c r="AC17" s="1"/>
  <c r="H37"/>
  <c r="U37" s="1"/>
  <c r="F40"/>
  <c r="S40" s="1"/>
  <c r="H40"/>
  <c r="AB40" s="1"/>
  <c r="E119"/>
  <c r="F119" s="1"/>
  <c r="G119" s="1"/>
  <c r="H119" s="1"/>
  <c r="I119" s="1"/>
  <c r="J119" s="1"/>
  <c r="K119" s="1"/>
  <c r="L119" s="1"/>
  <c r="M119" s="1"/>
  <c r="AA8" i="33"/>
  <c r="S8"/>
  <c r="AC8"/>
  <c r="H66"/>
  <c r="F10"/>
  <c r="AA10"/>
  <c r="F11"/>
  <c r="S11"/>
  <c r="J15"/>
  <c r="W15"/>
  <c r="H19"/>
  <c r="AB19"/>
  <c r="F32"/>
  <c r="AA32"/>
  <c r="J32"/>
  <c r="AC32"/>
  <c r="F35"/>
  <c r="AA35" s="1"/>
  <c r="AB39" i="34"/>
  <c r="F11"/>
  <c r="S11"/>
  <c r="E80"/>
  <c r="F80"/>
  <c r="H17"/>
  <c r="AB17" s="1"/>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s="1"/>
  <c r="F96" i="37"/>
  <c r="H32"/>
  <c r="AB32"/>
  <c r="F99"/>
  <c r="AC27"/>
  <c r="U25" i="35"/>
  <c r="S45" i="34"/>
  <c r="U31"/>
  <c r="AC40" i="37"/>
  <c r="W40"/>
  <c r="W27" i="33"/>
  <c r="AC45" i="21"/>
  <c r="S28" i="33"/>
  <c r="S14" i="21"/>
  <c r="AA44" i="34"/>
  <c r="AB29" i="35"/>
  <c r="U29"/>
  <c r="AC19" i="33"/>
  <c r="W19"/>
  <c r="U43" i="34"/>
  <c r="AB43"/>
  <c r="AC34" i="37"/>
  <c r="S35"/>
  <c r="AA35"/>
  <c r="AB10" i="35"/>
  <c r="AA32" i="21"/>
  <c r="S32"/>
  <c r="U38"/>
  <c r="AB34"/>
  <c r="BL571" i="3"/>
  <c r="BA571"/>
  <c r="AZ571" s="1"/>
  <c r="BL570"/>
  <c r="AZ570" s="1"/>
  <c r="BE5"/>
  <c r="F42" i="21"/>
  <c r="AA42"/>
  <c r="AB40" i="33"/>
  <c r="U40"/>
  <c r="AA35" i="34"/>
  <c r="S35"/>
  <c r="E90"/>
  <c r="H27"/>
  <c r="AB27" s="1"/>
  <c r="AB8" i="35"/>
  <c r="U8"/>
  <c r="S9"/>
  <c r="J14"/>
  <c r="AC14" s="1"/>
  <c r="F14"/>
  <c r="H14"/>
  <c r="U14"/>
  <c r="E80"/>
  <c r="E94"/>
  <c r="F94" s="1"/>
  <c r="G94" s="1"/>
  <c r="H94" s="1"/>
  <c r="I94" s="1"/>
  <c r="J94" s="1"/>
  <c r="K94" s="1"/>
  <c r="L94" s="1"/>
  <c r="M94" s="1"/>
  <c r="J32"/>
  <c r="AC32"/>
  <c r="H11" i="36"/>
  <c r="AB11"/>
  <c r="F11"/>
  <c r="S11"/>
  <c r="W16"/>
  <c r="AC16"/>
  <c r="E78"/>
  <c r="F78"/>
  <c r="G78" s="1"/>
  <c r="H78" s="1"/>
  <c r="I78" s="1"/>
  <c r="J78" s="1"/>
  <c r="K78" s="1"/>
  <c r="L78" s="1"/>
  <c r="M78" s="1"/>
  <c r="F26"/>
  <c r="S26" s="1"/>
  <c r="U34"/>
  <c r="AB34"/>
  <c r="H33"/>
  <c r="U33" s="1"/>
  <c r="F33"/>
  <c r="AA33" s="1"/>
  <c r="H27"/>
  <c r="AB27" s="1"/>
  <c r="AA31"/>
  <c r="AC26" i="37"/>
  <c r="W26"/>
  <c r="AB29"/>
  <c r="AA30"/>
  <c r="S30"/>
  <c r="AC30"/>
  <c r="AC31"/>
  <c r="W31"/>
  <c r="AB14"/>
  <c r="F21" i="39"/>
  <c r="S21"/>
  <c r="H21"/>
  <c r="J21"/>
  <c r="W21" s="1"/>
  <c r="F33"/>
  <c r="H33"/>
  <c r="U33"/>
  <c r="J33"/>
  <c r="F44"/>
  <c r="S44"/>
  <c r="H44"/>
  <c r="U44"/>
  <c r="J44"/>
  <c r="W44"/>
  <c r="E128"/>
  <c r="F128"/>
  <c r="G128" s="1"/>
  <c r="H128" s="1"/>
  <c r="I128" s="1"/>
  <c r="J128" s="1"/>
  <c r="K128" s="1"/>
  <c r="L128" s="1"/>
  <c r="M128" s="1"/>
  <c r="F46"/>
  <c r="S46" s="1"/>
  <c r="H46"/>
  <c r="U46" s="1"/>
  <c r="J46"/>
  <c r="W46" s="1"/>
  <c r="F29"/>
  <c r="AA29" s="1"/>
  <c r="E103"/>
  <c r="F103"/>
  <c r="G103" s="1"/>
  <c r="H29"/>
  <c r="U29" s="1"/>
  <c r="F34"/>
  <c r="AA34" s="1"/>
  <c r="H34"/>
  <c r="AB34" s="1"/>
  <c r="J34"/>
  <c r="AC34" s="1"/>
  <c r="F39"/>
  <c r="H39"/>
  <c r="AB39"/>
  <c r="J39"/>
  <c r="J29" i="35"/>
  <c r="AC29" s="1"/>
  <c r="F29"/>
  <c r="S29" s="1"/>
  <c r="W30" i="36"/>
  <c r="AC30"/>
  <c r="F37" i="39"/>
  <c r="S37" s="1"/>
  <c r="H37"/>
  <c r="U37" s="1"/>
  <c r="J37"/>
  <c r="W37" s="1"/>
  <c r="BL568" i="3"/>
  <c r="BA568"/>
  <c r="AZ568"/>
  <c r="BL567"/>
  <c r="BA567"/>
  <c r="AZ567" s="1"/>
  <c r="BL566"/>
  <c r="AZ566" s="1"/>
  <c r="BL565"/>
  <c r="AZ565" s="1"/>
  <c r="BA564"/>
  <c r="AZ564" s="1"/>
  <c r="BA563"/>
  <c r="AZ563" s="1"/>
  <c r="BL554"/>
  <c r="AZ554" s="1"/>
  <c r="BA553"/>
  <c r="AZ553" s="1"/>
  <c r="BA552"/>
  <c r="AZ552" s="1"/>
  <c r="BL549"/>
  <c r="BA549"/>
  <c r="BL548"/>
  <c r="BA548"/>
  <c r="BL547"/>
  <c r="BA547"/>
  <c r="BL539"/>
  <c r="BA539"/>
  <c r="AZ539"/>
  <c r="BA538"/>
  <c r="AZ538"/>
  <c r="BL537"/>
  <c r="BA537"/>
  <c r="BL536"/>
  <c r="AZ536"/>
  <c r="BA535"/>
  <c r="AZ535"/>
  <c r="BA534"/>
  <c r="AZ534"/>
  <c r="BA533"/>
  <c r="AZ533"/>
  <c r="BL531"/>
  <c r="AZ531"/>
  <c r="BL530"/>
  <c r="BA530"/>
  <c r="BL529"/>
  <c r="BA529"/>
  <c r="BL528"/>
  <c r="AZ528"/>
  <c r="BA527"/>
  <c r="AZ527"/>
  <c r="BA526"/>
  <c r="AZ526"/>
  <c r="BA525"/>
  <c r="AZ525"/>
  <c r="BL523"/>
  <c r="BA523"/>
  <c r="AZ523" s="1"/>
  <c r="BL522"/>
  <c r="BA522"/>
  <c r="AZ522"/>
  <c r="BL521"/>
  <c r="AZ521"/>
  <c r="BA519"/>
  <c r="AZ519"/>
  <c r="BL518"/>
  <c r="BA518"/>
  <c r="AZ518" s="1"/>
  <c r="BL517"/>
  <c r="BA517"/>
  <c r="AZ517"/>
  <c r="BL515"/>
  <c r="BA515"/>
  <c r="BA514"/>
  <c r="AZ514"/>
  <c r="BL513"/>
  <c r="BA513"/>
  <c r="AZ513" s="1"/>
  <c r="BL512"/>
  <c r="AZ512" s="1"/>
  <c r="BA511"/>
  <c r="AZ511" s="1"/>
  <c r="BA510"/>
  <c r="AZ510" s="1"/>
  <c r="BL509"/>
  <c r="AZ509" s="1"/>
  <c r="BL507"/>
  <c r="BA507"/>
  <c r="AZ507"/>
  <c r="BL506"/>
  <c r="BA506"/>
  <c r="AZ506" s="1"/>
  <c r="BL505"/>
  <c r="AZ505" s="1"/>
  <c r="BL504"/>
  <c r="BA504"/>
  <c r="BA503"/>
  <c r="AZ503" s="1"/>
  <c r="BA500"/>
  <c r="AZ500" s="1"/>
  <c r="BL499"/>
  <c r="BA499"/>
  <c r="AZ499"/>
  <c r="BL498"/>
  <c r="AZ498"/>
  <c r="BL497"/>
  <c r="BA497"/>
  <c r="BL496"/>
  <c r="BA496"/>
  <c r="AZ496" s="1"/>
  <c r="BA495"/>
  <c r="AZ495" s="1"/>
  <c r="BL494"/>
  <c r="BA494"/>
  <c r="AZ494"/>
  <c r="G494"/>
  <c r="BA491"/>
  <c r="AZ491" s="1"/>
  <c r="BL490"/>
  <c r="BA490"/>
  <c r="AZ490"/>
  <c r="BL489"/>
  <c r="BA489"/>
  <c r="AZ489" s="1"/>
  <c r="BL487"/>
  <c r="AZ487" s="1"/>
  <c r="BL486"/>
  <c r="BA486"/>
  <c r="BA485"/>
  <c r="AZ485" s="1"/>
  <c r="BA483"/>
  <c r="AZ483" s="1"/>
  <c r="BA482"/>
  <c r="AZ482" s="1"/>
  <c r="BL481"/>
  <c r="BJ5"/>
  <c r="BA481"/>
  <c r="AZ481" s="1"/>
  <c r="BB5"/>
  <c r="BL19"/>
  <c r="AZ19"/>
  <c r="BA18"/>
  <c r="F36" i="44"/>
  <c r="F114" i="34"/>
  <c r="G114"/>
  <c r="H114" s="1"/>
  <c r="I114" s="1"/>
  <c r="J114" s="1"/>
  <c r="K114" s="1"/>
  <c r="L114" s="1"/>
  <c r="M114" s="1"/>
  <c r="H38"/>
  <c r="U38"/>
  <c r="H30" i="40"/>
  <c r="AB30"/>
  <c r="G100"/>
  <c r="J30"/>
  <c r="AC30" s="1"/>
  <c r="F38"/>
  <c r="AA38" s="1"/>
  <c r="AA36" i="34"/>
  <c r="AC12" i="21"/>
  <c r="W12"/>
  <c r="AB33"/>
  <c r="S35"/>
  <c r="AB10"/>
  <c r="U8"/>
  <c r="AB8"/>
  <c r="S34"/>
  <c r="AC36"/>
  <c r="AB8" i="33"/>
  <c r="U8"/>
  <c r="E106"/>
  <c r="H34"/>
  <c r="U34"/>
  <c r="F34"/>
  <c r="S34"/>
  <c r="E121"/>
  <c r="F41"/>
  <c r="S41" s="1"/>
  <c r="AC34" i="34"/>
  <c r="W34"/>
  <c r="AA39"/>
  <c r="S39"/>
  <c r="S43"/>
  <c r="E78"/>
  <c r="F15"/>
  <c r="AC28" i="35"/>
  <c r="W28"/>
  <c r="J20"/>
  <c r="AC20"/>
  <c r="E72"/>
  <c r="F72"/>
  <c r="G72" s="1"/>
  <c r="H22"/>
  <c r="AB22" s="1"/>
  <c r="H23"/>
  <c r="F23"/>
  <c r="AA23"/>
  <c r="AB36"/>
  <c r="U36"/>
  <c r="W12" i="36"/>
  <c r="AC12"/>
  <c r="U31"/>
  <c r="S8" i="37"/>
  <c r="AA8"/>
  <c r="F14" i="39"/>
  <c r="AA14" s="1"/>
  <c r="H14"/>
  <c r="AB14" s="1"/>
  <c r="J14"/>
  <c r="AC14" s="1"/>
  <c r="F16"/>
  <c r="AA16" s="1"/>
  <c r="H16"/>
  <c r="U16" s="1"/>
  <c r="J16"/>
  <c r="AC16" s="1"/>
  <c r="E97"/>
  <c r="F97" s="1"/>
  <c r="F15" i="40"/>
  <c r="AA15" s="1"/>
  <c r="J15"/>
  <c r="H15"/>
  <c r="AB15"/>
  <c r="E92"/>
  <c r="F92"/>
  <c r="H23"/>
  <c r="U23"/>
  <c r="H41"/>
  <c r="AB41"/>
  <c r="F41"/>
  <c r="AA41"/>
  <c r="J41"/>
  <c r="H36" i="33"/>
  <c r="AB36" s="1"/>
  <c r="H37" i="34"/>
  <c r="F15" i="39"/>
  <c r="AA15"/>
  <c r="H15"/>
  <c r="U15"/>
  <c r="J15"/>
  <c r="AC15"/>
  <c r="H25"/>
  <c r="U25" s="1"/>
  <c r="J25"/>
  <c r="AC25" s="1"/>
  <c r="F25"/>
  <c r="AA25" s="1"/>
  <c r="F45"/>
  <c r="AA45" s="1"/>
  <c r="H45"/>
  <c r="U45" s="1"/>
  <c r="J45"/>
  <c r="AC45" s="1"/>
  <c r="F47"/>
  <c r="AA47" s="1"/>
  <c r="H47"/>
  <c r="AB47" s="1"/>
  <c r="J47"/>
  <c r="W47" s="1"/>
  <c r="F41"/>
  <c r="AA41" s="1"/>
  <c r="H41"/>
  <c r="AB41" s="1"/>
  <c r="J41"/>
  <c r="AC41" s="1"/>
  <c r="E94" i="40"/>
  <c r="J25"/>
  <c r="AC25"/>
  <c r="J32"/>
  <c r="AC32" s="1"/>
  <c r="H32"/>
  <c r="U32" s="1"/>
  <c r="H33"/>
  <c r="AB33"/>
  <c r="F33"/>
  <c r="AA33"/>
  <c r="J33"/>
  <c r="AC33"/>
  <c r="H35"/>
  <c r="AB35"/>
  <c r="F35"/>
  <c r="AA35"/>
  <c r="J35"/>
  <c r="AC35"/>
  <c r="J38" i="39"/>
  <c r="W38"/>
  <c r="H38"/>
  <c r="U38"/>
  <c r="J16" i="40"/>
  <c r="W16"/>
  <c r="J14"/>
  <c r="W14"/>
  <c r="H42"/>
  <c r="H40"/>
  <c r="U40" s="1"/>
  <c r="H34"/>
  <c r="U34" s="1"/>
  <c r="AZ391" i="3"/>
  <c r="AZ399"/>
  <c r="AZ403"/>
  <c r="AZ407"/>
  <c r="AZ415"/>
  <c r="AZ423"/>
  <c r="AZ431"/>
  <c r="AZ439"/>
  <c r="AZ454"/>
  <c r="B41" i="1"/>
  <c r="J42" i="40"/>
  <c r="AC42" s="1"/>
  <c r="J40"/>
  <c r="AC40" s="1"/>
  <c r="J34"/>
  <c r="AC34" s="1"/>
  <c r="H16"/>
  <c r="AB16" s="1"/>
  <c r="H14"/>
  <c r="U14" s="1"/>
  <c r="AZ401" i="3"/>
  <c r="AZ428"/>
  <c r="AZ433"/>
  <c r="AZ436"/>
  <c r="AZ441"/>
  <c r="AZ444"/>
  <c r="AZ449"/>
  <c r="AZ452"/>
  <c r="M1" i="46"/>
  <c r="M6"/>
  <c r="M10"/>
  <c r="N2"/>
  <c r="N5"/>
  <c r="F58"/>
  <c r="F47"/>
  <c r="H49" s="1"/>
  <c r="N7"/>
  <c r="AZ456" i="3"/>
  <c r="AZ458"/>
  <c r="AZ461"/>
  <c r="AZ466"/>
  <c r="AZ469"/>
  <c r="AZ474"/>
  <c r="AZ477"/>
  <c r="AZ388"/>
  <c r="AZ207"/>
  <c r="AZ212"/>
  <c r="AZ215"/>
  <c r="AZ220"/>
  <c r="AZ223"/>
  <c r="AZ228"/>
  <c r="AZ231"/>
  <c r="AZ236"/>
  <c r="AZ239"/>
  <c r="AZ244"/>
  <c r="AZ247"/>
  <c r="AZ252"/>
  <c r="AZ255"/>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J13" i="40"/>
  <c r="W13" s="1"/>
  <c r="AB14"/>
  <c r="W40"/>
  <c r="F34" i="44"/>
  <c r="F27" i="43"/>
  <c r="F66" i="9"/>
  <c r="P72" s="1"/>
  <c r="F71"/>
  <c r="F72"/>
  <c r="AC14" i="40"/>
  <c r="W35"/>
  <c r="S33"/>
  <c r="AB32"/>
  <c r="AC47" i="39"/>
  <c r="S47"/>
  <c r="U37" i="34"/>
  <c r="AB37"/>
  <c r="AC41" i="40"/>
  <c r="W41"/>
  <c r="U41"/>
  <c r="J23"/>
  <c r="AC23" s="1"/>
  <c r="G92"/>
  <c r="F23"/>
  <c r="S23"/>
  <c r="AC15"/>
  <c r="W15"/>
  <c r="AB16" i="39"/>
  <c r="W14"/>
  <c r="U23" i="35"/>
  <c r="AB23"/>
  <c r="H20"/>
  <c r="F20"/>
  <c r="S20"/>
  <c r="H15" i="34"/>
  <c r="AB15" s="1"/>
  <c r="F78"/>
  <c r="G78" s="1"/>
  <c r="J15"/>
  <c r="H41" i="33"/>
  <c r="U41"/>
  <c r="F121"/>
  <c r="G121"/>
  <c r="H121" s="1"/>
  <c r="I121" s="1"/>
  <c r="J121" s="1"/>
  <c r="K121" s="1"/>
  <c r="L121" s="1"/>
  <c r="M121" s="1"/>
  <c r="F30" i="40"/>
  <c r="AA30"/>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c r="U46" i="34"/>
  <c r="AC30"/>
  <c r="AA14"/>
  <c r="W12"/>
  <c r="U29" i="33"/>
  <c r="AC13"/>
  <c r="U17" i="34"/>
  <c r="AA11"/>
  <c r="W32" i="33"/>
  <c r="H15"/>
  <c r="U15"/>
  <c r="AA11"/>
  <c r="AA40" i="21"/>
  <c r="U17"/>
  <c r="S13" i="39"/>
  <c r="AA13"/>
  <c r="U16" i="40"/>
  <c r="W34"/>
  <c r="AB34"/>
  <c r="AB42"/>
  <c r="U42"/>
  <c r="AC16"/>
  <c r="W32"/>
  <c r="H25"/>
  <c r="AB25" s="1"/>
  <c r="F94"/>
  <c r="G94" s="1"/>
  <c r="U47" i="39"/>
  <c r="W15"/>
  <c r="J37" i="34"/>
  <c r="AC37" s="1"/>
  <c r="J36" i="33"/>
  <c r="W36" s="1"/>
  <c r="S41" i="40"/>
  <c r="AB23"/>
  <c r="S16" i="39"/>
  <c r="S15" i="34"/>
  <c r="AA15"/>
  <c r="AA41" i="33"/>
  <c r="AA34"/>
  <c r="F106"/>
  <c r="G106" s="1"/>
  <c r="H106" s="1"/>
  <c r="I106" s="1"/>
  <c r="J106" s="1"/>
  <c r="K106" s="1"/>
  <c r="L106" s="1"/>
  <c r="M106" s="1"/>
  <c r="J34"/>
  <c r="AC34" s="1"/>
  <c r="U30" i="40"/>
  <c r="AA37" i="39"/>
  <c r="W29" i="35"/>
  <c r="AC39" i="39"/>
  <c r="W39"/>
  <c r="AA39"/>
  <c r="S39"/>
  <c r="U34"/>
  <c r="AB46"/>
  <c r="AB44"/>
  <c r="AC33"/>
  <c r="W33"/>
  <c r="AA33"/>
  <c r="S33"/>
  <c r="U11" i="36"/>
  <c r="F80" i="35"/>
  <c r="G80"/>
  <c r="H80" s="1"/>
  <c r="I80" s="1"/>
  <c r="J80" s="1"/>
  <c r="K80" s="1"/>
  <c r="L80" s="1"/>
  <c r="M80" s="1"/>
  <c r="W14"/>
  <c r="F90" i="34"/>
  <c r="G90" s="1"/>
  <c r="H90" s="1"/>
  <c r="I90" s="1"/>
  <c r="J90" s="1"/>
  <c r="K90" s="1"/>
  <c r="L90" s="1"/>
  <c r="M90" s="1"/>
  <c r="F27"/>
  <c r="S27" s="1"/>
  <c r="G96" i="37"/>
  <c r="H96" s="1"/>
  <c r="I96" s="1"/>
  <c r="J96" s="1"/>
  <c r="K96" s="1"/>
  <c r="L96" s="1"/>
  <c r="M96" s="1"/>
  <c r="F32"/>
  <c r="S32"/>
  <c r="U11" i="35"/>
  <c r="AB11"/>
  <c r="S46" i="34"/>
  <c r="U32"/>
  <c r="U14"/>
  <c r="AC14"/>
  <c r="U12"/>
  <c r="AB13" i="33"/>
  <c r="G80" i="34"/>
  <c r="F17"/>
  <c r="AA17" s="1"/>
  <c r="J17"/>
  <c r="AC17" s="1"/>
  <c r="H11"/>
  <c r="AB11" s="1"/>
  <c r="J35" i="33"/>
  <c r="W35" s="1"/>
  <c r="S32"/>
  <c r="AC15"/>
  <c r="H11"/>
  <c r="U11" s="1"/>
  <c r="H10"/>
  <c r="U10" s="1"/>
  <c r="I66"/>
  <c r="J10"/>
  <c r="AC10"/>
  <c r="U40" i="21"/>
  <c r="U11" i="37"/>
  <c r="U13" i="39"/>
  <c r="AC16" i="35"/>
  <c r="AC13" i="40"/>
  <c r="J11" i="34"/>
  <c r="W11" s="1"/>
  <c r="S17"/>
  <c r="AC36" i="33"/>
  <c r="F25" i="40"/>
  <c r="AA25" s="1"/>
  <c r="J11" i="33"/>
  <c r="W11" s="1"/>
  <c r="H33" i="37"/>
  <c r="AB33" s="1"/>
  <c r="W15" i="34"/>
  <c r="AC15"/>
  <c r="U20" i="35"/>
  <c r="AB20"/>
  <c r="W23" i="40"/>
  <c r="D73" i="9"/>
  <c r="N73"/>
  <c r="AP11" i="1"/>
  <c r="J51" i="15"/>
  <c r="B11" i="1"/>
  <c r="E11"/>
  <c r="K11"/>
  <c r="M11" s="1"/>
  <c r="O11" s="1"/>
  <c r="B9"/>
  <c r="E9" s="1"/>
  <c r="K9"/>
  <c r="M9" s="1"/>
  <c r="O9" s="1"/>
  <c r="B7"/>
  <c r="E7" s="1"/>
  <c r="K7"/>
  <c r="M7" s="1"/>
  <c r="C20" i="43"/>
  <c r="F6" i="1"/>
  <c r="AP6" s="1"/>
  <c r="G11"/>
  <c r="M22" i="44"/>
  <c r="F32" i="15"/>
  <c r="F59" s="1"/>
  <c r="F29" i="12"/>
  <c r="F70" i="9"/>
  <c r="D86"/>
  <c r="M20" i="44"/>
  <c r="F31" i="43"/>
  <c r="F30" i="44"/>
  <c r="AC25" i="36"/>
  <c r="S23"/>
  <c r="S8"/>
  <c r="AA26"/>
  <c r="AA28"/>
  <c r="U25"/>
  <c r="H20"/>
  <c r="U20"/>
  <c r="F68"/>
  <c r="G68"/>
  <c r="J20"/>
  <c r="AC20"/>
  <c r="F20"/>
  <c r="S20" s="1"/>
  <c r="F62"/>
  <c r="G62" s="1"/>
  <c r="J14"/>
  <c r="H14"/>
  <c r="F14"/>
  <c r="AA14" s="1"/>
  <c r="W20"/>
  <c r="U27"/>
  <c r="U32"/>
  <c r="AB12"/>
  <c r="U9"/>
  <c r="S33"/>
  <c r="AA27"/>
  <c r="S16"/>
  <c r="S29"/>
  <c r="AC33" i="35"/>
  <c r="U22"/>
  <c r="AA13"/>
  <c r="S8"/>
  <c r="U33"/>
  <c r="AA20"/>
  <c r="W20"/>
  <c r="S23"/>
  <c r="S16"/>
  <c r="AB14"/>
  <c r="AC10"/>
  <c r="W13"/>
  <c r="AC18"/>
  <c r="W18"/>
  <c r="U18"/>
  <c r="AB18"/>
  <c r="S30"/>
  <c r="AA35"/>
  <c r="AB30"/>
  <c r="S27"/>
  <c r="S28"/>
  <c r="J26"/>
  <c r="F26"/>
  <c r="H26"/>
  <c r="AB9" i="37"/>
  <c r="W12"/>
  <c r="AA9"/>
  <c r="S17"/>
  <c r="W28"/>
  <c r="AB37"/>
  <c r="AA31"/>
  <c r="S33"/>
  <c r="AA33"/>
  <c r="U32"/>
  <c r="AA32"/>
  <c r="J33"/>
  <c r="W33" s="1"/>
  <c r="H99"/>
  <c r="I99" s="1"/>
  <c r="J99" s="1"/>
  <c r="K99" s="1"/>
  <c r="L99" s="1"/>
  <c r="M99" s="1"/>
  <c r="S29"/>
  <c r="J19"/>
  <c r="AC19"/>
  <c r="G75"/>
  <c r="F19"/>
  <c r="AA19" s="1"/>
  <c r="H19"/>
  <c r="J17"/>
  <c r="S15"/>
  <c r="AC10"/>
  <c r="AC21"/>
  <c r="W21"/>
  <c r="AC11"/>
  <c r="AC9"/>
  <c r="W32"/>
  <c r="U35"/>
  <c r="U8"/>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c r="J23"/>
  <c r="F23"/>
  <c r="H23"/>
  <c r="U19"/>
  <c r="F79"/>
  <c r="G79"/>
  <c r="F17"/>
  <c r="H17"/>
  <c r="J17"/>
  <c r="AB15"/>
  <c r="AC11"/>
  <c r="S10"/>
  <c r="S14"/>
  <c r="W10"/>
  <c r="AC21"/>
  <c r="W21"/>
  <c r="W14"/>
  <c r="AB10"/>
  <c r="U25"/>
  <c r="AB21"/>
  <c r="U21"/>
  <c r="AA21"/>
  <c r="S21"/>
  <c r="AA44"/>
  <c r="AA36"/>
  <c r="S44" i="21"/>
  <c r="W39"/>
  <c r="AC34"/>
  <c r="W32"/>
  <c r="U35"/>
  <c r="W43"/>
  <c r="AA37"/>
  <c r="S42"/>
  <c r="AB37"/>
  <c r="AB32"/>
  <c r="W28"/>
  <c r="AC46"/>
  <c r="AC26"/>
  <c r="F85"/>
  <c r="G85"/>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c r="I113" s="1"/>
  <c r="J113" s="1"/>
  <c r="K113" s="1"/>
  <c r="L113" s="1"/>
  <c r="M113" s="1"/>
  <c r="F39"/>
  <c r="S38"/>
  <c r="H39"/>
  <c r="J39"/>
  <c r="W38"/>
  <c r="F29"/>
  <c r="H29"/>
  <c r="J29"/>
  <c r="F98"/>
  <c r="G98" s="1"/>
  <c r="H98" s="1"/>
  <c r="I98" s="1"/>
  <c r="J98" s="1"/>
  <c r="K98" s="1"/>
  <c r="L98" s="1"/>
  <c r="M98" s="1"/>
  <c r="S30"/>
  <c r="S25"/>
  <c r="AA23"/>
  <c r="F88"/>
  <c r="G88"/>
  <c r="F19"/>
  <c r="H19"/>
  <c r="J19"/>
  <c r="W17"/>
  <c r="AC17"/>
  <c r="F17"/>
  <c r="AA17" s="1"/>
  <c r="H17"/>
  <c r="AB17" s="1"/>
  <c r="W21"/>
  <c r="AB40"/>
  <c r="U10"/>
  <c r="U27"/>
  <c r="AB27"/>
  <c r="AC44" i="39"/>
  <c r="W13"/>
  <c r="S11"/>
  <c r="AB45"/>
  <c r="AA21"/>
  <c r="AC38"/>
  <c r="AC21"/>
  <c r="S14"/>
  <c r="AB15"/>
  <c r="U11"/>
  <c r="U41"/>
  <c r="AB38"/>
  <c r="U31"/>
  <c r="AB31"/>
  <c r="S38"/>
  <c r="S22" i="31"/>
  <c r="B22" i="63"/>
  <c r="M20" i="15"/>
  <c r="D96" i="9"/>
  <c r="F28" i="15"/>
  <c r="M18"/>
  <c r="A18" i="64"/>
  <c r="B74" i="63" s="1"/>
  <c r="C53" i="10"/>
  <c r="A25" i="64" s="1"/>
  <c r="A18" i="51"/>
  <c r="B14" i="63" s="1"/>
  <c r="BA16" i="3"/>
  <c r="BA17"/>
  <c r="AZ17" s="1"/>
  <c r="F3" i="35"/>
  <c r="K1" i="43"/>
  <c r="K1" i="12"/>
  <c r="G1" i="44"/>
  <c r="AZ15" i="3"/>
  <c r="BK5"/>
  <c r="BO5"/>
  <c r="BP5"/>
  <c r="G29" i="6" s="1"/>
  <c r="BN5" i="3"/>
  <c r="BL18"/>
  <c r="AZ18"/>
  <c r="BC5"/>
  <c r="E8" i="6" s="1"/>
  <c r="BD5" i="3"/>
  <c r="BR5"/>
  <c r="G28" i="6" s="1"/>
  <c r="BS5" i="3"/>
  <c r="BQ5"/>
  <c r="F28" i="6" s="1"/>
  <c r="BL16" i="3"/>
  <c r="BM5"/>
  <c r="F29" i="6" s="1"/>
  <c r="G28" i="12"/>
  <c r="G22" i="43"/>
  <c r="G26" i="12"/>
  <c r="D24" i="44"/>
  <c r="D26"/>
  <c r="G27" i="12"/>
  <c r="G23" i="43"/>
  <c r="G21"/>
  <c r="H54" i="46"/>
  <c r="N8"/>
  <c r="N4"/>
  <c r="N1"/>
  <c r="M9"/>
  <c r="M2"/>
  <c r="N11"/>
  <c r="N9"/>
  <c r="F69"/>
  <c r="M4"/>
  <c r="M12"/>
  <c r="M8"/>
  <c r="M3"/>
  <c r="M5"/>
  <c r="C6"/>
  <c r="H6" i="48"/>
  <c r="H15"/>
  <c r="H5"/>
  <c r="H14"/>
  <c r="F38" i="46"/>
  <c r="F36"/>
  <c r="F34"/>
  <c r="J17"/>
  <c r="C17"/>
  <c r="C16" s="1"/>
  <c r="C5" s="1"/>
  <c r="F39"/>
  <c r="H13" i="48"/>
  <c r="H11"/>
  <c r="I17" i="46"/>
  <c r="E17"/>
  <c r="D71"/>
  <c r="D84"/>
  <c r="E80" s="1"/>
  <c r="B78" s="1"/>
  <c r="D69"/>
  <c r="E69"/>
  <c r="B67" s="1"/>
  <c r="E47"/>
  <c r="E58"/>
  <c r="A4" i="64"/>
  <c r="A4" i="51"/>
  <c r="B6" i="63" s="1"/>
  <c r="C51" i="10"/>
  <c r="A9" i="64" s="1"/>
  <c r="H58" i="46"/>
  <c r="H61"/>
  <c r="H62"/>
  <c r="H71"/>
  <c r="H75"/>
  <c r="H76"/>
  <c r="I100"/>
  <c r="B56"/>
  <c r="C24"/>
  <c r="N100"/>
  <c r="H100"/>
  <c r="F108"/>
  <c r="H80"/>
  <c r="B45"/>
  <c r="E100"/>
  <c r="G100"/>
  <c r="H84"/>
  <c r="H65"/>
  <c r="H66"/>
  <c r="C100"/>
  <c r="J100"/>
  <c r="M100"/>
  <c r="AA12" i="36"/>
  <c r="U12" i="35"/>
  <c r="AB12"/>
  <c r="W11"/>
  <c r="AA11"/>
  <c r="S14" i="37"/>
  <c r="U13"/>
  <c r="S13" i="21"/>
  <c r="C24" i="9"/>
  <c r="C25"/>
  <c r="AP7" i="1"/>
  <c r="G7"/>
  <c r="AP9"/>
  <c r="G9"/>
  <c r="AP8"/>
  <c r="G8"/>
  <c r="I20" i="46"/>
  <c r="C20" s="1"/>
  <c r="L5" i="54"/>
  <c r="B39" i="63" s="1"/>
  <c r="K5" i="54"/>
  <c r="B38" i="63" s="1"/>
  <c r="T41" i="4"/>
  <c r="A17" i="64"/>
  <c r="B46" i="50"/>
  <c r="B4" i="63" s="1"/>
  <c r="C46" i="36"/>
  <c r="D46" s="1"/>
  <c r="C59" i="34"/>
  <c r="D59" s="1"/>
  <c r="C48" i="35"/>
  <c r="D48" s="1"/>
  <c r="E48" s="1"/>
  <c r="F48" s="1"/>
  <c r="G48" s="1"/>
  <c r="C52" i="37"/>
  <c r="D52" s="1"/>
  <c r="E52" s="1"/>
  <c r="F52" s="1"/>
  <c r="O19" i="46"/>
  <c r="H77"/>
  <c r="H73"/>
  <c r="H69"/>
  <c r="H74"/>
  <c r="H86"/>
  <c r="H82"/>
  <c r="H63"/>
  <c r="H59"/>
  <c r="H64"/>
  <c r="H60"/>
  <c r="H10" i="48"/>
  <c r="H87" i="46"/>
  <c r="H85"/>
  <c r="H83"/>
  <c r="K10" i="1"/>
  <c r="M10" s="1"/>
  <c r="S11"/>
  <c r="R11"/>
  <c r="S13"/>
  <c r="R13"/>
  <c r="B6"/>
  <c r="E6" s="1"/>
  <c r="B10"/>
  <c r="E10" s="1"/>
  <c r="S10"/>
  <c r="B8"/>
  <c r="E8" s="1"/>
  <c r="B12"/>
  <c r="E12" s="1"/>
  <c r="S12"/>
  <c r="G1" i="15"/>
  <c r="F66" i="36"/>
  <c r="H18"/>
  <c r="U16"/>
  <c r="S25"/>
  <c r="AA34"/>
  <c r="U23"/>
  <c r="AC27"/>
  <c r="W28"/>
  <c r="AA32"/>
  <c r="U13"/>
  <c r="AA22"/>
  <c r="U10"/>
  <c r="AA13"/>
  <c r="W29"/>
  <c r="W9"/>
  <c r="S9"/>
  <c r="W8"/>
  <c r="AC30" i="35"/>
  <c r="U24"/>
  <c r="W32"/>
  <c r="S24"/>
  <c r="AA33"/>
  <c r="U32"/>
  <c r="W22"/>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A15"/>
  <c r="AC27"/>
  <c r="W29"/>
  <c r="G96" i="40"/>
  <c r="J27"/>
  <c r="W27" s="1"/>
  <c r="W37"/>
  <c r="S17"/>
  <c r="W30"/>
  <c r="S34"/>
  <c r="U17"/>
  <c r="U38"/>
  <c r="S40"/>
  <c r="S42"/>
  <c r="J31" i="39"/>
  <c r="AC31" s="1"/>
  <c r="S45"/>
  <c r="W41"/>
  <c r="AB33"/>
  <c r="AC46"/>
  <c r="S34"/>
  <c r="W42"/>
  <c r="W36"/>
  <c r="AC37"/>
  <c r="U14"/>
  <c r="W16"/>
  <c r="S15"/>
  <c r="W45"/>
  <c r="S41"/>
  <c r="AA44"/>
  <c r="AA46"/>
  <c r="W34"/>
  <c r="W10"/>
  <c r="W11"/>
  <c r="U42"/>
  <c r="W40"/>
  <c r="C27"/>
  <c r="C17" i="40"/>
  <c r="C19"/>
  <c r="C17" i="39"/>
  <c r="C19"/>
  <c r="C21"/>
  <c r="C23" i="40"/>
  <c r="B48" i="46"/>
  <c r="B51"/>
  <c r="B55"/>
  <c r="B59"/>
  <c r="B62"/>
  <c r="B66"/>
  <c r="B53"/>
  <c r="B64"/>
  <c r="D24" i="15"/>
  <c r="G6" i="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AB39" i="40"/>
  <c r="U39"/>
  <c r="AC39"/>
  <c r="W39"/>
  <c r="AA39"/>
  <c r="S39"/>
  <c r="U37"/>
  <c r="AB37"/>
  <c r="AA37"/>
  <c r="S37"/>
  <c r="U29"/>
  <c r="AB29"/>
  <c r="AC29"/>
  <c r="W29"/>
  <c r="AA29"/>
  <c r="S29"/>
  <c r="W19"/>
  <c r="AC19"/>
  <c r="AA19"/>
  <c r="S19"/>
  <c r="AB19"/>
  <c r="U19"/>
  <c r="AC27"/>
  <c r="B20" i="31"/>
  <c r="R22"/>
  <c r="B21"/>
  <c r="A17" i="51"/>
  <c r="B13" i="63" s="1"/>
  <c r="E5" i="6"/>
  <c r="D12" i="11" s="1"/>
  <c r="C12" s="1"/>
  <c r="AZ16" i="3"/>
  <c r="H70" i="46"/>
  <c r="H72"/>
  <c r="A9" i="51"/>
  <c r="B9" i="63" s="1"/>
  <c r="A3" i="55"/>
  <c r="B56" i="63" s="1"/>
  <c r="E4" i="4"/>
  <c r="B21" i="55" s="1"/>
  <c r="B72" i="63" s="1"/>
  <c r="C4" i="4"/>
  <c r="B20" i="55" s="1"/>
  <c r="B70" i="63" s="1"/>
  <c r="G66" i="36"/>
  <c r="J18"/>
  <c r="AE8" i="1"/>
  <c r="AE6"/>
  <c r="F33" i="44"/>
  <c r="F58" i="15"/>
  <c r="F31"/>
  <c r="M19" i="44"/>
  <c r="M17" i="15"/>
  <c r="W18" i="36"/>
  <c r="AC18"/>
  <c r="AG6" i="1"/>
  <c r="L20" i="6"/>
  <c r="S9" i="1"/>
  <c r="R9"/>
  <c r="C45" i="9"/>
  <c r="H14" i="66"/>
  <c r="B7" s="1"/>
  <c r="C44" i="9"/>
  <c r="G14" i="66" s="1"/>
  <c r="B6" s="1"/>
  <c r="O40" i="9"/>
  <c r="K31" s="1"/>
  <c r="K32" s="1"/>
  <c r="N69"/>
  <c r="M86" s="1"/>
  <c r="N86" s="1"/>
  <c r="K29"/>
  <c r="K30" s="1"/>
  <c r="N76"/>
  <c r="C46"/>
  <c r="K33" s="1"/>
  <c r="O41"/>
  <c r="R8" i="54" s="1"/>
  <c r="B54" i="63" s="1"/>
  <c r="E11" i="67"/>
  <c r="L48" i="44"/>
  <c r="M26"/>
  <c r="F8" i="67"/>
  <c r="M9" i="15"/>
  <c r="F10" i="44"/>
  <c r="F43"/>
  <c r="M23"/>
  <c r="F43" i="15"/>
  <c r="F40" i="44"/>
  <c r="F37" i="15"/>
  <c r="M8"/>
  <c r="J17" i="44"/>
  <c r="M25"/>
  <c r="F39"/>
  <c r="F8" i="15"/>
  <c r="L49" i="44"/>
  <c r="M22" i="15"/>
  <c r="J36"/>
  <c r="N3" i="65"/>
  <c r="N6"/>
  <c r="F16" i="15"/>
  <c r="F38"/>
  <c r="F26"/>
  <c r="E8" i="67"/>
  <c r="B8"/>
  <c r="N7" i="65"/>
  <c r="B11" i="67"/>
  <c r="M24" i="15"/>
  <c r="B13" i="67"/>
  <c r="F9" i="15"/>
  <c r="F12" i="67"/>
  <c r="F7" i="15"/>
  <c r="M30" i="44"/>
  <c r="F37"/>
  <c r="F6" i="15"/>
  <c r="E10" i="67"/>
  <c r="M31" i="44"/>
  <c r="M28"/>
  <c r="F46"/>
  <c r="F13" i="15"/>
  <c r="M29"/>
  <c r="F9" i="44"/>
  <c r="N4" i="65"/>
  <c r="M26" i="15"/>
  <c r="B12" i="67"/>
  <c r="M10" i="44"/>
  <c r="N5" i="65"/>
  <c r="E14" i="67"/>
  <c r="F8" i="44"/>
  <c r="M23" i="15"/>
  <c r="F45" i="44"/>
  <c r="E13" i="67"/>
  <c r="F40" i="15"/>
  <c r="M8" i="44"/>
  <c r="F36" i="15"/>
  <c r="M28"/>
  <c r="F14" i="67"/>
  <c r="L48" i="15"/>
  <c r="J15"/>
  <c r="M6"/>
  <c r="L47"/>
  <c r="F11" i="67"/>
  <c r="F38" i="44"/>
  <c r="F11"/>
  <c r="F15"/>
  <c r="M29"/>
  <c r="C19"/>
  <c r="B9" i="67"/>
  <c r="M11" i="44"/>
  <c r="F10" i="67"/>
  <c r="E9"/>
  <c r="F42" i="15"/>
  <c r="F18" i="44"/>
  <c r="F9" i="67"/>
  <c r="B14"/>
  <c r="F13"/>
  <c r="F28" i="44"/>
  <c r="M24"/>
  <c r="B10" i="67"/>
  <c r="M27" i="15"/>
  <c r="E12" i="67"/>
  <c r="BL13" i="3" l="1"/>
  <c r="BL5" s="1"/>
  <c r="E15" i="6"/>
  <c r="E67" i="39" s="1"/>
  <c r="F23"/>
  <c r="H23"/>
  <c r="J23"/>
  <c r="G97"/>
  <c r="K34" i="9"/>
  <c r="R7" i="54"/>
  <c r="B52" i="63" s="1"/>
  <c r="S12" i="21"/>
  <c r="AA12"/>
  <c r="S10" i="35"/>
  <c r="AC41" i="34"/>
  <c r="S45" i="21"/>
  <c r="AA27" i="33"/>
  <c r="W31" i="34"/>
  <c r="AB13" i="21"/>
  <c r="AB40" i="37"/>
  <c r="W46" i="33"/>
  <c r="W35" i="35"/>
  <c r="H9"/>
  <c r="J9"/>
  <c r="J34"/>
  <c r="H34"/>
  <c r="F34"/>
  <c r="H25" i="37"/>
  <c r="J25"/>
  <c r="F25"/>
  <c r="G540" i="3"/>
  <c r="G516"/>
  <c r="G504"/>
  <c r="G496"/>
  <c r="AZ393"/>
  <c r="AZ396"/>
  <c r="AZ406"/>
  <c r="AZ409"/>
  <c r="AZ412"/>
  <c r="AZ419"/>
  <c r="AZ425"/>
  <c r="AZ429"/>
  <c r="AZ445"/>
  <c r="AZ448"/>
  <c r="AZ468"/>
  <c r="AZ472"/>
  <c r="AZ206"/>
  <c r="AZ210"/>
  <c r="AZ222"/>
  <c r="AZ226"/>
  <c r="AZ238"/>
  <c r="AZ14"/>
  <c r="AZ243"/>
  <c r="AZ259"/>
  <c r="AZ294"/>
  <c r="AZ113"/>
  <c r="AZ116"/>
  <c r="AZ129"/>
  <c r="AZ132"/>
  <c r="AZ145"/>
  <c r="AZ148"/>
  <c r="AZ41"/>
  <c r="AZ279"/>
  <c r="AZ287"/>
  <c r="AZ202"/>
  <c r="AZ21"/>
  <c r="AZ28"/>
  <c r="AZ34"/>
  <c r="AZ37"/>
  <c r="AZ44"/>
  <c r="AZ50"/>
  <c r="AZ53"/>
  <c r="AZ60"/>
  <c r="AZ72"/>
  <c r="AZ77"/>
  <c r="AZ88"/>
  <c r="AZ92"/>
  <c r="AZ95"/>
  <c r="AZ97"/>
  <c r="AZ101"/>
  <c r="I21" i="57"/>
  <c r="D1"/>
  <c r="E10" s="1"/>
  <c r="D100" i="46"/>
  <c r="B74"/>
  <c r="C31" i="39"/>
  <c r="S27" i="40"/>
  <c r="S21" i="34"/>
  <c r="S18" i="35"/>
  <c r="F31" i="39"/>
  <c r="AA31" s="1"/>
  <c r="Q46" i="59"/>
  <c r="Q45"/>
  <c r="D8"/>
  <c r="T8"/>
  <c r="C7"/>
  <c r="F7"/>
  <c r="F6" s="1"/>
  <c r="F5" s="1"/>
  <c r="V8"/>
  <c r="A28" i="51"/>
  <c r="A28" i="64"/>
  <c r="P4" i="59"/>
  <c r="AA3" s="1"/>
  <c r="AG3"/>
  <c r="N4"/>
  <c r="X3" s="1"/>
  <c r="AD3"/>
  <c r="Y8"/>
  <c r="Z8" s="1"/>
  <c r="Y7"/>
  <c r="Z7" s="1"/>
  <c r="Y6"/>
  <c r="Z6" s="1"/>
  <c r="Y5"/>
  <c r="Z5" s="1"/>
  <c r="AA7"/>
  <c r="AA5"/>
  <c r="X8"/>
  <c r="X6"/>
  <c r="B10"/>
  <c r="B11" s="1"/>
  <c r="B12" s="1"/>
  <c r="S12" s="1"/>
  <c r="C10"/>
  <c r="AA9"/>
  <c r="AB9"/>
  <c r="Y10"/>
  <c r="Z10" s="1"/>
  <c r="AB10"/>
  <c r="Y11"/>
  <c r="Z11" s="1"/>
  <c r="AB11"/>
  <c r="Y12"/>
  <c r="Z12" s="1"/>
  <c r="AB12"/>
  <c r="X13"/>
  <c r="Y13"/>
  <c r="Z13" s="1"/>
  <c r="E14"/>
  <c r="E15" s="1"/>
  <c r="E16" s="1"/>
  <c r="U16" s="1"/>
  <c r="F14"/>
  <c r="F15" s="1"/>
  <c r="F16" s="1"/>
  <c r="V16" s="1"/>
  <c r="X14"/>
  <c r="AA14"/>
  <c r="X15"/>
  <c r="AA15"/>
  <c r="X16"/>
  <c r="AA16"/>
  <c r="B18"/>
  <c r="B19" s="1"/>
  <c r="B20" s="1"/>
  <c r="S20" s="1"/>
  <c r="C18"/>
  <c r="AA17"/>
  <c r="Y18"/>
  <c r="Z18" s="1"/>
  <c r="B47"/>
  <c r="S8"/>
  <c r="B7"/>
  <c r="B6" s="1"/>
  <c r="B5" s="1"/>
  <c r="U8"/>
  <c r="E7"/>
  <c r="E6" s="1"/>
  <c r="E5" s="1"/>
  <c r="E4" s="1"/>
  <c r="O4"/>
  <c r="Y3" s="1"/>
  <c r="Z3" s="1"/>
  <c r="AE3"/>
  <c r="AF3" s="1"/>
  <c r="Q4"/>
  <c r="AB3" s="1"/>
  <c r="AH3"/>
  <c r="AD12" i="46"/>
  <c r="AH12"/>
  <c r="F8" i="68"/>
  <c r="C17"/>
  <c r="K76" i="9"/>
  <c r="K77" s="1"/>
  <c r="K79" s="1"/>
  <c r="K81" s="1"/>
  <c r="A25" i="51"/>
  <c r="B18" i="63" s="1"/>
  <c r="E12" i="6"/>
  <c r="E64" i="39" s="1"/>
  <c r="E5" i="52"/>
  <c r="E10"/>
  <c r="B9"/>
  <c r="B16"/>
  <c r="B8"/>
  <c r="B7"/>
  <c r="B6"/>
  <c r="B23"/>
  <c r="E9"/>
  <c r="B4"/>
  <c r="B10"/>
  <c r="E11"/>
  <c r="F91" i="39"/>
  <c r="F17"/>
  <c r="J17"/>
  <c r="E11" i="46"/>
  <c r="E10"/>
  <c r="E9"/>
  <c r="E8"/>
  <c r="I14" i="66"/>
  <c r="B8" s="1"/>
  <c r="E11" i="6"/>
  <c r="E63" i="39" s="1"/>
  <c r="E14" i="6"/>
  <c r="E61" i="40" s="1"/>
  <c r="H55" i="46"/>
  <c r="H52"/>
  <c r="S40" i="39"/>
  <c r="I4" i="6"/>
  <c r="G3" i="46" s="1"/>
  <c r="H22" s="1"/>
  <c r="E9" i="12"/>
  <c r="C92" i="9"/>
  <c r="AB29" i="39"/>
  <c r="G126"/>
  <c r="H126" s="1"/>
  <c r="I126" s="1"/>
  <c r="J126" s="1"/>
  <c r="K126" s="1"/>
  <c r="L126" s="1"/>
  <c r="M126" s="1"/>
  <c r="F43"/>
  <c r="J43"/>
  <c r="AC43" s="1"/>
  <c r="H43"/>
  <c r="S31"/>
  <c r="W31"/>
  <c r="S29"/>
  <c r="W29"/>
  <c r="AB25"/>
  <c r="W25"/>
  <c r="S25"/>
  <c r="F101"/>
  <c r="G101" s="1"/>
  <c r="F27"/>
  <c r="H27"/>
  <c r="J27"/>
  <c r="F93"/>
  <c r="F19"/>
  <c r="S19" s="1"/>
  <c r="J19"/>
  <c r="W19" s="1"/>
  <c r="C67" i="40"/>
  <c r="D65"/>
  <c r="C72" i="39"/>
  <c r="D70"/>
  <c r="M83" i="9"/>
  <c r="N83" s="1"/>
  <c r="N89" s="1"/>
  <c r="O89" s="1"/>
  <c r="M85"/>
  <c r="N85" s="1"/>
  <c r="M87"/>
  <c r="N87" s="1"/>
  <c r="M88"/>
  <c r="N88" s="1"/>
  <c r="M84"/>
  <c r="N84" s="1"/>
  <c r="O39"/>
  <c r="R6" i="54" s="1"/>
  <c r="B50" i="63" s="1"/>
  <c r="E13" i="6"/>
  <c r="E10"/>
  <c r="S32" i="40"/>
  <c r="H51" i="46"/>
  <c r="H50"/>
  <c r="H53"/>
  <c r="H48"/>
  <c r="H47"/>
  <c r="K12" i="1"/>
  <c r="M12" s="1"/>
  <c r="O12" s="1"/>
  <c r="H1" i="65"/>
  <c r="D23" i="15"/>
  <c r="E4" i="52"/>
  <c r="E16"/>
  <c r="B11"/>
  <c r="E8"/>
  <c r="B5"/>
  <c r="B13"/>
  <c r="B22"/>
  <c r="E21"/>
  <c r="B14"/>
  <c r="E6"/>
  <c r="E7"/>
  <c r="C18" i="9"/>
  <c r="M43" s="1"/>
  <c r="P75" i="15"/>
  <c r="J53"/>
  <c r="Q53" s="1"/>
  <c r="Z7" i="46"/>
  <c r="N104" i="45"/>
  <c r="S5" i="46"/>
  <c r="S4"/>
  <c r="S3"/>
  <c r="E22"/>
  <c r="F22"/>
  <c r="G101"/>
  <c r="G104" s="1"/>
  <c r="J22"/>
  <c r="S6"/>
  <c r="S7"/>
  <c r="S2"/>
  <c r="B113"/>
  <c r="D118" s="1"/>
  <c r="E118" s="1"/>
  <c r="F118" s="1"/>
  <c r="L101"/>
  <c r="L103" s="1"/>
  <c r="E101"/>
  <c r="E107" s="1"/>
  <c r="N101"/>
  <c r="N102" s="1"/>
  <c r="AG11"/>
  <c r="AG13" s="1"/>
  <c r="AH11"/>
  <c r="AH13" s="1"/>
  <c r="G30" i="6"/>
  <c r="G31" s="1"/>
  <c r="E28"/>
  <c r="K14" i="1" s="1"/>
  <c r="M14" s="1"/>
  <c r="O14" s="1"/>
  <c r="BA13" i="3"/>
  <c r="E58" i="40"/>
  <c r="F30" i="6"/>
  <c r="E29"/>
  <c r="E102" i="46"/>
  <c r="C101"/>
  <c r="J101"/>
  <c r="J103" s="1"/>
  <c r="G22"/>
  <c r="I101"/>
  <c r="D101"/>
  <c r="M101"/>
  <c r="H101"/>
  <c r="K101"/>
  <c r="K104" s="1"/>
  <c r="F101"/>
  <c r="F107" s="1"/>
  <c r="AC11"/>
  <c r="AC13" s="1"/>
  <c r="Y11"/>
  <c r="Y13" s="1"/>
  <c r="AD11"/>
  <c r="AD13" s="1"/>
  <c r="C23"/>
  <c r="C21" s="1"/>
  <c r="AB11"/>
  <c r="AB13" s="1"/>
  <c r="G13" i="3"/>
  <c r="AZ13"/>
  <c r="AZ5" s="1"/>
  <c r="E3" i="6" s="1"/>
  <c r="BA5" i="3"/>
  <c r="E27" i="6" s="1"/>
  <c r="E58" i="39"/>
  <c r="F27" i="6"/>
  <c r="F31" s="1"/>
  <c r="E53" i="40"/>
  <c r="E66" i="39"/>
  <c r="E62" i="40"/>
  <c r="B116" i="46"/>
  <c r="C116" s="1"/>
  <c r="G107"/>
  <c r="E59" i="40"/>
  <c r="I117" i="46"/>
  <c r="J117" s="1"/>
  <c r="K117" s="1"/>
  <c r="L117" s="1"/>
  <c r="M117" s="1"/>
  <c r="E16" i="6"/>
  <c r="K17" i="4"/>
  <c r="A22" i="51" s="1"/>
  <c r="B16" i="63" s="1"/>
  <c r="E32" i="6"/>
  <c r="K6" i="1"/>
  <c r="AP16" s="1"/>
  <c r="F22" i="11" s="1"/>
  <c r="C9" i="12"/>
  <c r="C10" s="1"/>
  <c r="C6" s="1"/>
  <c r="C24" s="1"/>
  <c r="G118" i="46"/>
  <c r="H118" s="1"/>
  <c r="G109"/>
  <c r="B115"/>
  <c r="G103"/>
  <c r="I116"/>
  <c r="J116" s="1"/>
  <c r="K116" s="1"/>
  <c r="L116" s="1"/>
  <c r="M116" s="1"/>
  <c r="K109"/>
  <c r="F109"/>
  <c r="O10" i="1"/>
  <c r="P10" s="1"/>
  <c r="O8"/>
  <c r="P8" s="1"/>
  <c r="B118" i="46"/>
  <c r="C118" s="1"/>
  <c r="D116"/>
  <c r="E116" s="1"/>
  <c r="F116" s="1"/>
  <c r="G116" s="1"/>
  <c r="H116" s="1"/>
  <c r="I118"/>
  <c r="J118" s="1"/>
  <c r="K118" s="1"/>
  <c r="L118" s="1"/>
  <c r="M118" s="1"/>
  <c r="D115"/>
  <c r="E115" s="1"/>
  <c r="F115" s="1"/>
  <c r="G115" s="1"/>
  <c r="H115" s="1"/>
  <c r="B117"/>
  <c r="C117" s="1"/>
  <c r="I115"/>
  <c r="J115" s="1"/>
  <c r="K115" s="1"/>
  <c r="L115" s="1"/>
  <c r="M115" s="1"/>
  <c r="C103"/>
  <c r="C109"/>
  <c r="P9" i="1"/>
  <c r="P12"/>
  <c r="C106" i="46"/>
  <c r="C105"/>
  <c r="J105"/>
  <c r="O7" i="1"/>
  <c r="P7" s="1"/>
  <c r="O13"/>
  <c r="P13" s="1"/>
  <c r="P11"/>
  <c r="AA11" i="46"/>
  <c r="AA13" s="1"/>
  <c r="AI11"/>
  <c r="AI13" s="1"/>
  <c r="AF11"/>
  <c r="AF13" s="1"/>
  <c r="AJ11"/>
  <c r="AJ13" s="1"/>
  <c r="AE11"/>
  <c r="AE13" s="1"/>
  <c r="E46" i="36"/>
  <c r="F46" s="1"/>
  <c r="G46" s="1"/>
  <c r="H46" s="1"/>
  <c r="I46" s="1"/>
  <c r="J46" s="1"/>
  <c r="K46" s="1"/>
  <c r="L46" s="1"/>
  <c r="M46" s="1"/>
  <c r="N46" s="1"/>
  <c r="O46" s="1"/>
  <c r="D58" i="21"/>
  <c r="E58" s="1"/>
  <c r="F58" s="1"/>
  <c r="G58" s="1"/>
  <c r="H58" s="1"/>
  <c r="I58" s="1"/>
  <c r="J58" s="1"/>
  <c r="K58" s="1"/>
  <c r="L58" s="1"/>
  <c r="M58" s="1"/>
  <c r="N58" s="1"/>
  <c r="O58" s="1"/>
  <c r="C27" i="43"/>
  <c r="C31"/>
  <c r="C28" i="15"/>
  <c r="C30" i="44"/>
  <c r="C25" i="12"/>
  <c r="H48" i="35"/>
  <c r="I48" s="1"/>
  <c r="J48" s="1"/>
  <c r="K48" s="1"/>
  <c r="L48" s="1"/>
  <c r="M48" s="1"/>
  <c r="N48" s="1"/>
  <c r="O48" s="1"/>
  <c r="G52" i="37"/>
  <c r="H52" s="1"/>
  <c r="I52" s="1"/>
  <c r="J52" s="1"/>
  <c r="K52" s="1"/>
  <c r="L52" s="1"/>
  <c r="M52" s="1"/>
  <c r="N52" s="1"/>
  <c r="O52" s="1"/>
  <c r="J7"/>
  <c r="E59" i="34"/>
  <c r="F59" s="1"/>
  <c r="G59" s="1"/>
  <c r="H59" s="1"/>
  <c r="I59" s="1"/>
  <c r="J59" s="1"/>
  <c r="K59" s="1"/>
  <c r="L59" s="1"/>
  <c r="M59" s="1"/>
  <c r="N59" s="1"/>
  <c r="O59" s="1"/>
  <c r="J7"/>
  <c r="H7"/>
  <c r="F7"/>
  <c r="F58" i="33"/>
  <c r="G58" s="1"/>
  <c r="H58" s="1"/>
  <c r="I58" s="1"/>
  <c r="J58" s="1"/>
  <c r="K58" s="1"/>
  <c r="L58" s="1"/>
  <c r="M58" s="1"/>
  <c r="N58" s="1"/>
  <c r="O58" s="1"/>
  <c r="J7"/>
  <c r="H7"/>
  <c r="F7"/>
  <c r="J7" i="35"/>
  <c r="C36" i="44"/>
  <c r="J22"/>
  <c r="C29"/>
  <c r="F67" i="15"/>
  <c r="C8" i="44"/>
  <c r="F63" i="15"/>
  <c r="L60" i="44"/>
  <c r="L59"/>
  <c r="F64" i="15"/>
  <c r="Q73" i="44"/>
  <c r="J57" i="15"/>
  <c r="J55" s="1"/>
  <c r="J58" s="1"/>
  <c r="Q51" s="1"/>
  <c r="J60"/>
  <c r="Q49" s="1"/>
  <c r="I54"/>
  <c r="L56"/>
  <c r="J59"/>
  <c r="F50"/>
  <c r="F65"/>
  <c r="I55" i="44"/>
  <c r="J60"/>
  <c r="J61"/>
  <c r="Q50" s="1"/>
  <c r="J54"/>
  <c r="J58"/>
  <c r="J56" s="1"/>
  <c r="J59" s="1"/>
  <c r="Q52" s="1"/>
  <c r="L57"/>
  <c r="F70" i="15"/>
  <c r="F49"/>
  <c r="M7"/>
  <c r="J6" s="1"/>
  <c r="Q72"/>
  <c r="C27"/>
  <c r="C6"/>
  <c r="L58"/>
  <c r="L59"/>
  <c r="M9" i="44"/>
  <c r="J8" s="1"/>
  <c r="C4" i="65"/>
  <c r="B39" i="1" s="1"/>
  <c r="D21" i="12"/>
  <c r="C16" i="15"/>
  <c r="I6" i="65"/>
  <c r="I7"/>
  <c r="J5"/>
  <c r="I5"/>
  <c r="I3"/>
  <c r="C18" i="44"/>
  <c r="I4" i="65"/>
  <c r="J7"/>
  <c r="J6"/>
  <c r="J3"/>
  <c r="J4"/>
  <c r="D117" i="46" l="1"/>
  <c r="E117" s="1"/>
  <c r="F117" s="1"/>
  <c r="G117" s="1"/>
  <c r="H117" s="1"/>
  <c r="Z11"/>
  <c r="Z13" s="1"/>
  <c r="B4" i="59"/>
  <c r="B46"/>
  <c r="N47"/>
  <c r="N4" i="63"/>
  <c r="B21"/>
  <c r="F4" i="59"/>
  <c r="W25" i="37"/>
  <c r="AC25"/>
  <c r="AA34" i="35"/>
  <c r="S34"/>
  <c r="AC34"/>
  <c r="W34"/>
  <c r="AB9"/>
  <c r="U9"/>
  <c r="AB23" i="39"/>
  <c r="U23"/>
  <c r="D21" i="68"/>
  <c r="D18" i="59"/>
  <c r="C19"/>
  <c r="D10"/>
  <c r="C11"/>
  <c r="P24" i="46"/>
  <c r="B68" i="40" s="1"/>
  <c r="P23" i="46"/>
  <c r="P22"/>
  <c r="P25"/>
  <c r="B73" i="39" s="1"/>
  <c r="P21" i="46"/>
  <c r="C6" i="59"/>
  <c r="D7"/>
  <c r="AA25" i="37"/>
  <c r="S25"/>
  <c r="U25"/>
  <c r="AB25"/>
  <c r="AB34" i="35"/>
  <c r="U34"/>
  <c r="W9"/>
  <c r="AC9"/>
  <c r="AC23" i="39"/>
  <c r="W23"/>
  <c r="AA23"/>
  <c r="S23"/>
  <c r="F7" i="37"/>
  <c r="J109" i="46"/>
  <c r="J104"/>
  <c r="K105"/>
  <c r="G105"/>
  <c r="G102"/>
  <c r="G106"/>
  <c r="L19" i="6"/>
  <c r="L27" s="1"/>
  <c r="D22" i="46"/>
  <c r="W17" i="39"/>
  <c r="AC17"/>
  <c r="G91"/>
  <c r="H17"/>
  <c r="AA17"/>
  <c r="S17"/>
  <c r="C7" i="46"/>
  <c r="G39"/>
  <c r="I39" s="1"/>
  <c r="F7" i="21"/>
  <c r="J7" i="36"/>
  <c r="N107" i="46"/>
  <c r="U43" i="39"/>
  <c r="AB43"/>
  <c r="S43"/>
  <c r="AA43"/>
  <c r="W43"/>
  <c r="AC19"/>
  <c r="AA19"/>
  <c r="AB27"/>
  <c r="U27"/>
  <c r="AC27"/>
  <c r="W27"/>
  <c r="AA27"/>
  <c r="S27"/>
  <c r="G93"/>
  <c r="H19"/>
  <c r="E20" i="46"/>
  <c r="O17" s="1"/>
  <c r="J1" i="65"/>
  <c r="I1"/>
  <c r="E65" i="39"/>
  <c r="E60" i="40"/>
  <c r="E70" i="39"/>
  <c r="D72"/>
  <c r="D67" i="40"/>
  <c r="E65"/>
  <c r="F7" i="35"/>
  <c r="H7"/>
  <c r="H7" i="21"/>
  <c r="J7"/>
  <c r="F7" i="36"/>
  <c r="H7"/>
  <c r="N105" i="46"/>
  <c r="L109"/>
  <c r="D18" i="9"/>
  <c r="M44" s="1"/>
  <c r="P14" i="1"/>
  <c r="C29" i="12"/>
  <c r="F1" i="15"/>
  <c r="K19" i="6"/>
  <c r="K21"/>
  <c r="M21" s="1"/>
  <c r="I21" s="1"/>
  <c r="S21" s="1"/>
  <c r="K24"/>
  <c r="M24" s="1"/>
  <c r="I24" s="1"/>
  <c r="S24" s="1"/>
  <c r="K23"/>
  <c r="M23" s="1"/>
  <c r="I23" s="1"/>
  <c r="S23" s="1"/>
  <c r="K22"/>
  <c r="M22" s="1"/>
  <c r="I22" s="1"/>
  <c r="S22" s="1"/>
  <c r="K25"/>
  <c r="M25" s="1"/>
  <c r="I25" s="1"/>
  <c r="S25" s="1"/>
  <c r="L107" i="46"/>
  <c r="E103"/>
  <c r="E104"/>
  <c r="E105"/>
  <c r="E106"/>
  <c r="E109"/>
  <c r="N109"/>
  <c r="N103"/>
  <c r="N106"/>
  <c r="N104"/>
  <c r="L106"/>
  <c r="L105"/>
  <c r="L102"/>
  <c r="L104"/>
  <c r="K107"/>
  <c r="K102"/>
  <c r="K106"/>
  <c r="K103"/>
  <c r="M104"/>
  <c r="M103"/>
  <c r="M105"/>
  <c r="M102"/>
  <c r="M106"/>
  <c r="M107"/>
  <c r="M109"/>
  <c r="I102"/>
  <c r="I109"/>
  <c r="I107"/>
  <c r="I105"/>
  <c r="I103"/>
  <c r="I104"/>
  <c r="I106"/>
  <c r="J106"/>
  <c r="J107"/>
  <c r="J102"/>
  <c r="G5" i="3"/>
  <c r="B3" s="1"/>
  <c r="F106" i="46"/>
  <c r="F104"/>
  <c r="F103"/>
  <c r="F102"/>
  <c r="F105"/>
  <c r="H104"/>
  <c r="H105"/>
  <c r="H106"/>
  <c r="H109"/>
  <c r="H107"/>
  <c r="H102"/>
  <c r="H103"/>
  <c r="D102"/>
  <c r="D104"/>
  <c r="D109"/>
  <c r="D103"/>
  <c r="D106"/>
  <c r="D107"/>
  <c r="D105"/>
  <c r="C104"/>
  <c r="C102"/>
  <c r="C107"/>
  <c r="K15" i="1"/>
  <c r="K16" s="1"/>
  <c r="E30" i="6"/>
  <c r="E31" s="1"/>
  <c r="C21" i="12"/>
  <c r="S6" i="1"/>
  <c r="C115" i="46"/>
  <c r="D113" s="1"/>
  <c r="K26" i="6"/>
  <c r="M26" s="1"/>
  <c r="I26" s="1"/>
  <c r="S26" s="1"/>
  <c r="K20"/>
  <c r="M6" i="1"/>
  <c r="G16"/>
  <c r="Q16"/>
  <c r="H16"/>
  <c r="L38" i="9"/>
  <c r="B14" i="66" s="1"/>
  <c r="B1" s="1"/>
  <c r="C21" i="4"/>
  <c r="O5" i="54" s="1"/>
  <c r="B45" i="63" s="1"/>
  <c r="D10" i="11"/>
  <c r="D45" i="9"/>
  <c r="D16" i="43"/>
  <c r="C16" s="1"/>
  <c r="E6" i="6"/>
  <c r="D13" i="11" s="1"/>
  <c r="C13" s="1"/>
  <c r="D46" i="9"/>
  <c r="D44"/>
  <c r="W7" i="35"/>
  <c r="AC7"/>
  <c r="V38" s="1"/>
  <c r="I38" s="1"/>
  <c r="W7" i="33"/>
  <c r="AC7"/>
  <c r="V48" s="1"/>
  <c r="I48" s="1"/>
  <c r="S7" i="34"/>
  <c r="AA7"/>
  <c r="R49" s="1"/>
  <c r="W7"/>
  <c r="AC7"/>
  <c r="V49" s="1"/>
  <c r="I49" s="1"/>
  <c r="W7" i="37"/>
  <c r="AC7"/>
  <c r="V42" s="1"/>
  <c r="I42" s="1"/>
  <c r="AA7"/>
  <c r="R42" s="1"/>
  <c r="S7"/>
  <c r="AA7" i="35"/>
  <c r="R38" s="1"/>
  <c r="S7"/>
  <c r="AB7"/>
  <c r="T38" s="1"/>
  <c r="G38" s="1"/>
  <c r="U7"/>
  <c r="AB7" i="21"/>
  <c r="T48" s="1"/>
  <c r="G48" s="1"/>
  <c r="U7"/>
  <c r="W7"/>
  <c r="AC7"/>
  <c r="V48" s="1"/>
  <c r="I48" s="1"/>
  <c r="AA7" i="36"/>
  <c r="R36" s="1"/>
  <c r="S7"/>
  <c r="AB7"/>
  <c r="T36" s="1"/>
  <c r="G36" s="1"/>
  <c r="U7"/>
  <c r="S7" i="33"/>
  <c r="AA7"/>
  <c r="R48" s="1"/>
  <c r="U7"/>
  <c r="AB7"/>
  <c r="T48" s="1"/>
  <c r="G48" s="1"/>
  <c r="U7" i="34"/>
  <c r="AB7"/>
  <c r="T49" s="1"/>
  <c r="G49" s="1"/>
  <c r="AA7" i="21"/>
  <c r="R48" s="1"/>
  <c r="S7"/>
  <c r="AC7" i="36"/>
  <c r="V36" s="1"/>
  <c r="I36" s="1"/>
  <c r="W7"/>
  <c r="H7" i="37"/>
  <c r="L47" i="44"/>
  <c r="M11" i="15"/>
  <c r="J10" s="1"/>
  <c r="J5" s="1"/>
  <c r="F11"/>
  <c r="F13" i="44"/>
  <c r="C12" s="1"/>
  <c r="C7" s="1"/>
  <c r="M13"/>
  <c r="J12" s="1"/>
  <c r="J7" s="1"/>
  <c r="Q74" i="15"/>
  <c r="Q61"/>
  <c r="Q63" i="44"/>
  <c r="Q76"/>
  <c r="Q75" i="15"/>
  <c r="Q62"/>
  <c r="Q54" i="44"/>
  <c r="F1"/>
  <c r="Q62"/>
  <c r="Q75"/>
  <c r="C48" i="15"/>
  <c r="F33" i="12"/>
  <c r="D16"/>
  <c r="D22"/>
  <c r="E2" i="65"/>
  <c r="E3"/>
  <c r="AE7" i="1"/>
  <c r="K27" i="6" l="1"/>
  <c r="C5" i="59"/>
  <c r="D6"/>
  <c r="D11"/>
  <c r="C12"/>
  <c r="D19"/>
  <c r="C20"/>
  <c r="N46"/>
  <c r="N45"/>
  <c r="M19" i="6"/>
  <c r="S8" i="1"/>
  <c r="N17" i="46"/>
  <c r="M17"/>
  <c r="P17"/>
  <c r="U17" i="39"/>
  <c r="AB17"/>
  <c r="U19"/>
  <c r="AB19"/>
  <c r="B40" i="1"/>
  <c r="F24" i="15" s="1"/>
  <c r="C24" s="1"/>
  <c r="F17" i="11"/>
  <c r="C17" s="1"/>
  <c r="E67" i="40"/>
  <c r="F65"/>
  <c r="E72" i="39"/>
  <c r="F70"/>
  <c r="C34" i="12"/>
  <c r="D33" s="1"/>
  <c r="M20" i="6"/>
  <c r="I20" s="1"/>
  <c r="S20" s="1"/>
  <c r="S7" i="1"/>
  <c r="AO6" i="3"/>
  <c r="M6"/>
  <c r="E475"/>
  <c r="E241"/>
  <c r="E421"/>
  <c r="E69"/>
  <c r="E206"/>
  <c r="E446"/>
  <c r="E132"/>
  <c r="E152"/>
  <c r="E333"/>
  <c r="E437"/>
  <c r="E91"/>
  <c r="E46"/>
  <c r="E115"/>
  <c r="E221"/>
  <c r="E359"/>
  <c r="E457"/>
  <c r="E195"/>
  <c r="E31"/>
  <c r="E391"/>
  <c r="E349"/>
  <c r="E83"/>
  <c r="E186"/>
  <c r="E124"/>
  <c r="E311"/>
  <c r="E222"/>
  <c r="E263"/>
  <c r="E388"/>
  <c r="E424"/>
  <c r="E430"/>
  <c r="E82"/>
  <c r="E146"/>
  <c r="E164"/>
  <c r="E77"/>
  <c r="E99"/>
  <c r="E434"/>
  <c r="E262"/>
  <c r="E552"/>
  <c r="E101"/>
  <c r="E57"/>
  <c r="E274"/>
  <c r="E463"/>
  <c r="E32"/>
  <c r="E292"/>
  <c r="E547"/>
  <c r="E426"/>
  <c r="E447"/>
  <c r="E60"/>
  <c r="E33"/>
  <c r="E75"/>
  <c r="Q6"/>
  <c r="E178"/>
  <c r="E119"/>
  <c r="J6"/>
  <c r="E500"/>
  <c r="E48"/>
  <c r="E97"/>
  <c r="E438"/>
  <c r="AE6"/>
  <c r="E455"/>
  <c r="E289"/>
  <c r="E363"/>
  <c r="E113"/>
  <c r="E79"/>
  <c r="E425"/>
  <c r="E401"/>
  <c r="E257"/>
  <c r="E272"/>
  <c r="E166"/>
  <c r="E102"/>
  <c r="O6"/>
  <c r="E25"/>
  <c r="E204"/>
  <c r="E258"/>
  <c r="E207"/>
  <c r="E479"/>
  <c r="E449"/>
  <c r="E43"/>
  <c r="E196"/>
  <c r="E276"/>
  <c r="E259"/>
  <c r="E370"/>
  <c r="E308"/>
  <c r="E526"/>
  <c r="E416"/>
  <c r="E477"/>
  <c r="E96"/>
  <c r="E540"/>
  <c r="E160"/>
  <c r="E134"/>
  <c r="E242"/>
  <c r="AI6"/>
  <c r="E133"/>
  <c r="E239"/>
  <c r="E87"/>
  <c r="E234"/>
  <c r="E458"/>
  <c r="E128"/>
  <c r="E29"/>
  <c r="E176"/>
  <c r="E256"/>
  <c r="E554"/>
  <c r="E491"/>
  <c r="E525"/>
  <c r="E319"/>
  <c r="E558"/>
  <c r="E551"/>
  <c r="E403"/>
  <c r="E108"/>
  <c r="E173"/>
  <c r="E246"/>
  <c r="E217"/>
  <c r="E81"/>
  <c r="E436"/>
  <c r="E16"/>
  <c r="E177"/>
  <c r="E277"/>
  <c r="E260"/>
  <c r="E385"/>
  <c r="E307"/>
  <c r="E524"/>
  <c r="E432"/>
  <c r="E95"/>
  <c r="E90"/>
  <c r="E19"/>
  <c r="E153"/>
  <c r="E498"/>
  <c r="E210"/>
  <c r="E212"/>
  <c r="E339"/>
  <c r="E298"/>
  <c r="E106"/>
  <c r="E35"/>
  <c r="E14"/>
  <c r="E361"/>
  <c r="E169"/>
  <c r="E182"/>
  <c r="E118"/>
  <c r="E315"/>
  <c r="E226"/>
  <c r="E267"/>
  <c r="E378"/>
  <c r="E323"/>
  <c r="E163"/>
  <c r="E312"/>
  <c r="E364"/>
  <c r="E159"/>
  <c r="E351"/>
  <c r="E514"/>
  <c r="E342"/>
  <c r="E501"/>
  <c r="AL6"/>
  <c r="E512"/>
  <c r="E522"/>
  <c r="E384"/>
  <c r="E368"/>
  <c r="E371"/>
  <c r="E572"/>
  <c r="E310"/>
  <c r="E510"/>
  <c r="E567"/>
  <c r="E516"/>
  <c r="E487"/>
  <c r="E504"/>
  <c r="E329"/>
  <c r="E227"/>
  <c r="AB6"/>
  <c r="E406"/>
  <c r="E26"/>
  <c r="E488"/>
  <c r="S6"/>
  <c r="E244"/>
  <c r="E322"/>
  <c r="E71"/>
  <c r="E511"/>
  <c r="E137"/>
  <c r="E17"/>
  <c r="E240"/>
  <c r="E377"/>
  <c r="E301"/>
  <c r="E18"/>
  <c r="E382"/>
  <c r="E358"/>
  <c r="E484"/>
  <c r="E509"/>
  <c r="E326"/>
  <c r="E20"/>
  <c r="E356"/>
  <c r="E564"/>
  <c r="E481"/>
  <c r="E68"/>
  <c r="E192"/>
  <c r="E135"/>
  <c r="E114"/>
  <c r="E147"/>
  <c r="E348"/>
  <c r="E22"/>
  <c r="E93"/>
  <c r="E439"/>
  <c r="E394"/>
  <c r="E459"/>
  <c r="E55"/>
  <c r="E86"/>
  <c r="E476"/>
  <c r="E282"/>
  <c r="E570"/>
  <c r="E375"/>
  <c r="E409"/>
  <c r="X6"/>
  <c r="AA6"/>
  <c r="AD6"/>
  <c r="E299"/>
  <c r="E327"/>
  <c r="E103"/>
  <c r="E200"/>
  <c r="E62"/>
  <c r="E389"/>
  <c r="E230"/>
  <c r="E143"/>
  <c r="E441"/>
  <c r="E367"/>
  <c r="E415"/>
  <c r="E80"/>
  <c r="E28"/>
  <c r="E141"/>
  <c r="E168"/>
  <c r="E34"/>
  <c r="E407"/>
  <c r="E550"/>
  <c r="E136"/>
  <c r="E85"/>
  <c r="E332"/>
  <c r="E139"/>
  <c r="E445"/>
  <c r="E556"/>
  <c r="E291"/>
  <c r="E527"/>
  <c r="E365"/>
  <c r="E248"/>
  <c r="E336"/>
  <c r="AR6"/>
  <c r="E65"/>
  <c r="E513"/>
  <c r="E345"/>
  <c r="E72"/>
  <c r="E440"/>
  <c r="E331"/>
  <c r="E362"/>
  <c r="E150"/>
  <c r="E314"/>
  <c r="E502"/>
  <c r="K6"/>
  <c r="E456"/>
  <c r="E353"/>
  <c r="E569"/>
  <c r="E50"/>
  <c r="AJ6"/>
  <c r="E236"/>
  <c r="E546"/>
  <c r="E474"/>
  <c r="E15"/>
  <c r="E171"/>
  <c r="E251"/>
  <c r="E354"/>
  <c r="E56"/>
  <c r="E531"/>
  <c r="E122"/>
  <c r="E495"/>
  <c r="E208"/>
  <c r="E344"/>
  <c r="E485"/>
  <c r="E335"/>
  <c r="E483"/>
  <c r="E366"/>
  <c r="E532"/>
  <c r="E330"/>
  <c r="E340"/>
  <c r="E350"/>
  <c r="E521"/>
  <c r="E496"/>
  <c r="E130"/>
  <c r="E352"/>
  <c r="E461"/>
  <c r="E138"/>
  <c r="E328"/>
  <c r="E519"/>
  <c r="E155"/>
  <c r="E252"/>
  <c r="E346"/>
  <c r="E544"/>
  <c r="E541"/>
  <c r="E523"/>
  <c r="E557"/>
  <c r="E117"/>
  <c r="E231"/>
  <c r="E528"/>
  <c r="E470"/>
  <c r="E321"/>
  <c r="E127"/>
  <c r="E266"/>
  <c r="E215"/>
  <c r="I6"/>
  <c r="E548"/>
  <c r="Z6"/>
  <c r="E454"/>
  <c r="E520"/>
  <c r="AK6"/>
  <c r="E223"/>
  <c r="E205"/>
  <c r="E399"/>
  <c r="E478"/>
  <c r="E317"/>
  <c r="E357"/>
  <c r="E179"/>
  <c r="AS6"/>
  <c r="E444"/>
  <c r="E383"/>
  <c r="E247"/>
  <c r="E568"/>
  <c r="E539"/>
  <c r="E245"/>
  <c r="E52"/>
  <c r="E451"/>
  <c r="U6"/>
  <c r="E305"/>
  <c r="E73"/>
  <c r="E126"/>
  <c r="E211"/>
  <c r="Y6"/>
  <c r="E466"/>
  <c r="E51"/>
  <c r="E198"/>
  <c r="E281"/>
  <c r="E290"/>
  <c r="AF6"/>
  <c r="E40"/>
  <c r="E559"/>
  <c r="E228"/>
  <c r="E324"/>
  <c r="E334"/>
  <c r="E489"/>
  <c r="E325"/>
  <c r="E286"/>
  <c r="E396"/>
  <c r="E183"/>
  <c r="E216"/>
  <c r="E320"/>
  <c r="E392"/>
  <c r="E45"/>
  <c r="E373"/>
  <c r="E284"/>
  <c r="E360"/>
  <c r="E42"/>
  <c r="T6"/>
  <c r="E181"/>
  <c r="E144"/>
  <c r="E269"/>
  <c r="E219"/>
  <c r="E338"/>
  <c r="E506"/>
  <c r="E562"/>
  <c r="E571"/>
  <c r="E518"/>
  <c r="E497"/>
  <c r="E167"/>
  <c r="E566"/>
  <c r="E515"/>
  <c r="E553"/>
  <c r="E494"/>
  <c r="E273"/>
  <c r="E542"/>
  <c r="E563"/>
  <c r="E254"/>
  <c r="E112"/>
  <c r="E341"/>
  <c r="E268"/>
  <c r="E316"/>
  <c r="E175"/>
  <c r="E318"/>
  <c r="E565"/>
  <c r="E380"/>
  <c r="E503"/>
  <c r="E297"/>
  <c r="E411"/>
  <c r="E395"/>
  <c r="E250"/>
  <c r="AN6"/>
  <c r="E41"/>
  <c r="E280"/>
  <c r="E471"/>
  <c r="E59"/>
  <c r="E418"/>
  <c r="E270"/>
  <c r="E408"/>
  <c r="E464"/>
  <c r="E92"/>
  <c r="E157"/>
  <c r="E238"/>
  <c r="E209"/>
  <c r="E414"/>
  <c r="E161"/>
  <c r="E44"/>
  <c r="E450"/>
  <c r="E202"/>
  <c r="E492"/>
  <c r="E36"/>
  <c r="E149"/>
  <c r="E131"/>
  <c r="E295"/>
  <c r="E237"/>
  <c r="E249"/>
  <c r="E304"/>
  <c r="E89"/>
  <c r="E428"/>
  <c r="E549"/>
  <c r="E165"/>
  <c r="E201"/>
  <c r="E100"/>
  <c r="E460"/>
  <c r="E404"/>
  <c r="E170"/>
  <c r="E374"/>
  <c r="I3" i="6"/>
  <c r="E30" i="3"/>
  <c r="E213"/>
  <c r="E490"/>
  <c r="E536"/>
  <c r="E218"/>
  <c r="E397"/>
  <c r="E442"/>
  <c r="E462"/>
  <c r="E110"/>
  <c r="E47"/>
  <c r="E63"/>
  <c r="E545"/>
  <c r="E174"/>
  <c r="E184"/>
  <c r="E129"/>
  <c r="E482"/>
  <c r="E98"/>
  <c r="E473"/>
  <c r="E422"/>
  <c r="N6"/>
  <c r="E398"/>
  <c r="E232"/>
  <c r="E533"/>
  <c r="E189"/>
  <c r="E37"/>
  <c r="E507"/>
  <c r="E303"/>
  <c r="E275"/>
  <c r="AT6"/>
  <c r="L6"/>
  <c r="E467"/>
  <c r="E429"/>
  <c r="E67"/>
  <c r="E116"/>
  <c r="E214"/>
  <c r="E372"/>
  <c r="E486"/>
  <c r="E465"/>
  <c r="E543"/>
  <c r="E154"/>
  <c r="E264"/>
  <c r="E243"/>
  <c r="E369"/>
  <c r="E309"/>
  <c r="V6"/>
  <c r="E448"/>
  <c r="E105"/>
  <c r="E74"/>
  <c r="AG6"/>
  <c r="E121"/>
  <c r="E505"/>
  <c r="E224"/>
  <c r="E419"/>
  <c r="E123"/>
  <c r="E302"/>
  <c r="E66"/>
  <c r="E386"/>
  <c r="E76"/>
  <c r="E287"/>
  <c r="E24"/>
  <c r="E188"/>
  <c r="E271"/>
  <c r="E306"/>
  <c r="E508"/>
  <c r="E180"/>
  <c r="E493"/>
  <c r="E413"/>
  <c r="E561"/>
  <c r="E283"/>
  <c r="E23"/>
  <c r="E535"/>
  <c r="E443"/>
  <c r="E156"/>
  <c r="E265"/>
  <c r="E381"/>
  <c r="E194"/>
  <c r="E49"/>
  <c r="AM6"/>
  <c r="E427"/>
  <c r="E78"/>
  <c r="E193"/>
  <c r="E337"/>
  <c r="E278"/>
  <c r="E390"/>
  <c r="E104"/>
  <c r="E158"/>
  <c r="E94"/>
  <c r="E296"/>
  <c r="E534"/>
  <c r="E472"/>
  <c r="E376"/>
  <c r="E187"/>
  <c r="E387"/>
  <c r="E253"/>
  <c r="E294"/>
  <c r="E225"/>
  <c r="R6"/>
  <c r="E537"/>
  <c r="E21"/>
  <c r="E199"/>
  <c r="E125"/>
  <c r="E54"/>
  <c r="E64"/>
  <c r="E423"/>
  <c r="AH6"/>
  <c r="E452"/>
  <c r="E140"/>
  <c r="E435"/>
  <c r="P6"/>
  <c r="E343"/>
  <c r="E84"/>
  <c r="E142"/>
  <c r="AP6"/>
  <c r="E410"/>
  <c r="E431"/>
  <c r="E468"/>
  <c r="E70"/>
  <c r="E109"/>
  <c r="E38"/>
  <c r="E185"/>
  <c r="E151"/>
  <c r="E148"/>
  <c r="E313"/>
  <c r="E27"/>
  <c r="E53"/>
  <c r="E412"/>
  <c r="E405"/>
  <c r="E469"/>
  <c r="W6"/>
  <c r="E293"/>
  <c r="E190"/>
  <c r="E560"/>
  <c r="E420"/>
  <c r="E111"/>
  <c r="E233"/>
  <c r="E261"/>
  <c r="E203"/>
  <c r="E39"/>
  <c r="E402"/>
  <c r="E107"/>
  <c r="E172"/>
  <c r="E288"/>
  <c r="E255"/>
  <c r="E393"/>
  <c r="E417"/>
  <c r="E88"/>
  <c r="E145"/>
  <c r="E480"/>
  <c r="E279"/>
  <c r="E220"/>
  <c r="E347"/>
  <c r="E517"/>
  <c r="E400"/>
  <c r="E453"/>
  <c r="E58"/>
  <c r="AQ6"/>
  <c r="E197"/>
  <c r="E162"/>
  <c r="E285"/>
  <c r="E235"/>
  <c r="E61"/>
  <c r="E229"/>
  <c r="E433"/>
  <c r="E120"/>
  <c r="E529"/>
  <c r="E191"/>
  <c r="E300"/>
  <c r="E555"/>
  <c r="E379"/>
  <c r="E355"/>
  <c r="E530"/>
  <c r="E499"/>
  <c r="E538"/>
  <c r="AY6"/>
  <c r="E13"/>
  <c r="C22" i="12"/>
  <c r="C20" s="1"/>
  <c r="C16"/>
  <c r="D19"/>
  <c r="C19" s="1"/>
  <c r="J12" i="40"/>
  <c r="H12"/>
  <c r="H12" i="39"/>
  <c r="J12"/>
  <c r="F12"/>
  <c r="F12" i="40"/>
  <c r="F24" i="43"/>
  <c r="C26" s="1"/>
  <c r="D24" s="1"/>
  <c r="F18" i="11"/>
  <c r="C18" s="1"/>
  <c r="O6" i="1"/>
  <c r="O16" s="1"/>
  <c r="C15" i="43"/>
  <c r="M16" i="1"/>
  <c r="P6"/>
  <c r="C15" i="12" s="1"/>
  <c r="I19" i="6"/>
  <c r="M27"/>
  <c r="C7" i="66"/>
  <c r="C8"/>
  <c r="C6"/>
  <c r="G40" i="36"/>
  <c r="H40" s="1"/>
  <c r="G41"/>
  <c r="H41" s="1"/>
  <c r="E36"/>
  <c r="R37"/>
  <c r="G52" i="21"/>
  <c r="H52" s="1"/>
  <c r="G53"/>
  <c r="H53" s="1"/>
  <c r="G42" i="35"/>
  <c r="H42" s="1"/>
  <c r="G43"/>
  <c r="H43" s="1"/>
  <c r="R39"/>
  <c r="E38"/>
  <c r="E42" i="37"/>
  <c r="R43"/>
  <c r="G53" i="34"/>
  <c r="H53" s="1"/>
  <c r="G54"/>
  <c r="H54" s="1"/>
  <c r="G52" i="33"/>
  <c r="H52" s="1"/>
  <c r="G53"/>
  <c r="H53" s="1"/>
  <c r="AB7" i="37"/>
  <c r="T42" s="1"/>
  <c r="G42" s="1"/>
  <c r="U7"/>
  <c r="I41" i="36"/>
  <c r="J41" s="1"/>
  <c r="I40"/>
  <c r="J40" s="1"/>
  <c r="R49" i="21"/>
  <c r="E48"/>
  <c r="R49" i="33"/>
  <c r="E48"/>
  <c r="I52" i="21"/>
  <c r="J52" s="1"/>
  <c r="I53"/>
  <c r="J53" s="1"/>
  <c r="I46" i="37"/>
  <c r="J46" s="1"/>
  <c r="I47"/>
  <c r="J47" s="1"/>
  <c r="I53" i="34"/>
  <c r="J53" s="1"/>
  <c r="R50"/>
  <c r="E49"/>
  <c r="I52" i="33"/>
  <c r="J52" s="1"/>
  <c r="I53"/>
  <c r="J53" s="1"/>
  <c r="I42" i="35"/>
  <c r="J42" s="1"/>
  <c r="I43"/>
  <c r="J43" s="1"/>
  <c r="J20" i="44"/>
  <c r="J26"/>
  <c r="J28"/>
  <c r="J31" s="1"/>
  <c r="J18" i="15"/>
  <c r="J24"/>
  <c r="J26"/>
  <c r="F26" i="44"/>
  <c r="C26" s="1"/>
  <c r="F26" i="12"/>
  <c r="F21" i="43"/>
  <c r="C23" s="1"/>
  <c r="D21" s="1"/>
  <c r="C40" i="44"/>
  <c r="C34"/>
  <c r="C10" i="15"/>
  <c r="C5" s="1"/>
  <c r="C52"/>
  <c r="C47" s="1"/>
  <c r="F41"/>
  <c r="L52" i="44"/>
  <c r="C17" i="15"/>
  <c r="C19" i="11" l="1"/>
  <c r="C20" s="1"/>
  <c r="C21" s="1"/>
  <c r="C22" s="1"/>
  <c r="C23" s="1"/>
  <c r="B2" s="1"/>
  <c r="T20" i="59"/>
  <c r="D20"/>
  <c r="T12"/>
  <c r="D12"/>
  <c r="C4"/>
  <c r="D4" s="1"/>
  <c r="D5"/>
  <c r="M20" i="46"/>
  <c r="C19" s="1"/>
  <c r="H6" i="3"/>
  <c r="S16" i="1"/>
  <c r="T6" s="1"/>
  <c r="G70" i="39"/>
  <c r="F72"/>
  <c r="G65" i="40"/>
  <c r="F67"/>
  <c r="F68" i="15"/>
  <c r="J29"/>
  <c r="AY118" i="3"/>
  <c r="AY467"/>
  <c r="AY425"/>
  <c r="AY49"/>
  <c r="AY149"/>
  <c r="AY381"/>
  <c r="AY343"/>
  <c r="AY560"/>
  <c r="AY65"/>
  <c r="AY178"/>
  <c r="AY135"/>
  <c r="AY294"/>
  <c r="AY372"/>
  <c r="AY459"/>
  <c r="AY168"/>
  <c r="AY256"/>
  <c r="AY346"/>
  <c r="AY389"/>
  <c r="AY161"/>
  <c r="AY342"/>
  <c r="AY194"/>
  <c r="AY279"/>
  <c r="AY16"/>
  <c r="AY438"/>
  <c r="AY278"/>
  <c r="AY442"/>
  <c r="AY253"/>
  <c r="AY352"/>
  <c r="AY35"/>
  <c r="AY236"/>
  <c r="AY516"/>
  <c r="AY530"/>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388"/>
  <c r="AY498"/>
  <c r="AY137"/>
  <c r="AY456"/>
  <c r="AY485"/>
  <c r="AY518"/>
  <c r="AY565"/>
  <c r="AY112"/>
  <c r="AY244"/>
  <c r="AY415"/>
  <c r="BP6"/>
  <c r="AY247"/>
  <c r="AY399"/>
  <c r="AY503"/>
  <c r="AY553"/>
  <c r="AY20"/>
  <c r="AY199"/>
  <c r="AY208"/>
  <c r="AY480"/>
  <c r="AY78"/>
  <c r="AY174"/>
  <c r="AY299"/>
  <c r="AY90"/>
  <c r="AY153"/>
  <c r="AY351"/>
  <c r="AY447"/>
  <c r="AY358"/>
  <c r="AY375"/>
  <c r="AY328"/>
  <c r="AY185"/>
  <c r="AY344"/>
  <c r="AY559"/>
  <c r="AY63"/>
  <c r="AY483"/>
  <c r="AY223"/>
  <c r="AY506"/>
  <c r="AY71"/>
  <c r="AY108"/>
  <c r="AY190"/>
  <c r="AY240"/>
  <c r="AY440"/>
  <c r="AY60"/>
  <c r="AY235"/>
  <c r="AY475"/>
  <c r="AY195"/>
  <c r="AY334"/>
  <c r="AY421"/>
  <c r="AY331"/>
  <c r="AY362"/>
  <c r="AY270"/>
  <c r="AY205"/>
  <c r="AY487"/>
  <c r="AY252"/>
  <c r="AY571"/>
  <c r="BM6"/>
  <c r="AY509"/>
  <c r="AY260"/>
  <c r="AY554"/>
  <c r="AY423"/>
  <c r="AY539"/>
  <c r="AY228"/>
  <c r="AY532"/>
  <c r="AY18"/>
  <c r="AY564"/>
  <c r="AY13"/>
  <c r="BL6"/>
  <c r="AY103"/>
  <c r="AY64"/>
  <c r="AY21"/>
  <c r="AY154"/>
  <c r="AY52"/>
  <c r="AY42"/>
  <c r="AY191"/>
  <c r="AY160"/>
  <c r="AY204"/>
  <c r="AY515"/>
  <c r="AY92"/>
  <c r="AY75"/>
  <c r="AY31"/>
  <c r="AY175"/>
  <c r="AY217"/>
  <c r="AY262"/>
  <c r="AY291"/>
  <c r="AY232"/>
  <c r="AY383"/>
  <c r="AY317"/>
  <c r="AY448"/>
  <c r="AY397"/>
  <c r="AY479"/>
  <c r="AY202"/>
  <c r="AY139"/>
  <c r="AY214"/>
  <c r="AY324"/>
  <c r="AY476"/>
  <c r="AY39"/>
  <c r="AY169"/>
  <c r="AY238"/>
  <c r="AY348"/>
  <c r="AY315"/>
  <c r="AY548"/>
  <c r="AY50"/>
  <c r="AY226"/>
  <c r="AY464"/>
  <c r="AY30"/>
  <c r="AY295"/>
  <c r="AY340"/>
  <c r="AY101"/>
  <c r="AY272"/>
  <c r="AY305"/>
  <c r="AY405"/>
  <c r="AY429"/>
  <c r="AY336"/>
  <c r="AY43"/>
  <c r="AY572"/>
  <c r="AY501"/>
  <c r="AY91"/>
  <c r="AY449"/>
  <c r="AY273"/>
  <c r="AY494"/>
  <c r="AY566"/>
  <c r="AY212"/>
  <c r="AY488"/>
  <c r="BB6"/>
  <c r="AY568"/>
  <c r="AY251"/>
  <c r="AY451"/>
  <c r="AY296"/>
  <c r="AY54"/>
  <c r="AY353"/>
  <c r="AY460"/>
  <c r="AY338"/>
  <c r="AY312"/>
  <c r="AY284"/>
  <c r="AY444"/>
  <c r="AY79"/>
  <c r="AY134"/>
  <c r="AY419"/>
  <c r="AY261"/>
  <c r="AY243"/>
  <c r="AY426"/>
  <c r="AY373"/>
  <c r="AY301"/>
  <c r="AY466"/>
  <c r="AY496"/>
  <c r="AY474"/>
  <c r="AY482"/>
  <c r="AY441"/>
  <c r="AY491"/>
  <c r="BD6"/>
  <c r="AY567"/>
  <c r="AY276"/>
  <c r="AY538"/>
  <c r="AY436"/>
  <c r="AY534"/>
  <c r="AY113"/>
  <c r="AY557"/>
  <c r="AY192"/>
  <c r="AY478"/>
  <c r="AY387"/>
  <c r="AY418"/>
  <c r="AY410"/>
  <c r="AY434"/>
  <c r="AY56"/>
  <c r="AY289"/>
  <c r="AY512"/>
  <c r="AY93"/>
  <c r="AY313"/>
  <c r="AY130"/>
  <c r="AY125"/>
  <c r="AY473"/>
  <c r="AY551"/>
  <c r="AY541"/>
  <c r="AY167"/>
  <c r="AY439"/>
  <c r="AY180"/>
  <c r="AY477"/>
  <c r="AY292"/>
  <c r="AY452"/>
  <c r="BH6"/>
  <c r="AY242"/>
  <c r="AY186"/>
  <c r="BF6"/>
  <c r="AY222"/>
  <c r="AY390"/>
  <c r="AY540"/>
  <c r="AY15"/>
  <c r="AY355"/>
  <c r="AY220"/>
  <c r="BR6"/>
  <c r="AY497"/>
  <c r="AY285"/>
  <c r="AY404"/>
  <c r="AY327"/>
  <c r="AY213"/>
  <c r="AY502"/>
  <c r="AY110"/>
  <c r="AY298"/>
  <c r="AY403"/>
  <c r="AY514"/>
  <c r="AY177"/>
  <c r="AY263"/>
  <c r="AY524"/>
  <c r="AY231"/>
  <c r="AY300"/>
  <c r="AY537"/>
  <c r="AY53"/>
  <c r="AY83"/>
  <c r="AY74"/>
  <c r="AY144"/>
  <c r="AY98"/>
  <c r="AY57"/>
  <c r="AY136"/>
  <c r="AY277"/>
  <c r="AY264"/>
  <c r="AY349"/>
  <c r="AY427"/>
  <c r="AY402"/>
  <c r="AY181"/>
  <c r="AY379"/>
  <c r="AY463"/>
  <c r="AY265"/>
  <c r="AY350"/>
  <c r="AY62"/>
  <c r="AY241"/>
  <c r="AY155"/>
  <c r="AY542"/>
  <c r="AY382"/>
  <c r="AY555"/>
  <c r="AY201"/>
  <c r="AY308"/>
  <c r="AY124"/>
  <c r="AY525"/>
  <c r="AY526"/>
  <c r="AY48"/>
  <c r="AY215"/>
  <c r="AY61"/>
  <c r="AY23"/>
  <c r="AY237"/>
  <c r="AY173"/>
  <c r="AY59"/>
  <c r="AY522"/>
  <c r="AY306"/>
  <c r="AY33"/>
  <c r="AY196"/>
  <c r="AY570"/>
  <c r="AY521"/>
  <c r="BE6"/>
  <c r="AY508"/>
  <c r="AY40"/>
  <c r="AY401"/>
  <c r="AY495"/>
  <c r="AY267"/>
  <c r="AY363"/>
  <c r="AY545"/>
  <c r="AY339"/>
  <c r="AY490"/>
  <c r="AY210"/>
  <c r="AY297"/>
  <c r="AY462"/>
  <c r="AY94"/>
  <c r="AY536"/>
  <c r="AY517"/>
  <c r="AY523"/>
  <c r="D3" i="6"/>
  <c r="AY384" i="3"/>
  <c r="AY416"/>
  <c r="AY422"/>
  <c r="AY170"/>
  <c r="AY146"/>
  <c r="AY286"/>
  <c r="AY364"/>
  <c r="AY398"/>
  <c r="AY70"/>
  <c r="AY141"/>
  <c r="AY258"/>
  <c r="AY366"/>
  <c r="BK6"/>
  <c r="AY72"/>
  <c r="AY269"/>
  <c r="AY376"/>
  <c r="AY435"/>
  <c r="AY81"/>
  <c r="AY230"/>
  <c r="AY450"/>
  <c r="AY122"/>
  <c r="AY307"/>
  <c r="AY457"/>
  <c r="AY412"/>
  <c r="AY188"/>
  <c r="AY143"/>
  <c r="AY543"/>
  <c r="AY330"/>
  <c r="AY99"/>
  <c r="AY481"/>
  <c r="AY428"/>
  <c r="AY486"/>
  <c r="AY82"/>
  <c r="AY80"/>
  <c r="AY37"/>
  <c r="AY67"/>
  <c r="AY41"/>
  <c r="AY58"/>
  <c r="AY203"/>
  <c r="AY159"/>
  <c r="AY128"/>
  <c r="AY179"/>
  <c r="AY95"/>
  <c r="AY105"/>
  <c r="AY36"/>
  <c r="AY274"/>
  <c r="AY150"/>
  <c r="AY293"/>
  <c r="AY246"/>
  <c r="AY275"/>
  <c r="AY216"/>
  <c r="AY386"/>
  <c r="AY333"/>
  <c r="AY556"/>
  <c r="AY432"/>
  <c r="AY411"/>
  <c r="AY408"/>
  <c r="AY414"/>
  <c r="AY28"/>
  <c r="AY187"/>
  <c r="AY117"/>
  <c r="AY114"/>
  <c r="AY280"/>
  <c r="AY271"/>
  <c r="AY374"/>
  <c r="AY304"/>
  <c r="AY311"/>
  <c r="AY445"/>
  <c r="AY123"/>
  <c r="AY38"/>
  <c r="AY172"/>
  <c r="AY200"/>
  <c r="AY183"/>
  <c r="AY227"/>
  <c r="AY257"/>
  <c r="AY335"/>
  <c r="AY337"/>
  <c r="AY558"/>
  <c r="BS6"/>
  <c r="AY111"/>
  <c r="AY25"/>
  <c r="AY120"/>
  <c r="AY254"/>
  <c r="AY224"/>
  <c r="AY341"/>
  <c r="AY424"/>
  <c r="AY394"/>
  <c r="AY85"/>
  <c r="AY197"/>
  <c r="AY266"/>
  <c r="AY359"/>
  <c r="AY369"/>
  <c r="AY76"/>
  <c r="AY156"/>
  <c r="AY282"/>
  <c r="AY229"/>
  <c r="AY321"/>
  <c r="AY14"/>
  <c r="AY437"/>
  <c r="AY430"/>
  <c r="AY465"/>
  <c r="AY378"/>
  <c r="AY544"/>
  <c r="AY314"/>
  <c r="AY193"/>
  <c r="AY493"/>
  <c r="AY320"/>
  <c r="AY86"/>
  <c r="AY27"/>
  <c r="AY24"/>
  <c r="AY268"/>
  <c r="AY431"/>
  <c r="BN6"/>
  <c r="AY239"/>
  <c r="AY407"/>
  <c r="AY500"/>
  <c r="AY552"/>
  <c r="AY107"/>
  <c r="AY140"/>
  <c r="AY458"/>
  <c r="AY527"/>
  <c r="AY152"/>
  <c r="AY461"/>
  <c r="AY489"/>
  <c r="AY519"/>
  <c r="AY546"/>
  <c r="AY66"/>
  <c r="AY325"/>
  <c r="AY417"/>
  <c r="AY287"/>
  <c r="AY163"/>
  <c r="AY385"/>
  <c r="AY492"/>
  <c r="AY484"/>
  <c r="AY505"/>
  <c r="AY17"/>
  <c r="AY563"/>
  <c r="AY68"/>
  <c r="AY357"/>
  <c r="AY133"/>
  <c r="AY84"/>
  <c r="AY468"/>
  <c r="AY377"/>
  <c r="BI6"/>
  <c r="AY164"/>
  <c r="AY469"/>
  <c r="AY454"/>
  <c r="AY499"/>
  <c r="AY391"/>
  <c r="AY507"/>
  <c r="AY504"/>
  <c r="AY100"/>
  <c r="AY73"/>
  <c r="AY47"/>
  <c r="AY182"/>
  <c r="AY126"/>
  <c r="AY45"/>
  <c r="AY106"/>
  <c r="AY234"/>
  <c r="AY209"/>
  <c r="AY361"/>
  <c r="AY55"/>
  <c r="AY250"/>
  <c r="AY326"/>
  <c r="AY116"/>
  <c r="AY310"/>
  <c r="AY550"/>
  <c r="AY115"/>
  <c r="AY400"/>
  <c r="AY302"/>
  <c r="AY132"/>
  <c r="AY420"/>
  <c r="BC6"/>
  <c r="AY157"/>
  <c r="AY528"/>
  <c r="AY207"/>
  <c r="AY19"/>
  <c r="AY513"/>
  <c r="AY347"/>
  <c r="AY345"/>
  <c r="AY470"/>
  <c r="AY119"/>
  <c r="AY533"/>
  <c r="AY89"/>
  <c r="AY102"/>
  <c r="BG6"/>
  <c r="AY165"/>
  <c r="AY255"/>
  <c r="AY354"/>
  <c r="AY121"/>
  <c r="AY510"/>
  <c r="AY281"/>
  <c r="AY322"/>
  <c r="AY395"/>
  <c r="AY189"/>
  <c r="AY393"/>
  <c r="BO6"/>
  <c r="AY433"/>
  <c r="AY547"/>
  <c r="AY455"/>
  <c r="AY332"/>
  <c r="AY51"/>
  <c r="AY511"/>
  <c r="BJ6"/>
  <c r="AY535"/>
  <c r="AC6"/>
  <c r="E6" s="1"/>
  <c r="P16" i="1"/>
  <c r="AA12" i="40"/>
  <c r="S12"/>
  <c r="AC12" i="39"/>
  <c r="W12"/>
  <c r="AB12" i="40"/>
  <c r="U12"/>
  <c r="I27" i="6"/>
  <c r="S19"/>
  <c r="S27" s="1"/>
  <c r="T7" i="1"/>
  <c r="T13"/>
  <c r="T10"/>
  <c r="T12"/>
  <c r="T9"/>
  <c r="T8"/>
  <c r="T11"/>
  <c r="N16"/>
  <c r="C29" i="43" s="1"/>
  <c r="C13"/>
  <c r="L16" i="1"/>
  <c r="AA12" i="39"/>
  <c r="S12"/>
  <c r="U12"/>
  <c r="AB12"/>
  <c r="W12" i="40"/>
  <c r="AC12"/>
  <c r="C50" i="34"/>
  <c r="B3" s="1"/>
  <c r="B2" s="1"/>
  <c r="C49"/>
  <c r="C49" i="33"/>
  <c r="B3" s="1"/>
  <c r="B2" s="1"/>
  <c r="C48"/>
  <c r="C49" i="21"/>
  <c r="B3" s="1"/>
  <c r="B2" s="1"/>
  <c r="C48"/>
  <c r="G47" i="37"/>
  <c r="H47" s="1"/>
  <c r="G46"/>
  <c r="H46" s="1"/>
  <c r="C43"/>
  <c r="B3" s="1"/>
  <c r="B2" s="1"/>
  <c r="C42"/>
  <c r="E43" i="35"/>
  <c r="F43" s="1"/>
  <c r="E42"/>
  <c r="F42" s="1"/>
  <c r="C37" i="36"/>
  <c r="B3" s="1"/>
  <c r="B2" s="1"/>
  <c r="C36"/>
  <c r="E54" i="34"/>
  <c r="F54" s="1"/>
  <c r="E53"/>
  <c r="F53" s="1"/>
  <c r="E52" i="33"/>
  <c r="F52" s="1"/>
  <c r="E53"/>
  <c r="F53" s="1"/>
  <c r="E53" i="21"/>
  <c r="F53" s="1"/>
  <c r="E52"/>
  <c r="F52" s="1"/>
  <c r="E47" i="37"/>
  <c r="F47" s="1"/>
  <c r="E46"/>
  <c r="F46" s="1"/>
  <c r="C39" i="35"/>
  <c r="B3" s="1"/>
  <c r="B2" s="1"/>
  <c r="C38"/>
  <c r="E41" i="36"/>
  <c r="F41" s="1"/>
  <c r="E40"/>
  <c r="F40" s="1"/>
  <c r="I54" i="34"/>
  <c r="J54" s="1"/>
  <c r="Q69" i="44"/>
  <c r="L58"/>
  <c r="L61" s="1"/>
  <c r="C59" i="15"/>
  <c r="C65"/>
  <c r="B3" i="11"/>
  <c r="C32" i="15"/>
  <c r="C38"/>
  <c r="C27" i="12"/>
  <c r="D26" s="1"/>
  <c r="C32" s="1"/>
  <c r="D30" s="1"/>
  <c r="Q67" i="44"/>
  <c r="Q49"/>
  <c r="Q55" s="1"/>
  <c r="Q58"/>
  <c r="C13" i="12"/>
  <c r="C14" i="15"/>
  <c r="C16" i="44"/>
  <c r="B5" i="11" l="1"/>
  <c r="B4"/>
  <c r="T4" i="46"/>
  <c r="V4" s="1"/>
  <c r="C35"/>
  <c r="T10"/>
  <c r="V10" s="1"/>
  <c r="T14"/>
  <c r="V14" s="1"/>
  <c r="T9"/>
  <c r="V9" s="1"/>
  <c r="T13"/>
  <c r="V13" s="1"/>
  <c r="C38"/>
  <c r="C37"/>
  <c r="T7"/>
  <c r="V7" s="1"/>
  <c r="C29"/>
  <c r="C33"/>
  <c r="T3"/>
  <c r="V3" s="1"/>
  <c r="T5"/>
  <c r="V5" s="1"/>
  <c r="C36"/>
  <c r="T8"/>
  <c r="V8" s="1"/>
  <c r="T12"/>
  <c r="V12" s="1"/>
  <c r="T16"/>
  <c r="V16" s="1"/>
  <c r="T11"/>
  <c r="V11" s="1"/>
  <c r="T15"/>
  <c r="V15" s="1"/>
  <c r="C39"/>
  <c r="E39" s="1"/>
  <c r="T6"/>
  <c r="V6" s="1"/>
  <c r="T2"/>
  <c r="V2" s="1"/>
  <c r="C34"/>
  <c r="H65" i="40"/>
  <c r="G67"/>
  <c r="H70" i="39"/>
  <c r="G72"/>
  <c r="C14" i="12"/>
  <c r="C17"/>
  <c r="D26" i="6"/>
  <c r="D9"/>
  <c r="D15"/>
  <c r="E46" i="9"/>
  <c r="D25" i="6"/>
  <c r="H24"/>
  <c r="E45" i="9"/>
  <c r="E63" i="40"/>
  <c r="D24" i="6"/>
  <c r="D22"/>
  <c r="D12"/>
  <c r="H25"/>
  <c r="D5"/>
  <c r="H22"/>
  <c r="H26"/>
  <c r="F46" i="9"/>
  <c r="D19" i="6"/>
  <c r="D13"/>
  <c r="D23"/>
  <c r="D8"/>
  <c r="F45" i="9"/>
  <c r="E68" i="39"/>
  <c r="D21" i="6"/>
  <c r="H21"/>
  <c r="D14"/>
  <c r="H23"/>
  <c r="K38" i="9"/>
  <c r="C14" i="66" s="1"/>
  <c r="B2" s="1"/>
  <c r="C22" i="4"/>
  <c r="D11" i="6"/>
  <c r="H20"/>
  <c r="D29"/>
  <c r="E44" i="9"/>
  <c r="D28" i="6"/>
  <c r="D30" s="1"/>
  <c r="F44" i="9"/>
  <c r="H19" i="6"/>
  <c r="D10"/>
  <c r="D6"/>
  <c r="D20"/>
  <c r="R20" s="1"/>
  <c r="R7" i="1" s="1"/>
  <c r="C17" i="44"/>
  <c r="C20"/>
  <c r="C18" i="15"/>
  <c r="C15"/>
  <c r="C14" i="43"/>
  <c r="C17"/>
  <c r="T16" i="1"/>
  <c r="Q68" i="44"/>
  <c r="Q77" s="1"/>
  <c r="Q59"/>
  <c r="Q64" s="1"/>
  <c r="F35" i="15"/>
  <c r="M21"/>
  <c r="G36" i="46" l="1"/>
  <c r="I36" s="1"/>
  <c r="E36"/>
  <c r="E29"/>
  <c r="C30"/>
  <c r="E30" s="1"/>
  <c r="E37"/>
  <c r="G37"/>
  <c r="I37" s="1"/>
  <c r="E35"/>
  <c r="G35"/>
  <c r="I35" s="1"/>
  <c r="E34"/>
  <c r="G34"/>
  <c r="I34" s="1"/>
  <c r="G33"/>
  <c r="I33" s="1"/>
  <c r="E33"/>
  <c r="G38"/>
  <c r="I38" s="1"/>
  <c r="E38"/>
  <c r="C34" i="15"/>
  <c r="F62"/>
  <c r="C61" s="1"/>
  <c r="J20"/>
  <c r="H72" i="39"/>
  <c r="I70"/>
  <c r="H67" i="40"/>
  <c r="I65"/>
  <c r="H27" i="6"/>
  <c r="C18" i="12"/>
  <c r="C23" s="1"/>
  <c r="C35" s="1"/>
  <c r="C33" s="1"/>
  <c r="R24" i="6"/>
  <c r="D8" i="66"/>
  <c r="D6"/>
  <c r="D7"/>
  <c r="R19" i="6"/>
  <c r="D27"/>
  <c r="D31" s="1"/>
  <c r="R21"/>
  <c r="R8" i="1" s="1"/>
  <c r="R23" i="6"/>
  <c r="R25"/>
  <c r="R26"/>
  <c r="A6" i="51"/>
  <c r="B7" i="63" s="1"/>
  <c r="A20" i="51"/>
  <c r="B15" i="63" s="1"/>
  <c r="A6" i="64"/>
  <c r="A20"/>
  <c r="N5" i="54"/>
  <c r="B43" i="63" s="1"/>
  <c r="D16" i="6"/>
  <c r="R22"/>
  <c r="C21" i="44"/>
  <c r="C22" s="1"/>
  <c r="C28" s="1"/>
  <c r="C19" i="15"/>
  <c r="C20" s="1"/>
  <c r="C23" s="1"/>
  <c r="C18" i="43"/>
  <c r="C19" s="1"/>
  <c r="C25" s="1"/>
  <c r="C24" s="1"/>
  <c r="F7" i="67"/>
  <c r="E4" l="1"/>
  <c r="C27" i="46"/>
  <c r="C26"/>
  <c r="I67" i="40"/>
  <c r="J65"/>
  <c r="I72" i="39"/>
  <c r="J70"/>
  <c r="C28" i="12"/>
  <c r="C26" s="1"/>
  <c r="C31" s="1"/>
  <c r="C30" s="1"/>
  <c r="C36" s="1"/>
  <c r="B2" s="1"/>
  <c r="B3" s="1"/>
  <c r="I5" i="6"/>
  <c r="I6"/>
  <c r="R27"/>
  <c r="R6" i="1"/>
  <c r="C25" i="44"/>
  <c r="C31" s="1"/>
  <c r="J16" s="1"/>
  <c r="C22" i="43"/>
  <c r="C21" s="1"/>
  <c r="C28" s="1"/>
  <c r="C30" s="1"/>
  <c r="C32" s="1"/>
  <c r="B2" s="1"/>
  <c r="B5" s="1"/>
  <c r="C26" i="15"/>
  <c r="C29" s="1"/>
  <c r="B4" i="12"/>
  <c r="C21" i="9"/>
  <c r="E7" i="67"/>
  <c r="C19" i="9"/>
  <c r="C20"/>
  <c r="E3" i="67" l="1"/>
  <c r="B2" i="46"/>
  <c r="J72" i="39"/>
  <c r="K70"/>
  <c r="J67" i="40"/>
  <c r="K65"/>
  <c r="B5" i="12"/>
  <c r="C15" i="44"/>
  <c r="Q72" s="1"/>
  <c r="C35"/>
  <c r="C33" s="1"/>
  <c r="J21"/>
  <c r="J19" s="1"/>
  <c r="L43" i="9"/>
  <c r="B3" i="43"/>
  <c r="Q51" i="44"/>
  <c r="C38"/>
  <c r="B4" i="43"/>
  <c r="R16" i="1"/>
  <c r="C56" i="15"/>
  <c r="Q50"/>
  <c r="C33"/>
  <c r="C31" s="1"/>
  <c r="C13"/>
  <c r="C36"/>
  <c r="J19"/>
  <c r="J17" s="1"/>
  <c r="J14"/>
  <c r="C39" i="44"/>
  <c r="J15"/>
  <c r="J25" s="1"/>
  <c r="J24"/>
  <c r="B7" i="67"/>
  <c r="B2" l="1"/>
  <c r="D4" i="46"/>
  <c r="B4"/>
  <c r="B3"/>
  <c r="C43" i="44"/>
  <c r="L65" i="40"/>
  <c r="K67"/>
  <c r="L70" i="39"/>
  <c r="K72"/>
  <c r="C32" i="44"/>
  <c r="C42" s="1"/>
  <c r="Q71" s="1"/>
  <c r="Q70" s="1"/>
  <c r="J13" i="15"/>
  <c r="J23" s="1"/>
  <c r="J22"/>
  <c r="C63"/>
  <c r="C60"/>
  <c r="C58" s="1"/>
  <c r="Q71"/>
  <c r="J35"/>
  <c r="C37"/>
  <c r="C30" s="1"/>
  <c r="C39" s="1"/>
  <c r="C55"/>
  <c r="C64" s="1"/>
  <c r="J18" i="44"/>
  <c r="J27" s="1"/>
  <c r="L51" i="15"/>
  <c r="B3" i="67" l="1"/>
  <c r="B4"/>
  <c r="C44" i="44"/>
  <c r="C45" s="1"/>
  <c r="B2" s="1"/>
  <c r="B3" s="1"/>
  <c r="M70" i="39"/>
  <c r="L72"/>
  <c r="L67" i="40"/>
  <c r="M65"/>
  <c r="J39" i="15"/>
  <c r="J40" s="1"/>
  <c r="L57"/>
  <c r="L60" s="1"/>
  <c r="L46" s="1"/>
  <c r="Q68"/>
  <c r="C40"/>
  <c r="Q70"/>
  <c r="Q69" s="1"/>
  <c r="C57"/>
  <c r="C66" s="1"/>
  <c r="C67" s="1"/>
  <c r="J16"/>
  <c r="J25" s="1"/>
  <c r="B4" i="44"/>
  <c r="B5" l="1"/>
  <c r="M72" i="39"/>
  <c r="N70"/>
  <c r="N72" s="1"/>
  <c r="N65" i="40"/>
  <c r="N67" s="1"/>
  <c r="J9" s="1"/>
  <c r="M67"/>
  <c r="C70" i="15"/>
  <c r="C46"/>
  <c r="Q66"/>
  <c r="J42"/>
  <c r="J43" s="1"/>
  <c r="C43"/>
  <c r="Q57"/>
  <c r="Q48"/>
  <c r="Q54" s="1"/>
  <c r="B2"/>
  <c r="B3" s="1"/>
  <c r="Q58"/>
  <c r="Q67"/>
  <c r="W9" i="40" l="1"/>
  <c r="AC9"/>
  <c r="V44" s="1"/>
  <c r="I44" s="1"/>
  <c r="I48" s="1"/>
  <c r="J48" s="1"/>
  <c r="H9"/>
  <c r="F9" i="39"/>
  <c r="J9"/>
  <c r="H9"/>
  <c r="F9" i="40"/>
  <c r="Q76" i="15"/>
  <c r="Q63"/>
  <c r="AA9" i="40" l="1"/>
  <c r="R44" s="1"/>
  <c r="S9"/>
  <c r="W9" i="39"/>
  <c r="AC9"/>
  <c r="V49" s="1"/>
  <c r="I49" s="1"/>
  <c r="AB9" i="40"/>
  <c r="T44" s="1"/>
  <c r="G44" s="1"/>
  <c r="U9"/>
  <c r="AB9" i="39"/>
  <c r="T49" s="1"/>
  <c r="G49" s="1"/>
  <c r="U9"/>
  <c r="AA9"/>
  <c r="R49" s="1"/>
  <c r="S9"/>
  <c r="E49" l="1"/>
  <c r="I54" s="1"/>
  <c r="J54" s="1"/>
  <c r="R50"/>
  <c r="G54"/>
  <c r="H54" s="1"/>
  <c r="G53"/>
  <c r="H53" s="1"/>
  <c r="G48" i="40"/>
  <c r="H48" s="1"/>
  <c r="G49"/>
  <c r="H49" s="1"/>
  <c r="E44"/>
  <c r="R45"/>
  <c r="I53" i="39"/>
  <c r="J53" s="1"/>
  <c r="I49" i="40" l="1"/>
  <c r="J49" s="1"/>
  <c r="E48"/>
  <c r="F48" s="1"/>
  <c r="E49"/>
  <c r="F49" s="1"/>
  <c r="E54" i="39"/>
  <c r="F54" s="1"/>
  <c r="E53"/>
  <c r="F53" s="1"/>
  <c r="C44" i="40"/>
  <c r="C45"/>
  <c r="C50" i="39"/>
  <c r="C49"/>
  <c r="B57" i="40" l="1"/>
  <c r="F57" s="1"/>
  <c r="F63"/>
  <c r="B2" s="1"/>
  <c r="B55"/>
  <c r="F55" s="1"/>
  <c r="B60"/>
  <c r="F60" s="1"/>
  <c r="B62"/>
  <c r="F62" s="1"/>
  <c r="B61"/>
  <c r="F61" s="1"/>
  <c r="B53"/>
  <c r="F53" s="1"/>
  <c r="B58"/>
  <c r="F58" s="1"/>
  <c r="B59"/>
  <c r="F59" s="1"/>
  <c r="B54"/>
  <c r="F54" s="1"/>
  <c r="B56"/>
  <c r="F56" s="1"/>
  <c r="B66" i="39"/>
  <c r="F66" s="1"/>
  <c r="B60"/>
  <c r="F60" s="1"/>
  <c r="B58"/>
  <c r="F58" s="1"/>
  <c r="B61"/>
  <c r="F61" s="1"/>
  <c r="B65"/>
  <c r="F65" s="1"/>
  <c r="B67"/>
  <c r="F67" s="1"/>
  <c r="F68"/>
  <c r="B2" s="1"/>
  <c r="B59"/>
  <c r="F59" s="1"/>
  <c r="B64"/>
  <c r="F64" s="1"/>
  <c r="B4"/>
  <c r="B62"/>
  <c r="F62" s="1"/>
  <c r="B63"/>
  <c r="F63" s="1"/>
  <c r="D19" i="9"/>
  <c r="D21"/>
  <c r="G21" l="1"/>
  <c r="D22"/>
  <c r="G19"/>
  <c r="L44"/>
  <c r="B5" i="39"/>
  <c r="B3"/>
  <c r="B5" i="40"/>
  <c r="B4"/>
  <c r="B3"/>
  <c r="D20" i="9"/>
  <c r="G20" l="1"/>
  <c r="M11"/>
  <c r="G22"/>
  <c r="N43"/>
  <c r="C32"/>
  <c r="C34" l="1"/>
  <c r="C35"/>
  <c r="F42" s="1"/>
  <c r="C33"/>
  <c r="C42"/>
  <c r="O38"/>
  <c r="O43"/>
  <c r="D14" i="66" l="1"/>
  <c r="N68" i="9"/>
  <c r="R5" i="54"/>
  <c r="B48" i="63" s="1"/>
  <c r="D63" i="9"/>
  <c r="K25"/>
  <c r="K26"/>
  <c r="N38"/>
  <c r="K28" s="1"/>
  <c r="D42"/>
  <c r="Q5" i="54" s="1"/>
  <c r="B47" i="63" s="1"/>
  <c r="E42" i="9"/>
  <c r="P5" i="54" s="1"/>
  <c r="B46" i="63" s="1"/>
  <c r="M38" i="9"/>
  <c r="K27" s="1"/>
  <c r="E14" i="66" l="1"/>
  <c r="F14"/>
  <c r="B5"/>
  <c r="C103" i="9"/>
  <c r="D77"/>
  <c r="N75" s="1"/>
  <c r="C96"/>
  <c r="C91" s="1"/>
  <c r="D71"/>
  <c r="D66" s="1"/>
  <c r="N72" s="1"/>
  <c r="C111"/>
  <c r="C104" s="1"/>
  <c r="C82"/>
  <c r="C81" s="1"/>
  <c r="C85" s="1"/>
  <c r="C86" s="1"/>
  <c r="D72" s="1"/>
  <c r="C90"/>
  <c r="C97" s="1"/>
  <c r="D70"/>
  <c r="D5" i="66" l="1"/>
  <c r="C5"/>
  <c r="C98" i="9"/>
  <c r="E98" s="1"/>
  <c r="E99" s="1"/>
  <c r="C113"/>
  <c r="C99" l="1"/>
  <c r="C114"/>
  <c r="E114" s="1"/>
  <c r="E115" s="1"/>
  <c r="C115" l="1"/>
  <c r="D76" s="1"/>
  <c r="D74" s="1"/>
  <c r="N74" s="1"/>
  <c r="O77" s="1"/>
  <c r="O78" s="1"/>
  <c r="Q77" l="1"/>
  <c r="O79"/>
  <c r="O80" s="1"/>
  <c r="O8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<sst xmlns="http://schemas.openxmlformats.org/spreadsheetml/2006/main" count="7356" uniqueCount="3129">
  <si>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</si>
  <si>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</si>
  <si>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</si>
  <si>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</si>
  <si>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</si>
  <si>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</si>
  <si>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</si>
  <si>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</si>
  <si>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</si>
  <si>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</si>
  <si>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</si>
  <si>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</si>
  <si>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</si>
  <si>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</si>
  <si>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</si>
  <si>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</si>
  <si>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</si>
  <si>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</si>
  <si>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</si>
  <si>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</si>
  <si>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</si>
  <si>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</si>
  <si>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</si>
  <si>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</si>
  <si>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</si>
  <si>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</si>
  <si>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</si>
  <si>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</si>
  <si>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</si>
  <si>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</si>
  <si>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</si>
  <si>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</si>
  <si>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</si>
  <si>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</si>
  <si>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</si>
  <si>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</si>
  <si>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</si>
  <si>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</si>
  <si>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</si>
  <si>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</si>
  <si>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</si>
  <si>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</si>
  <si>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</si>
  <si>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</si>
  <si>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</si>
  <si>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</si>
  <si>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</si>
  <si>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</si>
  <si>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</si>
  <si>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</si>
  <si>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</si>
  <si>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</si>
  <si>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</si>
  <si>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</si>
  <si>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</si>
  <si>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</si>
  <si>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</si>
  <si>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</si>
  <si>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</si>
  <si>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</si>
  <si>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</si>
  <si>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</si>
  <si>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</si>
  <si>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</si>
  <si>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</si>
  <si>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</si>
  <si>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</si>
  <si>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</si>
  <si>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</si>
  <si>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</si>
  <si>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</si>
  <si>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</si>
  <si>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</si>
  <si>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</si>
  <si>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</si>
  <si>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</si>
  <si>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</si>
  <si>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</si>
  <si>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</si>
  <si>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</si>
  <si>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</si>
  <si>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</si>
  <si>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</si>
  <si>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</si>
  <si>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</si>
  <si>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</si>
  <si>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</si>
  <si>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</si>
  <si>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</si>
  <si>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</si>
  <si>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</si>
  <si>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</si>
  <si>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</si>
  <si>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</si>
  <si>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</si>
  <si>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</si>
  <si>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</si>
  <si>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</si>
  <si>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</si>
  <si>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</si>
  <si>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</si>
  <si>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</si>
  <si>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</si>
  <si>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</si>
  <si>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</si>
  <si>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</si>
  <si>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</si>
  <si>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</si>
  <si>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</si>
  <si>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</si>
  <si>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</si>
  <si>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</si>
  <si>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</si>
  <si>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</si>
  <si>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</si>
  <si>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</si>
  <si>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</si>
  <si>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</si>
  <si>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</si>
  <si>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</si>
  <si>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</si>
  <si>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</si>
  <si>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</si>
  <si>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</si>
  <si>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</si>
  <si>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</si>
  <si>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</si>
  <si>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</si>
  <si>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</si>
  <si>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</si>
  <si>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</si>
  <si>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</si>
  <si>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</si>
  <si>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</si>
  <si>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</si>
  <si>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</si>
  <si>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</si>
  <si>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</si>
  <si>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</si>
  <si>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</si>
  <si>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</si>
  <si>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</si>
  <si>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</si>
  <si>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</si>
  <si>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</si>
  <si>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</si>
  <si>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</si>
  <si>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</si>
  <si>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</si>
  <si>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</si>
  <si>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</si>
  <si>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</si>
  <si>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</si>
  <si>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</si>
  <si>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</si>
  <si>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</si>
  <si>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</si>
  <si>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</si>
  <si>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</si>
  <si>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</si>
  <si>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</si>
  <si>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</si>
  <si>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</si>
  <si>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</si>
  <si>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</si>
  <si>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</si>
  <si>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</si>
  <si>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</si>
  <si>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</si>
  <si>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</si>
  <si>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</si>
  <si>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</si>
  <si>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</si>
  <si>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</si>
  <si>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</si>
  <si>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</si>
  <si>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</si>
  <si>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</si>
  <si>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</si>
  <si>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</si>
  <si>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</si>
  <si>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</si>
  <si>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</si>
  <si>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</si>
  <si>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</si>
  <si>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</si>
  <si>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</si>
  <si>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</si>
  <si>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</si>
  <si>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</si>
  <si>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</si>
  <si>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</si>
  <si>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</si>
  <si>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</si>
  <si>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</si>
  <si>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</si>
  <si>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</si>
  <si>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</si>
  <si>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</si>
  <si>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</si>
  <si>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</si>
  <si>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</si>
  <si>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</si>
  <si>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</si>
  <si>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</si>
  <si>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</si>
  <si>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</si>
  <si>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</si>
  <si>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</si>
  <si>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</si>
  <si>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</si>
  <si>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</si>
  <si>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</si>
  <si>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</si>
  <si>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</si>
  <si>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</si>
  <si>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</si>
  <si>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</si>
  <si>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</si>
  <si>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</si>
  <si>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</si>
  <si>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</si>
  <si>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</si>
  <si>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</si>
  <si>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</si>
  <si>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</si>
  <si>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</si>
  <si>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</si>
  <si>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</si>
  <si>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</si>
  <si>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</si>
  <si>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</si>
  <si>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</si>
  <si>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</si>
  <si>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</si>
  <si>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</si>
  <si>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</si>
  <si>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</si>
  <si>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</si>
  <si>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</si>
  <si>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</si>
  <si>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</si>
  <si>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</si>
  <si>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</si>
  <si>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</si>
  <si>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</si>
  <si>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</si>
  <si>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</si>
  <si>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</si>
  <si>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</si>
  <si>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</si>
  <si>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</si>
  <si>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</si>
  <si>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</si>
  <si>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</si>
  <si>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</si>
  <si>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</si>
  <si>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</si>
  <si>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</si>
  <si>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</si>
  <si>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</si>
  <si>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</si>
  <si>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</si>
  <si>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</si>
  <si>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</si>
  <si>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</si>
  <si>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</si>
  <si>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</si>
  <si>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</si>
  <si>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</si>
  <si>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</si>
  <si>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</si>
  <si>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</si>
  <si>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</si>
  <si>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</si>
  <si>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</si>
  <si>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</si>
  <si>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</si>
  <si>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</si>
  <si>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</si>
  <si>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</si>
  <si>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</si>
  <si>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</si>
  <si>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</si>
  <si>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</si>
  <si>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</si>
  <si>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</si>
  <si>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</si>
  <si>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</si>
  <si>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</si>
  <si>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</si>
  <si>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</si>
  <si>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</si>
  <si>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</si>
  <si>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</si>
  <si>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</si>
  <si>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</si>
  <si>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</si>
  <si>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</si>
  <si>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</si>
  <si>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</si>
  <si>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</si>
  <si>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</si>
  <si>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</si>
  <si>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</si>
  <si>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</si>
  <si>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</si>
  <si>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</si>
  <si>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</si>
  <si>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</si>
  <si>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</si>
  <si>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</si>
  <si>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</si>
  <si>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</si>
  <si>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</si>
  <si>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</si>
  <si>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</si>
  <si>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</si>
  <si>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</si>
  <si>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</si>
  <si>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</si>
  <si>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</si>
  <si>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</si>
  <si>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</si>
  <si>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</si>
  <si>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</si>
  <si>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</si>
  <si>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</si>
  <si>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</si>
  <si>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</si>
  <si>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</si>
  <si>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</si>
  <si>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</si>
  <si>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</si>
  <si>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</si>
  <si>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</si>
  <si>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</si>
  <si>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</si>
  <si>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</si>
  <si>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</si>
  <si>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</si>
  <si>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</si>
  <si>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</si>
  <si>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</si>
  <si>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</si>
  <si>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</si>
  <si>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</si>
  <si>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</si>
  <si>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</si>
  <si>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</si>
  <si>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</si>
  <si>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</si>
  <si>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</si>
  <si>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</si>
  <si>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</si>
  <si>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</si>
  <si>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</si>
  <si>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</si>
  <si>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</si>
  <si>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</si>
  <si>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</si>
  <si>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</si>
  <si>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</si>
  <si>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</si>
  <si>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</si>
  <si>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</si>
  <si>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</si>
  <si>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</si>
  <si>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</si>
  <si>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</si>
  <si>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</si>
  <si>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</si>
  <si>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</si>
  <si>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</si>
  <si>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</si>
  <si>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</si>
  <si>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</si>
  <si>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</si>
  <si>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</si>
  <si>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</si>
  <si>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</si>
  <si>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</si>
  <si>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</si>
  <si>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</si>
  <si>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</si>
  <si>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</si>
  <si>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</si>
  <si>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</si>
  <si>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</si>
  <si>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</si>
  <si>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</si>
  <si>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</si>
  <si>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</si>
  <si>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</si>
  <si>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</si>
  <si>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</si>
  <si>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</si>
  <si>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</si>
  <si>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</si>
  <si>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</si>
  <si>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</si>
  <si>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</si>
  <si>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</si>
  <si>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</si>
  <si>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</si>
  <si>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</si>
  <si>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</si>
  <si>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</si>
  <si>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</si>
  <si>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</si>
  <si>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</si>
  <si>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</si>
  <si>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</si>
  <si>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</si>
  <si>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</si>
  <si>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</si>
  <si>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</si>
  <si>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</si>
  <si>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</si>
  <si>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</si>
  <si>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</si>
  <si>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</si>
  <si>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</si>
  <si>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</si>
  <si>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</si>
  <si>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</si>
  <si>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</si>
  <si>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</si>
  <si>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</si>
  <si>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</si>
  <si>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</si>
  <si>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</si>
  <si>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</si>
  <si>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</si>
  <si>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</si>
  <si>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</si>
  <si>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</si>
  <si>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</si>
  <si>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</si>
  <si>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</si>
  <si>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</si>
  <si>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</si>
  <si>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</si>
  <si>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</si>
  <si>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</si>
  <si>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</si>
  <si>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</si>
  <si>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</si>
  <si>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</si>
  <si>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</si>
  <si>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</si>
  <si>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</si>
  <si>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</si>
  <si>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</si>
  <si>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</si>
  <si>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</si>
  <si>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</si>
  <si>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</si>
  <si>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</si>
  <si>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</si>
  <si>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</si>
  <si>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</si>
  <si>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</si>
  <si>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</si>
  <si>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</si>
  <si>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</si>
  <si>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</si>
  <si>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</si>
  <si>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</si>
  <si>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</si>
  <si>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</si>
  <si>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</si>
  <si>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</si>
  <si>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</si>
  <si>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</si>
  <si>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</si>
  <si>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</si>
  <si>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</si>
  <si>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</si>
  <si>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</si>
  <si>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</si>
  <si>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</si>
  <si>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</si>
  <si>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</si>
  <si>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</si>
  <si>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</si>
  <si>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</si>
  <si>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</si>
  <si>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</si>
  <si>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</si>
  <si>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</si>
  <si>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</si>
  <si>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</si>
  <si>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</si>
  <si>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</si>
  <si>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</si>
  <si>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</si>
  <si>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</si>
  <si>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</si>
  <si>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</si>
  <si>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</si>
  <si>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</si>
  <si>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</si>
  <si>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</si>
  <si>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</si>
  <si>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</si>
  <si>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</si>
  <si>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</si>
  <si>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</si>
  <si>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</si>
  <si>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</si>
  <si>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</si>
  <si>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</si>
  <si>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</si>
  <si>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</si>
  <si>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</si>
  <si>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</si>
  <si>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</si>
  <si>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</si>
  <si>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</si>
  <si>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</si>
  <si>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</si>
  <si>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</si>
  <si>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</si>
  <si>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</si>
  <si>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</si>
  <si>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</si>
  <si>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</si>
  <si>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</si>
  <si>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</si>
  <si>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</si>
  <si>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</si>
  <si>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</si>
  <si>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</si>
  <si>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</si>
  <si>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</si>
  <si>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</si>
  <si>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</si>
  <si>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</si>
  <si>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</si>
  <si>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</si>
  <si>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</si>
  <si>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</si>
  <si>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</si>
  <si>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</si>
  <si>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</si>
  <si>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</si>
  <si>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</si>
  <si>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</si>
  <si>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</si>
  <si>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</si>
  <si>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</si>
  <si>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</si>
  <si>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</si>
  <si>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</si>
  <si>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</si>
  <si>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</si>
  <si>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</si>
  <si>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</si>
  <si>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</si>
  <si>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</si>
  <si>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</si>
  <si>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</si>
  <si>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</si>
  <si>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</si>
  <si>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</si>
  <si>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</si>
  <si>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</si>
  <si>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</si>
  <si>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</si>
  <si>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</si>
  <si>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</si>
  <si>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</si>
  <si>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</si>
  <si>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</si>
  <si>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</si>
  <si>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</si>
  <si>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</si>
  <si>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</si>
  <si>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</si>
  <si>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</si>
  <si>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</si>
  <si>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</si>
  <si>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</si>
  <si>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</si>
  <si>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</si>
  <si>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</si>
  <si>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</si>
  <si>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</si>
  <si>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</si>
  <si>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</si>
  <si>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</si>
  <si>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</si>
  <si>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</si>
  <si>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</si>
  <si>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</si>
  <si>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</si>
  <si>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</si>
  <si>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</si>
  <si>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</si>
  <si>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</si>
  <si>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</si>
  <si>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</si>
  <si>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</si>
  <si>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</si>
  <si>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</si>
  <si>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</si>
  <si>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</si>
  <si>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</si>
  <si>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</si>
  <si>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</si>
  <si>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</si>
  <si>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</si>
  <si>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</si>
  <si>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</si>
  <si>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</si>
  <si>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</si>
  <si>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</si>
  <si>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</si>
  <si>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</si>
  <si>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</si>
  <si>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</si>
  <si>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</si>
  <si>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</si>
  <si>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</si>
  <si>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</si>
  <si>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</si>
  <si>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</si>
  <si>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</si>
  <si>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</si>
  <si>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</si>
  <si>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</si>
  <si>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</si>
  <si>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</si>
  <si>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</si>
  <si>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</si>
  <si>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</si>
  <si>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</si>
  <si>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</si>
  <si>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</si>
  <si>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</si>
  <si>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</si>
  <si>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</si>
  <si>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</si>
  <si>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</si>
  <si>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</si>
  <si>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</si>
  <si>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</si>
  <si>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</si>
  <si>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</si>
  <si>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</si>
  <si>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</si>
  <si>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</si>
  <si>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</si>
  <si>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</si>
  <si>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</si>
  <si>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</si>
  <si>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</si>
  <si>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</si>
  <si>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</si>
  <si>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</si>
  <si>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</si>
  <si>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</si>
  <si>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</si>
  <si>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</si>
  <si>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</si>
  <si>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</si>
  <si>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</si>
  <si>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</si>
  <si>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</si>
  <si>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</si>
  <si>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</si>
  <si>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</si>
  <si>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</si>
  <si>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</si>
  <si>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</si>
  <si>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</si>
  <si>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</si>
  <si>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</si>
  <si>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</si>
  <si>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</si>
  <si>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</si>
  <si>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</si>
  <si>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</si>
  <si>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</si>
  <si>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</si>
  <si>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</si>
  <si>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</si>
  <si>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</si>
  <si>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</si>
  <si>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</si>
  <si>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</si>
  <si>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</si>
  <si>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</si>
  <si>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</si>
  <si>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</si>
  <si>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</si>
  <si>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</si>
  <si>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</si>
  <si>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</si>
  <si>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</si>
  <si>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</si>
  <si>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</si>
  <si>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</si>
  <si>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</si>
  <si>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</si>
  <si>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</si>
  <si>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</si>
  <si>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</si>
  <si>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</si>
  <si>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</si>
  <si>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</si>
  <si>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</si>
  <si>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</si>
  <si>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</si>
  <si>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</si>
  <si>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</si>
  <si>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</si>
  <si>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</si>
  <si>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</si>
  <si>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</si>
  <si>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</si>
  <si>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</si>
  <si>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</si>
  <si>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</si>
  <si>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</si>
  <si>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</si>
  <si>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</si>
  <si>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</si>
  <si>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</si>
  <si>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</si>
  <si>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</si>
  <si>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</si>
  <si>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</si>
  <si>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</si>
  <si>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</si>
  <si>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</si>
  <si>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</si>
  <si>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</si>
  <si>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</si>
  <si>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</si>
  <si>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</si>
  <si>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</si>
  <si>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</si>
  <si>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</si>
  <si>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</si>
  <si>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</si>
  <si>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</si>
  <si>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</si>
  <si>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</si>
  <si>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</si>
  <si>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</si>
  <si>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</si>
  <si>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</si>
  <si>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</si>
  <si>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</si>
  <si>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</si>
  <si>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</si>
  <si>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</si>
  <si>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</si>
  <si>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</si>
  <si>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</si>
  <si>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</si>
  <si>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</si>
  <si>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</si>
  <si>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</si>
  <si>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</si>
  <si>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</si>
  <si>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</si>
  <si>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</si>
  <si>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</si>
  <si>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</si>
  <si>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</si>
  <si>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</si>
  <si>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</si>
  <si>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</si>
  <si>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</si>
  <si>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</si>
  <si>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</si>
  <si>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</si>
  <si>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</si>
  <si>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</si>
  <si>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</si>
  <si>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</si>
  <si>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</si>
  <si>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</si>
  <si>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</si>
  <si>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</si>
  <si>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</si>
  <si>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</si>
  <si>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</si>
  <si>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</si>
  <si>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</si>
  <si>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</si>
  <si>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</si>
  <si>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</si>
  <si>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</si>
  <si>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</si>
  <si>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</si>
  <si>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</si>
  <si>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</si>
  <si>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</si>
  <si>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</si>
  <si>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</si>
  <si>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</si>
  <si>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</si>
  <si>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</si>
  <si>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</si>
  <si>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</si>
  <si>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</si>
  <si>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</si>
  <si>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</si>
  <si>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</si>
  <si>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</si>
  <si>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</si>
  <si>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</si>
  <si>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</si>
  <si>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</si>
  <si>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</si>
  <si>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</si>
  <si>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</si>
  <si>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</si>
  <si>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</si>
  <si>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</si>
  <si>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</si>
  <si>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</si>
  <si>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</si>
  <si>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</si>
  <si>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</si>
  <si>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</si>
  <si>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</si>
  <si>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</si>
  <si>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</si>
  <si>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</si>
  <si>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</si>
  <si>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</si>
  <si>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</si>
  <si>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</si>
  <si>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</si>
  <si>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</si>
  <si>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</si>
  <si>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</si>
  <si>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</si>
  <si>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</si>
  <si>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</si>
  <si>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</si>
  <si>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</si>
  <si>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</si>
  <si>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</si>
  <si>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</si>
  <si>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</si>
  <si>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</si>
  <si>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</si>
  <si>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</si>
  <si>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</si>
  <si>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</si>
  <si>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</si>
  <si>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</si>
  <si>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</si>
  <si>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</si>
  <si>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</si>
  <si>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</si>
  <si>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</si>
  <si>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</si>
  <si>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</si>
  <si>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</si>
  <si>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</si>
  <si>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</si>
  <si>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</si>
  <si>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</si>
  <si>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</si>
  <si>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</si>
  <si>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</si>
  <si>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</si>
  <si>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</si>
  <si>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</si>
  <si>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</si>
  <si>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</si>
  <si>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</si>
  <si>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</si>
  <si>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</si>
  <si>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</si>
  <si>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</si>
  <si>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</si>
  <si>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</si>
  <si>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</si>
  <si>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</si>
  <si>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</si>
  <si>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</si>
  <si>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</si>
  <si>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</si>
  <si>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</si>
  <si>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</si>
  <si>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</si>
  <si>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</si>
  <si>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</si>
  <si>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</si>
  <si>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</si>
  <si>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</si>
  <si>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</si>
  <si>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</si>
  <si>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</si>
  <si>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</si>
  <si>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</si>
  <si>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</si>
  <si>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</si>
  <si>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</si>
  <si>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</si>
  <si>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</si>
  <si>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</si>
  <si>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</si>
  <si>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</si>
  <si>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</si>
  <si>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</si>
  <si>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</si>
  <si>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</si>
  <si>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</si>
  <si>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</si>
  <si>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</si>
  <si>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</si>
  <si>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</si>
  <si>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</si>
  <si>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</si>
  <si>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</si>
  <si>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</si>
  <si>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</si>
  <si>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</si>
  <si>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</si>
  <si>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</si>
  <si>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</si>
  <si>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</si>
  <si>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</si>
  <si>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</si>
  <si>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</si>
  <si>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</si>
  <si>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</si>
  <si>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</si>
  <si>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</si>
  <si>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</si>
  <si>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</si>
  <si>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</si>
  <si>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</si>
  <si>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</si>
  <si>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</si>
  <si>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</si>
  <si>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</si>
  <si>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</si>
  <si>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</si>
  <si>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</si>
  <si>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</si>
  <si>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</si>
  <si>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</si>
  <si>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</si>
  <si>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</si>
  <si>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</si>
  <si>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</si>
  <si>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</si>
  <si>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</si>
  <si>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</si>
  <si>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</si>
  <si>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</si>
  <si>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</si>
  <si>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</si>
  <si>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</si>
  <si>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</si>
  <si>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</si>
  <si>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</si>
  <si>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</si>
  <si>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</si>
  <si>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</si>
  <si>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</si>
  <si>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</si>
  <si>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</si>
  <si>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</si>
  <si>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</si>
  <si>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</si>
  <si>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</si>
  <si>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</si>
  <si>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</si>
  <si>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</si>
  <si>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</si>
  <si>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</si>
  <si>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</si>
  <si>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</si>
  <si>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</si>
  <si>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</si>
  <si>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</si>
  <si>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</si>
  <si>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</si>
  <si>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</si>
  <si>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</si>
  <si>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</si>
  <si>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</si>
  <si>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</si>
  <si>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</si>
  <si>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</si>
  <si>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</si>
  <si>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</si>
  <si>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</si>
  <si>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</si>
  <si>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</si>
  <si>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</si>
  <si>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</si>
  <si>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</si>
  <si>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</si>
  <si>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</si>
  <si>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</si>
  <si>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</si>
  <si>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</si>
  <si>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</si>
  <si>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</si>
  <si>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</si>
  <si>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</si>
  <si>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</si>
  <si>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</si>
  <si>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</si>
  <si>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</si>
  <si>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</si>
  <si>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</si>
  <si>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</si>
  <si>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</si>
  <si>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</si>
  <si>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</si>
  <si>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</si>
  <si>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</si>
  <si>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</si>
  <si>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</si>
  <si>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</si>
  <si>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</si>
  <si>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</si>
  <si>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</si>
  <si>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</si>
  <si>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</si>
  <si>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</si>
  <si>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</si>
  <si>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</si>
  <si>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</si>
  <si>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</si>
  <si>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</si>
  <si>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</si>
  <si>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</si>
  <si>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</si>
  <si>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</si>
  <si>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</si>
  <si>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</si>
  <si>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</si>
  <si>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</si>
  <si>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</si>
  <si>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</si>
  <si>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</si>
  <si>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</si>
  <si>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</si>
  <si>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</si>
  <si>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</si>
  <si>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</si>
  <si>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</si>
  <si>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</si>
  <si>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</si>
  <si>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</si>
  <si>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</si>
  <si>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</si>
  <si>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</si>
  <si>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</si>
  <si>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</si>
  <si>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</si>
  <si>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</si>
  <si>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</si>
  <si>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</si>
  <si>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</si>
  <si>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</si>
  <si>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</si>
  <si>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</si>
  <si>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</si>
  <si>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</si>
  <si>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</si>
  <si>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</si>
  <si>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</si>
  <si>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</si>
  <si>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</si>
  <si>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</si>
  <si>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</si>
  <si>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</si>
  <si>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</si>
  <si>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</si>
  <si>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</si>
  <si>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</si>
  <si>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</si>
  <si>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</si>
  <si>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</si>
  <si>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</si>
  <si>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</si>
  <si>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</si>
  <si>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</si>
  <si>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</si>
  <si>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</si>
  <si>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</si>
  <si>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</si>
  <si>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</si>
  <si>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</si>
  <si>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</si>
  <si>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</si>
  <si>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</si>
  <si>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</si>
  <si>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</si>
  <si>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</si>
  <si>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</si>
  <si>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</si>
  <si>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</si>
  <si>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</si>
  <si>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</si>
  <si>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</si>
  <si>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</si>
  <si>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</si>
  <si>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</si>
  <si>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</si>
  <si>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</si>
  <si>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</si>
  <si>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</si>
  <si>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</si>
  <si>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</si>
  <si>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</si>
  <si>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</si>
  <si>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</si>
  <si>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</si>
  <si>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</si>
  <si>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</si>
  <si>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</si>
  <si>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</si>
  <si>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</si>
  <si>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</si>
  <si>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</si>
  <si>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</si>
  <si>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</si>
  <si>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</si>
  <si>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</si>
  <si>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</si>
  <si>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</si>
  <si>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</si>
  <si>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</si>
  <si>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</si>
  <si>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</si>
  <si>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</si>
  <si>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</si>
  <si>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</si>
  <si>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</si>
  <si>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</si>
  <si>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</si>
  <si>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</si>
  <si>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</si>
  <si>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</si>
  <si>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</si>
  <si>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</si>
  <si>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</si>
  <si>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</si>
  <si>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</si>
  <si>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</si>
  <si>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</si>
  <si>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</si>
  <si>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</si>
  <si>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</si>
  <si>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</si>
  <si>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</si>
  <si>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</si>
  <si>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</si>
  <si>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</si>
  <si>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</si>
  <si>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</si>
  <si>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</si>
  <si>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</si>
  <si>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</si>
  <si>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</si>
  <si>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</si>
  <si>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</si>
  <si>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</si>
  <si>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</si>
  <si>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</si>
  <si>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</si>
  <si>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</si>
  <si>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</si>
  <si>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</si>
  <si>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</si>
  <si>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</si>
  <si>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</si>
  <si>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</si>
  <si>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</si>
  <si>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</si>
  <si>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</si>
  <si>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</si>
  <si>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</si>
  <si>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</si>
  <si>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</si>
  <si>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</si>
  <si>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</si>
  <si>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</si>
  <si>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</si>
  <si>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</si>
  <si>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</si>
  <si>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</si>
  <si>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</si>
  <si>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</si>
  <si>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</si>
  <si>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</si>
  <si>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</si>
  <si>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</si>
  <si>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</si>
  <si>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</si>
  <si>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</si>
  <si>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</si>
  <si>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</si>
  <si>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</si>
  <si>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</si>
  <si>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</si>
  <si>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</si>
  <si>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</si>
  <si>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</si>
  <si>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</si>
  <si>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</si>
  <si>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</si>
  <si>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</si>
  <si>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</si>
  <si>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</si>
  <si>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</si>
  <si>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</si>
  <si>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</si>
  <si>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</si>
  <si>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</si>
  <si>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</si>
  <si>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</si>
  <si>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</si>
  <si>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</si>
  <si>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</si>
  <si>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</si>
  <si>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</si>
  <si>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</si>
  <si>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</si>
  <si>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</si>
  <si>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</si>
  <si>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</si>
  <si>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</si>
  <si>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</si>
  <si>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</si>
  <si>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</si>
  <si>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</si>
  <si>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</si>
  <si>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</si>
  <si>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</si>
  <si>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</si>
  <si>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</si>
  <si>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</si>
  <si>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</si>
  <si>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</si>
  <si>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</si>
  <si>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</si>
  <si>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</si>
  <si>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</si>
  <si>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</si>
  <si>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</si>
  <si>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</si>
  <si>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</si>
  <si>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</si>
  <si>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</si>
  <si>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</si>
  <si>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</si>
  <si>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</si>
  <si>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</si>
  <si>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</si>
  <si>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</si>
  <si>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</si>
  <si>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</si>
  <si>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</si>
  <si>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</si>
  <si>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</si>
  <si>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</si>
  <si>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</si>
  <si>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</si>
  <si>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</si>
  <si>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</si>
  <si>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</si>
  <si>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</si>
  <si>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</si>
  <si>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</si>
  <si>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</si>
  <si>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</si>
  <si>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</si>
  <si>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</si>
  <si>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</si>
  <si>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</si>
  <si>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</si>
  <si>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</si>
  <si>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</si>
  <si>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</si>
  <si>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</si>
  <si>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</si>
  <si>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</si>
  <si>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</si>
  <si>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</si>
  <si>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</si>
  <si>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</si>
  <si>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</si>
  <si>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</si>
  <si>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</si>
  <si>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</si>
  <si>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</si>
  <si>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</si>
  <si>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</si>
  <si>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</si>
  <si>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</si>
  <si>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</si>
  <si>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</si>
  <si>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</si>
  <si>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</si>
  <si>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</si>
  <si>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</si>
  <si>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</si>
  <si>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</si>
  <si>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</si>
  <si>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</si>
  <si>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</si>
  <si>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</si>
  <si>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</si>
  <si>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</si>
  <si>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</si>
  <si>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</si>
  <si>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</si>
  <si>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</si>
  <si>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</si>
  <si>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</si>
  <si>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</si>
  <si>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</si>
  <si>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</si>
  <si>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</si>
  <si>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</si>
  <si>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</si>
  <si>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</si>
  <si>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</si>
  <si>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</si>
  <si>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</si>
  <si>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</si>
  <si>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</si>
  <si>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</si>
  <si>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</si>
  <si>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</si>
  <si>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</si>
  <si>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</si>
  <si>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</si>
  <si>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</si>
  <si>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</si>
  <si>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</si>
  <si>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</si>
  <si>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</si>
  <si>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</si>
  <si>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</si>
  <si>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</si>
  <si>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</si>
  <si>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</si>
  <si>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</si>
  <si>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</si>
  <si>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</si>
  <si>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</si>
  <si>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</si>
  <si>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</si>
  <si>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</si>
  <si>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</si>
  <si>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</si>
  <si>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</si>
  <si>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</si>
  <si>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</si>
  <si>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</si>
  <si>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</si>
  <si>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</si>
  <si>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</si>
  <si>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</si>
  <si>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</si>
  <si>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</si>
  <si>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</si>
  <si>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</si>
  <si>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</si>
  <si>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</si>
  <si>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</si>
  <si>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</si>
  <si>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</si>
  <si>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</si>
  <si>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</si>
  <si>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</si>
  <si>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</si>
  <si>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</si>
  <si>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</si>
  <si>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</si>
  <si>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</si>
  <si>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</si>
  <si>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</si>
  <si>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</si>
  <si>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</si>
  <si>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</si>
  <si>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</si>
  <si>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</si>
  <si>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</si>
  <si>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</si>
  <si>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</si>
  <si>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</si>
  <si>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</si>
  <si>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</si>
  <si>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</si>
  <si>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</si>
  <si>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</si>
  <si>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</si>
  <si>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</si>
  <si>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</si>
  <si>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</si>
  <si>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</si>
  <si>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</si>
  <si>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</si>
  <si>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</si>
  <si>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</si>
  <si>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</si>
  <si>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</si>
  <si>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</si>
  <si>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</si>
  <si>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</si>
  <si>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</si>
  <si>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</si>
  <si>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</si>
  <si>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</si>
  <si>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</si>
  <si>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</si>
  <si>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</si>
  <si>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</si>
  <si>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</si>
  <si>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</si>
  <si>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</si>
  <si>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</si>
  <si>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</si>
  <si>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</si>
  <si>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</si>
  <si>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</si>
  <si>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</si>
  <si>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</si>
  <si>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</si>
  <si>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</si>
  <si>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</si>
  <si>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</si>
  <si>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</si>
  <si>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</si>
  <si>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</si>
  <si>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</si>
  <si>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</si>
  <si>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</si>
  <si>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</si>
  <si>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</si>
  <si>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</si>
  <si>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</si>
  <si>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</si>
  <si>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</si>
  <si>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</si>
  <si>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</si>
  <si>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</si>
  <si>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</si>
  <si>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</si>
  <si>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</si>
  <si>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</si>
  <si>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</si>
  <si>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</si>
  <si>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</si>
  <si>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</si>
  <si>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</si>
  <si>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</si>
  <si>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</si>
  <si>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</si>
  <si>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</si>
  <si>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</si>
  <si>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</si>
  <si>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</si>
  <si>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</si>
  <si>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</si>
  <si>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</si>
  <si>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</si>
  <si>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</si>
  <si>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</si>
  <si>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</si>
  <si>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</si>
  <si>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</si>
  <si>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</si>
  <si>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</si>
  <si>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</si>
  <si>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</si>
  <si>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</si>
  <si>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</si>
  <si>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</si>
  <si>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</si>
  <si>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</si>
  <si>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</si>
  <si>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</si>
  <si>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</si>
  <si>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</si>
  <si>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</si>
  <si>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</si>
  <si>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</si>
  <si>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</si>
  <si>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</si>
  <si>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</si>
  <si>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</si>
  <si>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</si>
  <si>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</si>
  <si>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</si>
  <si>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</si>
  <si>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</si>
  <si>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</si>
  <si>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</si>
  <si>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</si>
  <si>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</si>
  <si>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</si>
  <si>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</si>
  <si>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</si>
  <si>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</si>
  <si>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</si>
  <si>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</si>
  <si>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</si>
  <si>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</si>
  <si>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</si>
  <si>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</si>
  <si>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</si>
  <si>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</si>
  <si>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</si>
  <si>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</si>
  <si>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</si>
  <si>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</si>
  <si>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</si>
  <si>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</si>
  <si>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</si>
  <si>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</si>
  <si>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</si>
  <si>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</si>
  <si>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</si>
  <si>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</si>
  <si>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</si>
  <si>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</si>
  <si>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</si>
  <si>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</si>
  <si>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</si>
  <si>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</si>
  <si>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</si>
  <si>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</si>
  <si>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</si>
  <si>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</si>
  <si>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</si>
  <si>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</si>
  <si>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</si>
  <si>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</si>
  <si>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</si>
  <si>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</si>
  <si>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</si>
  <si>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</si>
  <si>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</si>
  <si>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</si>
  <si>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</si>
  <si>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</si>
  <si>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</si>
  <si>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</si>
  <si>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</si>
  <si>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</si>
  <si>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</si>
  <si>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</si>
  <si>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</si>
  <si>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</si>
  <si>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</si>
  <si>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</si>
  <si>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</si>
  <si>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</si>
  <si>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</si>
  <si>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</si>
  <si>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</si>
  <si>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</si>
  <si>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</si>
  <si>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</si>
  <si>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</si>
  <si>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</si>
  <si>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</si>
  <si>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</si>
  <si>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</si>
  <si>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</si>
  <si>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</si>
  <si>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</si>
  <si>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</si>
  <si>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</si>
  <si>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</si>
  <si>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</si>
  <si>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</si>
  <si>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</si>
  <si>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</si>
  <si>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</si>
  <si>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</si>
  <si>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</si>
  <si>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</si>
  <si>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</si>
  <si>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</si>
  <si>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</si>
  <si>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</si>
  <si>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</si>
  <si>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</si>
  <si>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</si>
  <si>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</si>
  <si>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</si>
  <si>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</si>
  <si>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</si>
  <si>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</si>
  <si>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</si>
  <si>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</si>
  <si>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</si>
  <si>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</si>
  <si>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</si>
  <si>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</si>
  <si>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</si>
  <si>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</si>
  <si>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</si>
  <si>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</si>
  <si>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</si>
  <si>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</si>
  <si>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</si>
  <si>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</si>
  <si>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</si>
  <si>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</si>
  <si>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</si>
  <si>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</si>
  <si>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</si>
  <si>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</si>
  <si>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</si>
  <si>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</si>
  <si>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</si>
  <si>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</si>
  <si>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</si>
  <si>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</si>
  <si>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</si>
  <si>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</si>
  <si>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</si>
  <si>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</si>
  <si>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</si>
  <si>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</si>
  <si>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</si>
  <si>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</si>
  <si>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</si>
  <si>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</si>
  <si>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</si>
  <si>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</si>
  <si>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</si>
  <si>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</si>
  <si>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</si>
  <si>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</si>
  <si>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</si>
  <si>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</si>
  <si>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</si>
  <si>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</si>
  <si>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</si>
  <si>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</si>
  <si>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</si>
  <si>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</si>
  <si>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</si>
  <si>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</si>
  <si>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</si>
  <si>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</si>
  <si>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</si>
  <si>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</si>
  <si>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</si>
  <si>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</si>
  <si>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</si>
  <si>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</si>
  <si>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</si>
  <si>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</si>
  <si>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</si>
  <si>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</si>
  <si>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</si>
  <si>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</si>
  <si>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</si>
  <si>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</si>
  <si>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</si>
  <si>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</si>
  <si>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</si>
  <si>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</si>
  <si>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</si>
  <si>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</si>
  <si>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</si>
  <si>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</si>
  <si>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</si>
  <si>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</si>
  <si>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</si>
  <si>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</si>
  <si>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</si>
  <si>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</si>
  <si>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</si>
  <si>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</si>
  <si>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</si>
  <si>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</si>
  <si>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</si>
  <si>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</si>
  <si>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</si>
  <si>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</si>
  <si>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</si>
  <si>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</si>
  <si>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</si>
  <si>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</si>
  <si>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</si>
  <si>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</si>
  <si>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</si>
  <si>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</si>
  <si>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</si>
  <si>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</si>
  <si>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</si>
  <si>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</si>
  <si>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</si>
  <si>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</si>
  <si>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</si>
  <si>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</si>
  <si>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</si>
  <si>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</si>
  <si>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</si>
  <si>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</si>
  <si>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</si>
  <si>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</si>
  <si>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</si>
  <si>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</si>
  <si>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</si>
  <si>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</si>
  <si>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</si>
  <si>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</si>
  <si>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</si>
  <si>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</si>
  <si>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</si>
  <si>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</si>
  <si>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</si>
  <si>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</si>
  <si>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</si>
  <si>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</si>
  <si>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</si>
  <si>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</si>
  <si>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</si>
  <si>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</si>
  <si>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</si>
  <si>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</si>
  <si>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</si>
  <si>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</si>
  <si>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</si>
  <si>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</si>
  <si>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</si>
  <si>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</si>
  <si>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</si>
  <si>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</si>
  <si>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</si>
  <si>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</si>
  <si>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</si>
  <si>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</si>
  <si>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</si>
  <si>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</si>
  <si>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</si>
  <si>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</si>
  <si>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</si>
  <si>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</si>
  <si>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</si>
  <si>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</si>
  <si>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</si>
  <si>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</si>
  <si>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</si>
  <si>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</si>
  <si>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</si>
  <si>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</si>
  <si>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</si>
  <si>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</si>
  <si>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</si>
  <si>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</si>
  <si>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</si>
  <si>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</si>
  <si>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</si>
  <si>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</si>
  <si>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</si>
  <si>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</si>
  <si>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</si>
  <si>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</si>
  <si>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</si>
  <si>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</si>
  <si>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</si>
  <si>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</si>
  <si>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</si>
  <si>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</si>
  <si>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</si>
  <si>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</si>
  <si>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</si>
  <si>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</si>
  <si>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</si>
  <si>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</si>
  <si>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</si>
  <si>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</si>
  <si>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</si>
  <si>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</si>
  <si>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</si>
  <si>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</si>
  <si>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</si>
  <si>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</si>
  <si>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</si>
  <si>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</si>
  <si>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</si>
  <si>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</si>
  <si>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</si>
  <si>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</si>
  <si>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</si>
  <si>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</si>
  <si>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</si>
  <si>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</si>
  <si>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</si>
  <si>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</si>
  <si>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</si>
  <si>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</si>
  <si>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</si>
  <si>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</si>
  <si>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</si>
  <si>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</si>
  <si>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</si>
  <si>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</si>
  <si>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</si>
  <si>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</si>
  <si>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</si>
  <si>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</si>
  <si>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</si>
  <si>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</si>
  <si>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</si>
  <si>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</si>
  <si>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</si>
  <si>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</si>
  <si>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</si>
  <si>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</si>
  <si>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</si>
  <si>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</si>
  <si>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</si>
  <si>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</si>
  <si>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</si>
  <si>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</si>
  <si>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</si>
  <si>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</si>
  <si>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</si>
  <si>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</si>
  <si>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</si>
  <si>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</si>
  <si>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</si>
  <si>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</si>
  <si>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</si>
  <si>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</si>
  <si>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</si>
  <si>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</si>
  <si>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</si>
  <si>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</si>
  <si>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</si>
  <si>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</si>
  <si>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</si>
  <si>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</si>
  <si>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</si>
  <si>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</si>
  <si>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</si>
  <si>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</si>
  <si>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</si>
  <si>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</si>
  <si>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</si>
  <si>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</si>
  <si>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</si>
  <si>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</si>
  <si>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</si>
  <si>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</si>
  <si>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</si>
  <si>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</si>
  <si>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</si>
  <si>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</si>
  <si>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</si>
  <si>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</si>
  <si>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</si>
  <si>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</si>
  <si>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</si>
  <si>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</si>
  <si>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</si>
  <si>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</si>
  <si>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</si>
  <si>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</si>
  <si>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</si>
  <si>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</si>
  <si>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</si>
  <si>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</si>
  <si>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</si>
  <si>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</si>
  <si>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</si>
  <si>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</si>
  <si>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</si>
  <si>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</si>
  <si>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</si>
  <si>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</si>
  <si>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</si>
  <si>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</si>
  <si>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</si>
  <si>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</si>
  <si>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</si>
  <si>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</si>
  <si>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</si>
  <si>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</si>
  <si>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</si>
  <si>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</si>
  <si>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</si>
  <si>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</si>
  <si>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</si>
  <si>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</si>
  <si>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</si>
  <si>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</si>
  <si>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</si>
  <si>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</si>
  <si>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</si>
  <si>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</si>
  <si>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</si>
  <si>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</si>
  <si>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</si>
  <si>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</si>
  <si>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</si>
  <si>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</si>
  <si>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</si>
  <si>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</si>
  <si>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</si>
  <si>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</si>
  <si>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</si>
  <si>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</si>
  <si>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</si>
  <si>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</si>
  <si>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</si>
  <si>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</si>
  <si>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</si>
  <si>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</si>
  <si>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</si>
  <si>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</si>
  <si>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</si>
  <si>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</si>
  <si>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</si>
  <si>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</si>
  <si>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</si>
  <si>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</si>
  <si>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</si>
  <si>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</si>
  <si>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</si>
  <si>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</si>
  <si>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</si>
  <si>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</si>
  <si>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</si>
  <si>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</si>
  <si>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</si>
  <si>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</si>
  <si>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</si>
  <si>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</si>
  <si>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</si>
  <si>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</si>
  <si>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</si>
  <si>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</si>
  <si>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</si>
  <si>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</si>
  <si>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</si>
  <si>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</si>
  <si>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</si>
  <si>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</si>
  <si>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</si>
  <si>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</si>
  <si>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</si>
  <si>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</si>
  <si>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</si>
  <si>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</si>
  <si>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</si>
  <si>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</si>
  <si>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</si>
  <si>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</si>
  <si>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</si>
  <si>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</si>
  <si>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</si>
  <si>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</si>
  <si>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</si>
  <si>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</si>
  <si>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</si>
  <si>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</si>
  <si>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</si>
  <si>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</si>
  <si>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</si>
  <si>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</si>
  <si>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</si>
  <si>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</si>
  <si>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</si>
  <si>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</si>
  <si>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</si>
  <si>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</si>
  <si>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</si>
  <si>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</si>
  <si>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</si>
  <si>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</si>
  <si>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</si>
  <si>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</si>
  <si>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</si>
  <si>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</si>
  <si>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</si>
  <si>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</si>
  <si>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</si>
  <si>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</si>
  <si>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</si>
  <si>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</si>
  <si>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</si>
  <si>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</si>
  <si>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</si>
  <si>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</si>
  <si>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</si>
  <si>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</si>
  <si>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</si>
  <si>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</si>
  <si>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</si>
  <si>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</si>
  <si>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</si>
  <si>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</si>
  <si>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</si>
  <si>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</si>
  <si>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</si>
  <si>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</si>
  <si>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</si>
  <si>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</si>
  <si>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</si>
  <si>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</si>
  <si>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</si>
  <si>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</si>
  <si>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</si>
  <si>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</si>
  <si>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</si>
  <si>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</si>
  <si>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</si>
  <si>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</si>
  <si>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</si>
  <si>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</si>
  <si>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</si>
  <si>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</si>
  <si>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</si>
  <si>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</si>
  <si>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</si>
  <si>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</si>
  <si>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</si>
  <si>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</si>
  <si>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</si>
  <si>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</si>
  <si>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</si>
  <si>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</si>
  <si>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</si>
  <si>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</si>
  <si>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</si>
  <si>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</si>
  <si>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</si>
  <si>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</si>
  <si>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</si>
  <si>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</si>
  <si>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</si>
  <si>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</si>
  <si>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</si>
  <si>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</si>
  <si>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</si>
  <si>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</si>
  <si>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</si>
  <si>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</si>
  <si>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</si>
  <si>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</si>
  <si>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</si>
  <si>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</si>
  <si>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</si>
  <si>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</si>
  <si>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</si>
  <si>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</si>
  <si>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</si>
  <si>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</si>
  <si>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</si>
  <si>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</si>
  <si>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</si>
  <si>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</si>
  <si>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</si>
  <si>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</si>
  <si>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</si>
  <si>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</si>
  <si>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</si>
  <si>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</si>
  <si>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</si>
  <si>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</si>
  <si>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</si>
  <si>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</si>
  <si>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</si>
  <si>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</si>
  <si>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</si>
  <si>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</si>
  <si>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</si>
  <si>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</si>
  <si>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</si>
  <si>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</si>
  <si>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</si>
  <si>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</si>
  <si>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</si>
  <si>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</si>
  <si>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</si>
  <si>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</si>
  <si>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</si>
  <si>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</si>
  <si>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</si>
  <si>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</si>
  <si>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</si>
  <si>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</si>
  <si>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</si>
  <si>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</si>
  <si>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</si>
  <si>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</si>
  <si>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</si>
  <si>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</si>
  <si>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</si>
  <si>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</si>
  <si>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</si>
  <si>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</si>
  <si>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</si>
  <si>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</si>
  <si>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</si>
  <si>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</si>
  <si>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</si>
  <si>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</si>
  <si>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</si>
  <si>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</si>
  <si>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</si>
  <si>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</si>
  <si>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</si>
  <si>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</si>
  <si>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</si>
  <si>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</si>
  <si>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</si>
  <si>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</si>
  <si>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</si>
  <si>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</si>
  <si>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</si>
  <si>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</si>
  <si>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</si>
  <si>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</si>
  <si>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</si>
  <si>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</si>
  <si>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</si>
  <si>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</si>
  <si>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</si>
  <si>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</si>
  <si>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</si>
  <si>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</si>
  <si>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</si>
  <si>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</si>
  <si>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</si>
  <si>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</si>
  <si>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</si>
  <si>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</si>
  <si>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</si>
  <si>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</si>
  <si>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</si>
  <si>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</si>
  <si>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</si>
  <si>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</si>
  <si>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</si>
  <si>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</si>
  <si>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</si>
  <si>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</si>
  <si>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</si>
  <si>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</si>
  <si>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</si>
  <si>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</si>
  <si>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</si>
  <si>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</si>
  <si>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</si>
  <si>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</si>
  <si>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</si>
  <si>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</si>
  <si>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</si>
  <si>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</si>
  <si>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</si>
  <si>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</si>
  <si>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</si>
  <si>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</si>
  <si>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</si>
  <si>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</si>
  <si>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</si>
  <si>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</si>
  <si>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</si>
  <si>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</si>
  <si>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</si>
  <si>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</si>
  <si>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</si>
  <si>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</si>
  <si>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</si>
  <si>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</si>
  <si>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</si>
  <si>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</si>
  <si>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</si>
  <si>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</si>
  <si>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</si>
  <si>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</si>
  <si>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</si>
  <si>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</si>
  <si>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</si>
  <si>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</si>
  <si>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</si>
  <si>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</si>
  <si>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</si>
  <si>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</si>
  <si>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</si>
  <si>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</si>
  <si>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</si>
  <si>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</si>
  <si>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</si>
  <si>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</si>
  <si>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</si>
  <si>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</si>
  <si>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</si>
  <si>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</si>
  <si>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</si>
  <si>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</si>
  <si>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</si>
  <si>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</si>
  <si>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</si>
  <si>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</si>
  <si>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</si>
  <si>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</si>
  <si>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</si>
  <si>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</si>
  <si>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</si>
  <si>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</si>
  <si>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</si>
  <si>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</si>
  <si>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</si>
  <si>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</si>
  <si>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</si>
  <si>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</si>
  <si>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</si>
  <si>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</si>
  <si>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</si>
  <si>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</si>
  <si>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</si>
  <si>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</si>
  <si>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</si>
  <si>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</si>
  <si>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</si>
  <si>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</si>
  <si>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</si>
  <si>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</si>
  <si>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</si>
  <si>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</si>
  <si>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</si>
  <si>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</si>
  <si>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</si>
  <si>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</si>
  <si>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</si>
  <si>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</si>
  <si>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</si>
  <si>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</si>
  <si>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</si>
  <si>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</si>
  <si>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</si>
  <si>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</si>
  <si>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</si>
  <si>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</si>
  <si>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</si>
  <si>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</si>
  <si>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</si>
  <si>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</si>
  <si>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</si>
  <si>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</si>
  <si>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</si>
  <si>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</si>
  <si>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</si>
  <si>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</si>
  <si>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</si>
  <si>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</si>
  <si>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</si>
  <si>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</si>
  <si>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</si>
  <si>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</si>
  <si>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</si>
  <si>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</si>
  <si>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</si>
  <si>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</si>
  <si>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</si>
  <si>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</si>
  <si>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</si>
  <si>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</si>
  <si>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</si>
  <si>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</si>
  <si>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</si>
  <si>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</si>
  <si>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</si>
  <si>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</si>
  <si>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</si>
  <si>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</si>
  <si>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</si>
  <si>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</si>
  <si>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</si>
  <si>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</si>
  <si>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</si>
  <si>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</si>
  <si>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</si>
  <si>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</si>
  <si>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</si>
  <si>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</si>
  <si>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</si>
  <si>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</si>
  <si>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</si>
  <si>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</si>
  <si>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</si>
  <si>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</si>
  <si>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</si>
  <si>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</si>
  <si>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</si>
  <si>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</si>
  <si>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</si>
  <si>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</si>
  <si>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</si>
  <si>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</si>
  <si>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</si>
  <si>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</si>
  <si>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</si>
  <si>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</si>
  <si>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</si>
  <si>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</si>
  <si>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</si>
  <si>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</si>
  <si>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</si>
  <si>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</si>
  <si>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</si>
  <si>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</si>
  <si>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</si>
  <si>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</si>
  <si>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</si>
  <si>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</si>
  <si>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</si>
  <si>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</si>
  <si>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</si>
  <si>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</si>
  <si>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</si>
  <si>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</si>
  <si>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</si>
  <si>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</si>
  <si>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</si>
  <si>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</si>
  <si>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</si>
  <si>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</si>
  <si>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</si>
  <si>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</si>
  <si>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</si>
  <si>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</si>
  <si>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</si>
  <si>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</si>
  <si>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</si>
  <si>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</si>
  <si>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</si>
  <si>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</si>
  <si>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</si>
  <si>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</si>
  <si>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</si>
  <si>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</si>
  <si>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</si>
  <si>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</si>
  <si>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</si>
  <si>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</si>
  <si>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</si>
  <si>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</si>
  <si>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</si>
  <si>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</si>
  <si>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</si>
  <si>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</si>
  <si>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</si>
  <si>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</si>
  <si>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</si>
  <si>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</si>
  <si>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</si>
  <si>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</si>
  <si>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</si>
  <si>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</si>
  <si>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</si>
  <si>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</si>
  <si>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</si>
  <si>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</si>
  <si>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</si>
  <si>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</si>
  <si>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</si>
  <si>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</si>
  <si>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</si>
  <si>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</si>
  <si>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</si>
  <si>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</si>
  <si>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</si>
  <si>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</si>
  <si>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</si>
  <si>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</si>
  <si>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</si>
  <si>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</si>
  <si>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</si>
  <si>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</si>
  <si>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</si>
  <si>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</si>
  <si>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</si>
  <si>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</si>
  <si>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</si>
  <si>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</si>
  <si>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</si>
  <si>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</si>
  <si>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</si>
  <si>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</si>
  <si>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</si>
  <si>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</si>
  <si>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</si>
  <si>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</si>
  <si>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</si>
  <si>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</si>
  <si>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</si>
  <si>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</si>
  <si>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</si>
  <si>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</si>
  <si>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</si>
  <si>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</si>
  <si>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</si>
  <si>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</si>
  <si>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</si>
  <si>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</si>
  <si>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</si>
  <si>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</si>
  <si>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</si>
  <si>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</si>
  <si>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</si>
  <si>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</si>
  <si>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</si>
  <si>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</si>
  <si>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</si>
  <si>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</si>
  <si>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</si>
  <si>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</si>
  <si>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</si>
  <si>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</si>
  <si>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</si>
  <si>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</si>
  <si>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</si>
  <si>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</si>
  <si>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</si>
  <si>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</si>
  <si>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</si>
  <si>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</si>
  <si>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</si>
  <si>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</si>
  <si>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</si>
  <si>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</si>
  <si>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</si>
  <si>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</si>
  <si>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</si>
  <si>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</si>
  <si>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</si>
  <si>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</si>
  <si>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</si>
  <si>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</si>
  <si>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</si>
  <si>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</si>
  <si>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</si>
  <si>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</si>
  <si>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</si>
  <si>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</si>
  <si>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</si>
  <si>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</si>
  <si>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</si>
  <si>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</si>
  <si>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</si>
  <si>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</si>
  <si>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</si>
  <si>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</si>
  <si>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</si>
  <si>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</si>
  <si>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</si>
  <si>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</si>
  <si>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</si>
  <si>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</si>
  <si>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</si>
  <si>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</si>
  <si>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</si>
  <si>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</si>
  <si>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</si>
  <si>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</si>
  <si>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</si>
  <si>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</si>
  <si>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</si>
  <si>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</si>
  <si>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</si>
  <si>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</si>
  <si>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</si>
  <si>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</si>
  <si>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</si>
  <si>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</si>
  <si>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</si>
  <si>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</si>
  <si>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</si>
  <si>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</si>
  <si>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</si>
  <si>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</si>
  <si>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</si>
  <si>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</si>
  <si>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</si>
  <si>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</si>
  <si>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</si>
  <si>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</si>
  <si>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</si>
  <si>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</si>
  <si>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</si>
  <si>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</si>
  <si>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</si>
  <si>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</si>
  <si>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</si>
  <si>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</si>
  <si>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</si>
  <si>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</si>
  <si>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</si>
  <si>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</si>
  <si>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</si>
  <si>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</si>
  <si>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</si>
  <si>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</si>
  <si>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</si>
  <si>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</si>
  <si>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</si>
  <si>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</si>
  <si>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</si>
  <si>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</si>
  <si>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</si>
  <si>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</si>
  <si>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</si>
  <si>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</si>
  <si>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</si>
  <si>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</si>
  <si>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</si>
  <si>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</si>
  <si>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</si>
  <si>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</si>
  <si>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</si>
  <si>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</si>
  <si>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</si>
  <si>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</si>
  <si>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</si>
  <si>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</si>
  <si>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</si>
  <si>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</si>
  <si>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</si>
  <si>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</si>
  <si>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</si>
  <si>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</si>
  <si>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</si>
  <si>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</si>
  <si>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</si>
  <si>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</si>
  <si>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</si>
  <si>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</si>
  <si>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</si>
  <si>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</si>
  <si>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</si>
  <si>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</si>
  <si>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</si>
  <si>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</si>
  <si>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</si>
  <si>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</si>
  <si>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</si>
  <si>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</si>
  <si>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</si>
  <si>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</si>
  <si>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</si>
  <si>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</si>
  <si>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</si>
  <si>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</si>
  <si>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</si>
  <si>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</si>
  <si>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</si>
  <si>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</si>
  <si>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</si>
  <si>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</si>
  <si>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</si>
  <si>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</si>
  <si>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</si>
  <si>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</si>
  <si>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</si>
  <si>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</si>
  <si>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</si>
  <si>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</si>
  <si>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</si>
  <si>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</si>
  <si>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</si>
  <si>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</si>
  <si>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</si>
  <si>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</si>
  <si>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</si>
  <si>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</si>
  <si>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</si>
  <si>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</si>
  <si>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</si>
  <si>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</si>
  <si>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</si>
  <si>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</si>
  <si>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</si>
  <si>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</si>
  <si>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</si>
  <si>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</si>
  <si>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</si>
  <si>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</si>
  <si>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</si>
  <si>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</si>
  <si>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</si>
  <si>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</si>
  <si>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</si>
  <si>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</si>
  <si>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</si>
  <si>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</si>
  <si>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</si>
  <si>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</si>
  <si>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</si>
  <si>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</si>
  <si>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</si>
  <si>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</si>
  <si>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</si>
  <si>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</si>
  <si>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</si>
  <si>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</si>
  <si>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</si>
  <si>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</si>
  <si>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</si>
  <si>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</si>
  <si>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</si>
  <si>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</si>
  <si>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</si>
  <si>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</si>
  <si>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</si>
  <si>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</si>
  <si>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</si>
  <si>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</si>
  <si>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</si>
  <si>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</si>
  <si>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</si>
  <si>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</si>
  <si>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</si>
  <si>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</si>
  <si>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</si>
  <si>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</si>
  <si>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</si>
  <si>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</si>
  <si>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</si>
  <si>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</si>
  <si>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</si>
  <si>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</si>
  <si>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</si>
  <si>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</si>
  <si>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</si>
  <si>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</si>
  <si>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</si>
  <si>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</si>
  <si>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</si>
  <si>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</si>
  <si>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</si>
  <si>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</si>
  <si>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</si>
  <si>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</si>
  <si>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</si>
  <si>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</si>
  <si>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</si>
  <si>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</si>
  <si>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</si>
  <si>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</si>
  <si>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</si>
  <si>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</si>
  <si>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</si>
  <si>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</si>
  <si>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</si>
  <si>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</si>
  <si>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</si>
  <si>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</si>
  <si>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</si>
  <si>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</si>
  <si>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</si>
  <si>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</si>
  <si>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</si>
  <si>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</si>
  <si>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</si>
  <si>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</si>
  <si>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</si>
  <si>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</si>
  <si>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</si>
  <si>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</si>
  <si>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</si>
  <si>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</si>
  <si>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</si>
  <si>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</si>
  <si>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</si>
  <si>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</si>
  <si>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</si>
  <si>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</si>
  <si>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</si>
  <si>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</si>
  <si>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</si>
  <si>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</si>
  <si>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</si>
  <si>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</si>
  <si>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</si>
  <si>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</si>
  <si>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</si>
  <si>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</si>
  <si>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</si>
  <si>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</si>
  <si>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</si>
  <si>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</si>
  <si>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</si>
  <si>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</si>
  <si>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</si>
  <si>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</si>
  <si>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</si>
  <si>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</si>
  <si>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</si>
  <si>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</si>
  <si>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</si>
  <si>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</si>
  <si>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</si>
  <si>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</si>
  <si>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</si>
  <si>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</si>
  <si>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</si>
  <si>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</si>
  <si>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</si>
  <si>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</si>
  <si>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</si>
  <si>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</si>
  <si>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</si>
  <si>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</si>
  <si>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</si>
  <si>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</si>
  <si>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</si>
  <si>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</si>
  <si>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</si>
  <si>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</si>
  <si>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</si>
  <si>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</si>
  <si>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</si>
  <si>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</si>
  <si>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</si>
  <si>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</si>
  <si>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</si>
  <si>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</si>
  <si>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</si>
  <si>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</si>
  <si>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</si>
  <si>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</si>
  <si>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</si>
  <si>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</si>
  <si>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</si>
  <si>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</si>
  <si>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</si>
  <si>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</si>
  <si>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</si>
  <si>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</si>
  <si>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</si>
  <si>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</si>
  <si>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</si>
  <si>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</si>
  <si>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</si>
  <si>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</si>
  <si>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</si>
  <si>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</si>
  <si>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</si>
  <si>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</si>
  <si>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</si>
  <si>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</si>
  <si>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</si>
  <si>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</si>
  <si>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</si>
  <si>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</si>
  <si>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</si>
  <si>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</si>
  <si>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</si>
  <si>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</si>
  <si>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</si>
  <si>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</si>
  <si>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</si>
  <si>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</si>
  <si>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</si>
  <si>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</si>
  <si>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</si>
  <si>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</si>
  <si>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</si>
  <si>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</si>
  <si>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</si>
  <si>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</si>
  <si>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</si>
  <si>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</si>
  <si>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</si>
  <si>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</si>
  <si>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</si>
  <si>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</si>
  <si>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</si>
  <si>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</si>
  <si>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</si>
  <si>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</si>
  <si>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</si>
  <si>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</si>
  <si>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</si>
  <si>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</si>
  <si>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</si>
  <si>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</si>
  <si>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</si>
  <si>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</si>
  <si>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</si>
  <si>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</si>
  <si>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</si>
  <si>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</si>
  <si>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</si>
  <si>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</si>
  <si>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</si>
  <si>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</si>
  <si>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</si>
  <si>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</si>
  <si>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</si>
  <si>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</si>
  <si>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</si>
  <si>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</si>
  <si>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</si>
  <si>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</si>
  <si>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</si>
  <si>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</si>
  <si>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</si>
  <si>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</si>
  <si>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</si>
  <si>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</si>
  <si>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</si>
  <si>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</si>
  <si>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</si>
  <si>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</si>
  <si>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</si>
  <si>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</si>
  <si>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</si>
  <si>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</si>
  <si>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</si>
  <si>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</si>
  <si>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</si>
  <si>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</si>
  <si>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</si>
  <si>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</si>
  <si>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</si>
  <si>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</si>
  <si>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</si>
  <si>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</si>
  <si>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</si>
  <si>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</si>
  <si>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</si>
  <si>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</si>
  <si>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</si>
  <si>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</si>
  <si>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</si>
  <si>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</si>
  <si>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</si>
  <si>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</si>
  <si>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</si>
  <si>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</si>
  <si>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</si>
  <si>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</si>
  <si>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</si>
  <si>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</si>
  <si>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</si>
  <si>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</si>
  <si>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</si>
  <si>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</si>
  <si>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</si>
  <si>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</si>
  <si>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</si>
  <si>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</si>
  <si>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</si>
  <si>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</si>
  <si>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</si>
  <si>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</si>
  <si>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</si>
  <si>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</si>
  <si>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</si>
  <si>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</si>
  <si>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</si>
  <si>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</si>
  <si>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</si>
  <si>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</si>
  <si>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</si>
  <si>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</si>
  <si>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</si>
  <si>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</si>
  <si>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</si>
  <si>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</si>
  <si>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</si>
  <si>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</si>
  <si>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</si>
  <si>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</si>
  <si>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</si>
  <si>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</si>
  <si>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</si>
  <si>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</si>
  <si>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</si>
  <si>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</si>
  <si>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</si>
  <si>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</si>
  <si>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</si>
  <si>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</si>
  <si>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</si>
  <si>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</si>
  <si>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</si>
  <si>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</si>
  <si>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</si>
  <si>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</si>
  <si>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</si>
  <si>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</si>
  <si>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</si>
  <si>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</si>
  <si>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</si>
  <si>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</si>
  <si>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</si>
  <si>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</si>
  <si>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</si>
  <si>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</si>
  <si>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</si>
  <si>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</si>
  <si>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</si>
  <si>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</si>
  <si>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</si>
  <si>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</si>
  <si>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</si>
  <si>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</si>
  <si>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</si>
  <si>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</si>
  <si>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</si>
  <si>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</si>
  <si>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</si>
  <si>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</si>
  <si>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</si>
  <si>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</si>
  <si>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</si>
  <si>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</si>
  <si>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</si>
  <si>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</si>
  <si>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</si>
  <si>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</si>
  <si>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</si>
  <si>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</si>
  <si>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</si>
  <si>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</si>
  <si>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</si>
  <si>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</si>
  <si>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</si>
  <si>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</si>
  <si>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</si>
  <si>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</si>
  <si>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</si>
  <si>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</si>
  <si>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</si>
  <si>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</si>
  <si>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</si>
  <si>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</si>
  <si>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</si>
  <si>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</si>
  <si>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</si>
  <si>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</si>
  <si>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</si>
  <si>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</si>
  <si>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</si>
  <si>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</si>
  <si>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</si>
  <si>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</si>
  <si>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</si>
  <si>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</si>
  <si>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</si>
  <si>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</si>
  <si>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</si>
  <si>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</si>
  <si>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</si>
  <si>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</si>
  <si>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</si>
  <si>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</si>
  <si>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</si>
  <si>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</si>
  <si>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</si>
  <si>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</si>
  <si>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</si>
  <si>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</si>
  <si>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</si>
  <si>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</si>
  <si>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</si>
  <si>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</si>
  <si>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</si>
  <si>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</si>
  <si>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其他：</t>
  </si>
  <si>
    <t>郑州市</t>
  </si>
  <si>
    <t>郑州市荥阳市</t>
    <phoneticPr fontId="6" type="noConversion"/>
  </si>
  <si>
    <t>出让</t>
  </si>
  <si>
    <t>抵押</t>
  </si>
  <si>
    <t>抵押价格</t>
  </si>
  <si>
    <t>企业</t>
  </si>
  <si>
    <t>地上</t>
  </si>
  <si>
    <t>住宅</t>
    <phoneticPr fontId="7" type="noConversion"/>
  </si>
  <si>
    <t>正常</t>
  </si>
  <si>
    <t>单位面积地价</t>
  </si>
  <si>
    <t>较差</t>
  </si>
  <si>
    <t>较好</t>
  </si>
  <si>
    <t>一般</t>
  </si>
  <si>
    <t>地块名称</t>
  </si>
  <si>
    <t>城市</t>
  </si>
  <si>
    <t>用地性质</t>
  </si>
  <si>
    <t>区县</t>
  </si>
  <si>
    <t>土地位置</t>
  </si>
  <si>
    <t>出让方式</t>
  </si>
  <si>
    <t>建设用地面积(㎡)</t>
  </si>
  <si>
    <t>规划建筑面积(㎡)</t>
  </si>
  <si>
    <t>成交日期</t>
  </si>
  <si>
    <t>受让单位</t>
  </si>
  <si>
    <t>成交价(万元)</t>
  </si>
  <si>
    <t>成交每亩价(万元/亩)</t>
  </si>
  <si>
    <t>成交楼面价(元/㎡)</t>
  </si>
  <si>
    <t>溢价率</t>
  </si>
  <si>
    <t>飞龙路与京襄路交叉口东南侧</t>
  </si>
  <si>
    <t>住宅用地</t>
  </si>
  <si>
    <t>荥阳市</t>
  </si>
  <si>
    <t>挂牌</t>
  </si>
  <si>
    <t>大于1并且小于1.6</t>
  </si>
  <si>
    <t>2017-09-07</t>
  </si>
  <si>
    <t>郑州恒泽通健康置业有限公司</t>
  </si>
  <si>
    <t>飞龙路与康体西路交叉口东南侧</t>
  </si>
  <si>
    <t>飞龙路与悦来西路交叉口东北侧</t>
  </si>
  <si>
    <t>荥泽东一路与康体西路交叉口东南侧</t>
  </si>
  <si>
    <t>大于1并且小于2</t>
  </si>
  <si>
    <t>京襄路与飞龙路交叉口西南侧</t>
  </si>
  <si>
    <t>荥泽东一路与悦来西路交叉口东北侧</t>
  </si>
  <si>
    <t>京襄路与荥泽东一路交叉口东南侧</t>
  </si>
  <si>
    <t>牡丹南路与泽众路交叉口西北侧</t>
  </si>
  <si>
    <t>大于1并且小于2.2</t>
  </si>
  <si>
    <t>2017-05-17</t>
  </si>
  <si>
    <t>河南中原商贸城开发有限公司</t>
  </si>
  <si>
    <t>牡丹南路与泽众路交叉口东北侧</t>
  </si>
  <si>
    <t>郑州清华大溪地置业有限公司</t>
  </si>
  <si>
    <t>牡丹南路与荥运路交叉口西北侧</t>
  </si>
  <si>
    <t>大于1并且小于1.5</t>
  </si>
  <si>
    <t>规划一支路与成皋路交叉口西北侧</t>
  </si>
  <si>
    <t>大于1并且小于3</t>
  </si>
  <si>
    <t>2017-03-23</t>
  </si>
  <si>
    <t>郑州瀚宇置业有限公司</t>
  </si>
  <si>
    <t>中原西路与广贾路交叉口西北侧</t>
  </si>
  <si>
    <t>大于1并且小于2.8</t>
  </si>
  <si>
    <t>河南国奕实业有限公司</t>
  </si>
  <si>
    <t>高山东路与龙港南路交叉口东北侧</t>
  </si>
  <si>
    <t>兴华路与米河路交叉口西北侧</t>
  </si>
  <si>
    <t>中原路与广贾路交叉口东南侧</t>
  </si>
  <si>
    <t>滨河东路东侧</t>
  </si>
  <si>
    <t>大于1并且小于或等于3</t>
  </si>
  <si>
    <t>郑上路与成皋路交叉口西南侧</t>
  </si>
  <si>
    <t>万山路西侧</t>
  </si>
  <si>
    <t>高山东路与龙港南路交叉口东南侧</t>
  </si>
  <si>
    <t>商隐路与禹锡南二路交叉口西南侧</t>
  </si>
  <si>
    <t>＞1.0且＜2.5</t>
  </si>
  <si>
    <t>2017-01-13</t>
  </si>
  <si>
    <t>郑州隆城吾悦房地产开发有限公司</t>
  </si>
  <si>
    <t>荥密路与310国道交叉口东北侧</t>
  </si>
  <si>
    <t>大于1并且小于或等于2.5</t>
  </si>
  <si>
    <t>郑州国控西城建设有限公司</t>
  </si>
  <si>
    <t>高山东路与滨河西路交叉口东南侧</t>
  </si>
  <si>
    <t>商隐路与荥运路交叉口西北侧</t>
  </si>
  <si>
    <t>规划三路与规划二路交叉口东南侧</t>
  </si>
  <si>
    <t>郑州思念果岭置业有限公司</t>
  </si>
  <si>
    <t>龙港路与滨河西路交叉口西北侧</t>
  </si>
  <si>
    <t>大于1并且小于2.5</t>
  </si>
  <si>
    <t>兴华路与龙港南路交叉口西南侧</t>
  </si>
  <si>
    <t>龙港路与兴华路交叉口东北侧</t>
  </si>
  <si>
    <t>兴华路与龙港路交叉口东南侧</t>
  </si>
  <si>
    <t>兴华路与米河路交叉口东北侧</t>
  </si>
  <si>
    <t>万山路与龙港路交叉口东南侧</t>
  </si>
  <si>
    <t>河南省大富置业有限公司</t>
  </si>
  <si>
    <t>规划二路与规划四路交叉口西北侧</t>
  </si>
  <si>
    <t>龙港路与兴华路交叉口西北侧</t>
  </si>
  <si>
    <t>规划四路与北辅道交叉口西北侧</t>
  </si>
  <si>
    <t>规划二路与规划四路交叉口东南侧</t>
  </si>
  <si>
    <t>规划三路与北辅道交叉口东北侧</t>
  </si>
  <si>
    <t>规划一支路与成皋路交叉口西南侧</t>
  </si>
  <si>
    <t>2016-12-14</t>
  </si>
  <si>
    <t>大于1并且小于或等于2.6</t>
  </si>
  <si>
    <t>2016-11-16</t>
  </si>
  <si>
    <t>福民路与合欢路交叉口西北侧</t>
  </si>
  <si>
    <t>郑州海峡置业有限公司</t>
  </si>
  <si>
    <t>规划七路与规划S314交叉口西南侧</t>
  </si>
  <si>
    <t>织机路与索河路交叉口东北侧</t>
  </si>
  <si>
    <t>郑州碧桂园海龙置业有限公司</t>
  </si>
  <si>
    <t>织机路与索河路交叉口西北侧</t>
  </si>
  <si>
    <t>郑州海龙实业有限公司</t>
  </si>
  <si>
    <t>剩余法-待开发</t>
  </si>
  <si>
    <t>比较法-住宅、综合</t>
  </si>
  <si>
    <t>项目全部</t>
  </si>
  <si>
    <t>土地</t>
  </si>
  <si>
    <t>A</t>
    <phoneticPr fontId="233" type="noConversion"/>
  </si>
  <si>
    <t>B</t>
    <phoneticPr fontId="233" type="noConversion"/>
  </si>
  <si>
    <t>C</t>
    <phoneticPr fontId="233" type="noConversion"/>
  </si>
  <si>
    <t>土地面积</t>
    <phoneticPr fontId="233" type="noConversion"/>
  </si>
  <si>
    <t>住宅</t>
    <phoneticPr fontId="233" type="noConversion"/>
  </si>
  <si>
    <t>底商</t>
    <phoneticPr fontId="233" type="noConversion"/>
  </si>
  <si>
    <t>会所</t>
    <phoneticPr fontId="233" type="noConversion"/>
  </si>
  <si>
    <t>幼儿园</t>
    <phoneticPr fontId="233" type="noConversion"/>
  </si>
  <si>
    <t>公建配套</t>
    <phoneticPr fontId="233" type="noConversion"/>
  </si>
  <si>
    <t>地下车位</t>
    <phoneticPr fontId="233" type="noConversion"/>
  </si>
  <si>
    <t>不计容建面</t>
    <phoneticPr fontId="233" type="noConversion"/>
  </si>
  <si>
    <t>计容建面</t>
    <phoneticPr fontId="233" type="noConversion"/>
  </si>
  <si>
    <t>地上商业</t>
  </si>
  <si>
    <t>商业</t>
  </si>
  <si>
    <t>地下</t>
  </si>
  <si>
    <t>车库</t>
  </si>
  <si>
    <t>地下车库</t>
    <phoneticPr fontId="7" type="noConversion"/>
  </si>
  <si>
    <t>地上商业</t>
    <phoneticPr fontId="7" type="noConversion"/>
  </si>
  <si>
    <t>不动产收益法</t>
  </si>
  <si>
    <t>钢混</t>
  </si>
  <si>
    <t>押一</t>
  </si>
  <si>
    <t>牡丹南路与荥运路</t>
    <phoneticPr fontId="3" type="noConversion"/>
  </si>
  <si>
    <t>郑上路与成皋路</t>
    <phoneticPr fontId="3" type="noConversion"/>
  </si>
  <si>
    <t>商隐路与荥运路</t>
    <phoneticPr fontId="3" type="noConversion"/>
  </si>
  <si>
    <t>六通</t>
  </si>
  <si>
    <t>七通</t>
    <phoneticPr fontId="26" type="noConversion"/>
  </si>
  <si>
    <t>六通</t>
    <phoneticPr fontId="26" type="noConversion"/>
  </si>
  <si>
    <t>五通</t>
    <phoneticPr fontId="26" type="noConversion"/>
  </si>
  <si>
    <t>四通</t>
  </si>
  <si>
    <t>四通</t>
    <phoneticPr fontId="26" type="noConversion"/>
  </si>
  <si>
    <t>三通</t>
    <phoneticPr fontId="26" type="noConversion"/>
  </si>
  <si>
    <t>地面单价</t>
    <phoneticPr fontId="233" type="noConversion"/>
  </si>
  <si>
    <t>住宅</t>
    <phoneticPr fontId="233" type="noConversion"/>
  </si>
  <si>
    <t>底商</t>
    <phoneticPr fontId="233" type="noConversion"/>
  </si>
  <si>
    <t>会所</t>
    <phoneticPr fontId="233" type="noConversion"/>
  </si>
  <si>
    <t>幼儿园</t>
    <phoneticPr fontId="233" type="noConversion"/>
  </si>
  <si>
    <t>公建配套</t>
    <phoneticPr fontId="233" type="noConversion"/>
  </si>
  <si>
    <t>地下车库</t>
    <phoneticPr fontId="233" type="noConversion"/>
  </si>
  <si>
    <t>其他</t>
    <phoneticPr fontId="233" type="noConversion"/>
  </si>
  <si>
    <t>建筑面积(㎡)</t>
    <phoneticPr fontId="233" type="noConversion"/>
  </si>
  <si>
    <t>用途</t>
    <phoneticPr fontId="233" type="noConversion"/>
  </si>
  <si>
    <t>总计</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</si>
</sst>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0" xfId="0" applyFont="1">
      <alignment vertical="center"/>
    </xf>
    <xf numFmtId="9" fontId="76" fillId="9" borderId="5" xfId="0" applyNumberFormat="1" applyFont="1" applyFill="1" applyBorder="1" applyAlignment="1" applyProtection="1">
      <alignment horizontal="center" vertical="center"/>
      <protection locked="0"/>
    </xf>
    <xf numFmtId="0" fontId="0" fillId="0" borderId="0" xfId="0" applyAlignment="1">
      <alignment horizontal="left"/>
    </xf>
    <xf numFmtId="0" fontId="0" fillId="6" borderId="0" xfId="0" applyFill="1" applyAlignment="1">
      <alignment horizontal="left"/>
    </xf>
    <xf numFmtId="0" fontId="0" fillId="8" borderId="0" xfId="0" applyFill="1" applyAlignment="1">
      <alignment horizontal="left"/>
    </xf>
    <xf numFmtId="0" fontId="0" fillId="9" borderId="0" xfId="0" applyFill="1" applyAlignment="1">
      <alignment horizontal="left"/>
    </xf>
    <xf numFmtId="179" fontId="0" fillId="0" borderId="0" xfId="0" applyNumberFormat="1">
      <alignment vertical="center"/>
    </xf>
    <xf numFmtId="0" fontId="0" fillId="0" borderId="0" xfId="0" applyFill="1" applyAlignment="1">
      <alignment horizontal="left"/>
    </xf>
    <xf numFmtId="0" fontId="145" fillId="9" borderId="0" xfId="0" applyFont="1" applyFill="1" applyAlignment="1">
      <alignment horizontal="left"/>
    </xf>
    <xf numFmtId="0" fontId="0" fillId="0" borderId="0" xfId="0" applyAlignment="1">
      <alignment horizontal="center" vertical="center"/>
    </xf>
    <xf numFmtId="0" fontId="145" fillId="0" borderId="0" xfId="0" applyFont="1" applyAlignment="1">
      <alignment horizontal="left"/>
    </xf>
    <xf numFmtId="0" fontId="145" fillId="0" borderId="2" xfId="0" applyFont="1" applyBorder="1" applyAlignment="1">
      <alignment horizontal="center" vertical="center"/>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0" fillId="0" borderId="0" xfId="0" applyAlignment="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Border="1" applyAlignment="1">
      <alignment horizontal="center" vertical="center"/>
    </xf>
    <xf numFmtId="0" fontId="0" fillId="0" borderId="0" xfId="0" applyBorder="1" applyAlignment="1">
      <alignment horizontal="center" vertical="center"/>
    </xf>
    <xf numFmtId="0" fontId="0" fillId="0" borderId="2" xfId="0" applyBorder="1">
      <alignment vertical="center"/>
    </xf>
    <xf numFmtId="0" fontId="145" fillId="0" borderId="2" xfId="0" applyFont="1" applyFill="1"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xdr:rowOff>
    </xdr:from>
    <xdr:to>
      <xdr:col>12</xdr:col>
      <xdr:colOff>628650</xdr:colOff>
      <xdr:row>28</xdr:row>
      <xdr:rowOff>133351</xdr:rowOff>
    </xdr:to>
    <xdr:pic>
      <xdr:nvPicPr>
        <xdr:cNvPr id="552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342901"/>
          <a:ext cx="8172450" cy="4591050"/>
        </a:xfrm>
        <a:prstGeom prst="rect">
          <a:avLst/>
        </a:prstGeom>
        <a:noFill/>
        <a:ln w="1">
          <a:noFill/>
          <a:miter lim="800000"/>
          <a:headEnd/>
          <a:tailEnd type="none" w="med" len="med"/>
        </a:ln>
        <a:effectLst/>
      </xdr:spPr>
    </xdr:pic>
    <xdr:clientData/>
  </xdr:twoCellAnchor>
  <xdr:twoCellAnchor editAs="oneCell">
    <xdr:from>
      <xdr:col>1</xdr:col>
      <xdr:colOff>0</xdr:colOff>
      <xdr:row>33</xdr:row>
      <xdr:rowOff>0</xdr:rowOff>
    </xdr:from>
    <xdr:to>
      <xdr:col>14</xdr:col>
      <xdr:colOff>323850</xdr:colOff>
      <xdr:row>63</xdr:row>
      <xdr:rowOff>38100</xdr:rowOff>
    </xdr:to>
    <xdr:pic>
      <xdr:nvPicPr>
        <xdr:cNvPr id="5529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85800" y="5657850"/>
          <a:ext cx="9239250" cy="5181600"/>
        </a:xfrm>
        <a:prstGeom prst="rect">
          <a:avLst/>
        </a:prstGeom>
        <a:noFill/>
        <a:ln w="1">
          <a:noFill/>
          <a:miter lim="800000"/>
          <a:headEnd/>
          <a:tailEnd type="none" w="med" len="med"/>
        </a:ln>
        <a:effectLst/>
      </xdr:spPr>
    </xdr:pic>
    <xdr:clientData/>
  </xdr:twoCellAnchor>
  <xdr:twoCellAnchor editAs="oneCell">
    <xdr:from>
      <xdr:col>1</xdr:col>
      <xdr:colOff>0</xdr:colOff>
      <xdr:row>67</xdr:row>
      <xdr:rowOff>0</xdr:rowOff>
    </xdr:from>
    <xdr:to>
      <xdr:col>15</xdr:col>
      <xdr:colOff>390525</xdr:colOff>
      <xdr:row>97</xdr:row>
      <xdr:rowOff>66675</xdr:rowOff>
    </xdr:to>
    <xdr:pic>
      <xdr:nvPicPr>
        <xdr:cNvPr id="5529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85800" y="11487150"/>
          <a:ext cx="9991725" cy="5210175"/>
        </a:xfrm>
        <a:prstGeom prst="rect">
          <a:avLst/>
        </a:prstGeom>
        <a:noFill/>
        <a:ln w="1">
          <a:noFill/>
          <a:miter lim="800000"/>
          <a:headEnd/>
          <a:tailEnd type="none" w="med" len="med"/>
        </a:ln>
        <a:effectLst/>
      </xdr:spPr>
    </xdr:pic>
    <xdr:clientData/>
  </xdr:twoCellAnchor>
  <xdr:twoCellAnchor editAs="oneCell">
    <xdr:from>
      <xdr:col>1</xdr:col>
      <xdr:colOff>0</xdr:colOff>
      <xdr:row>101</xdr:row>
      <xdr:rowOff>0</xdr:rowOff>
    </xdr:from>
    <xdr:to>
      <xdr:col>17</xdr:col>
      <xdr:colOff>276225</xdr:colOff>
      <xdr:row>139</xdr:row>
      <xdr:rowOff>152400</xdr:rowOff>
    </xdr:to>
    <xdr:pic>
      <xdr:nvPicPr>
        <xdr:cNvPr id="5530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85800" y="17316450"/>
          <a:ext cx="11249025" cy="6667500"/>
        </a:xfrm>
        <a:prstGeom prst="rect">
          <a:avLst/>
        </a:prstGeom>
        <a:noFill/>
        <a:ln w="1">
          <a:noFill/>
          <a:miter lim="800000"/>
          <a:headEnd/>
          <a:tailEnd type="none" w="med" len="med"/>
        </a:ln>
        <a:effectLst/>
      </xdr:spPr>
    </xdr:pic>
    <xdr:clientData/>
  </xdr:twoCellAnchor>
  <xdr:twoCellAnchor editAs="oneCell">
    <xdr:from>
      <xdr:col>15</xdr:col>
      <xdr:colOff>0</xdr:colOff>
      <xdr:row>2</xdr:row>
      <xdr:rowOff>0</xdr:rowOff>
    </xdr:from>
    <xdr:to>
      <xdr:col>30</xdr:col>
      <xdr:colOff>676275</xdr:colOff>
      <xdr:row>38</xdr:row>
      <xdr:rowOff>66675</xdr:rowOff>
    </xdr:to>
    <xdr:pic>
      <xdr:nvPicPr>
        <xdr:cNvPr id="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10287000" y="342900"/>
          <a:ext cx="10963275" cy="6238875"/>
        </a:xfrm>
        <a:prstGeom prst="rect">
          <a:avLst/>
        </a:prstGeom>
        <a:noFill/>
        <a:ln w="1">
          <a:noFill/>
          <a:miter lim="800000"/>
          <a:headEnd/>
          <a:tailEnd type="none" w="med" len="med"/>
        </a:ln>
        <a:effectLst/>
      </xdr:spPr>
    </xdr:pic>
    <xdr:clientData/>
  </xdr:twoCellAnchor>
  <xdr:twoCellAnchor editAs="oneCell">
    <xdr:from>
      <xdr:col>15</xdr:col>
      <xdr:colOff>0</xdr:colOff>
      <xdr:row>41</xdr:row>
      <xdr:rowOff>0</xdr:rowOff>
    </xdr:from>
    <xdr:to>
      <xdr:col>30</xdr:col>
      <xdr:colOff>342900</xdr:colOff>
      <xdr:row>78</xdr:row>
      <xdr:rowOff>28575</xdr:rowOff>
    </xdr:to>
    <xdr:pic>
      <xdr:nvPicPr>
        <xdr:cNvPr id="3"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0287000" y="7029450"/>
          <a:ext cx="10629900" cy="6372225"/>
        </a:xfrm>
        <a:prstGeom prst="rect">
          <a:avLst/>
        </a:prstGeom>
        <a:noFill/>
        <a:ln w="1">
          <a:noFill/>
          <a:miter lim="800000"/>
          <a:headEnd/>
          <a:tailEnd type="none" w="med" len="med"/>
        </a:ln>
        <a:effectLst/>
      </xdr:spPr>
    </xdr:pic>
    <xdr:clientData/>
  </xdr:twoCellAnchor>
  <xdr:twoCellAnchor editAs="oneCell">
    <xdr:from>
      <xdr:col>17</xdr:col>
      <xdr:colOff>0</xdr:colOff>
      <xdr:row>80</xdr:row>
      <xdr:rowOff>0</xdr:rowOff>
    </xdr:from>
    <xdr:to>
      <xdr:col>33</xdr:col>
      <xdr:colOff>514350</xdr:colOff>
      <xdr:row>111</xdr:row>
      <xdr:rowOff>161925</xdr:rowOff>
    </xdr:to>
    <xdr:pic>
      <xdr:nvPicPr>
        <xdr:cNvPr id="4"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11658600" y="13716000"/>
          <a:ext cx="11487150" cy="5476875"/>
        </a:xfrm>
        <a:prstGeom prst="rect">
          <a:avLst/>
        </a:prstGeom>
        <a:noFill/>
        <a:ln w="1">
          <a:noFill/>
          <a:miter lim="800000"/>
          <a:headEnd/>
          <a:tailEnd type="none" w="med" len="med"/>
        </a:ln>
        <a:effectLst/>
      </xdr:spPr>
    </xdr:pic>
    <xdr:clientData/>
  </xdr:twoCellAnchor>
  <xdr:twoCellAnchor editAs="oneCell">
    <xdr:from>
      <xdr:col>18</xdr:col>
      <xdr:colOff>0</xdr:colOff>
      <xdr:row>114</xdr:row>
      <xdr:rowOff>0</xdr:rowOff>
    </xdr:from>
    <xdr:to>
      <xdr:col>35</xdr:col>
      <xdr:colOff>219075</xdr:colOff>
      <xdr:row>149</xdr:row>
      <xdr:rowOff>19050</xdr:rowOff>
    </xdr:to>
    <xdr:pic>
      <xdr:nvPicPr>
        <xdr:cNvPr id="5"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12344400" y="19545300"/>
          <a:ext cx="11877675" cy="6019800"/>
        </a:xfrm>
        <a:prstGeom prst="rect">
          <a:avLst/>
        </a:prstGeom>
        <a:noFill/>
        <a:ln w="1">
          <a:noFill/>
          <a:miter lim="800000"/>
          <a:headEnd/>
          <a:tailEnd type="none" w="med" len="med"/>
        </a:ln>
        <a:effectLst/>
      </xdr:spPr>
    </xdr:pic>
    <xdr:clientData/>
  </xdr:twoCellAnchor>
  <xdr:twoCellAnchor editAs="oneCell">
    <xdr:from>
      <xdr:col>3</xdr:col>
      <xdr:colOff>0</xdr:colOff>
      <xdr:row>153</xdr:row>
      <xdr:rowOff>0</xdr:rowOff>
    </xdr:from>
    <xdr:to>
      <xdr:col>16</xdr:col>
      <xdr:colOff>666750</xdr:colOff>
      <xdr:row>176</xdr:row>
      <xdr:rowOff>47625</xdr:rowOff>
    </xdr:to>
    <xdr:pic>
      <xdr:nvPicPr>
        <xdr:cNvPr id="55301"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2057400" y="26231850"/>
          <a:ext cx="9582150" cy="3990975"/>
        </a:xfrm>
        <a:prstGeom prst="rect">
          <a:avLst/>
        </a:prstGeom>
        <a:noFill/>
        <a:ln w="1">
          <a:noFill/>
          <a:miter lim="800000"/>
          <a:headEnd/>
          <a:tailEnd type="none" w="med" len="med"/>
        </a:ln>
        <a:effectLst/>
      </xdr:spPr>
    </xdr:pic>
    <xdr:clientData/>
  </xdr:twoCellAnchor>
  <xdr:twoCellAnchor editAs="oneCell">
    <xdr:from>
      <xdr:col>3</xdr:col>
      <xdr:colOff>0</xdr:colOff>
      <xdr:row>177</xdr:row>
      <xdr:rowOff>0</xdr:rowOff>
    </xdr:from>
    <xdr:to>
      <xdr:col>16</xdr:col>
      <xdr:colOff>438150</xdr:colOff>
      <xdr:row>213</xdr:row>
      <xdr:rowOff>0</xdr:rowOff>
    </xdr:to>
    <xdr:pic>
      <xdr:nvPicPr>
        <xdr:cNvPr id="55302"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2057400" y="30346650"/>
          <a:ext cx="9353550" cy="6172200"/>
        </a:xfrm>
        <a:prstGeom prst="rect">
          <a:avLst/>
        </a:prstGeom>
        <a:noFill/>
        <a:ln w="1">
          <a:noFill/>
          <a:miter lim="800000"/>
          <a:headEnd/>
          <a:tailEnd type="none" w="med" len="med"/>
        </a:ln>
        <a:effectLst/>
      </xdr:spPr>
    </xdr:pic>
    <xdr:clientData/>
  </xdr:twoCellAnchor>
  <xdr:twoCellAnchor editAs="oneCell">
    <xdr:from>
      <xdr:col>3</xdr:col>
      <xdr:colOff>0</xdr:colOff>
      <xdr:row>215</xdr:row>
      <xdr:rowOff>0</xdr:rowOff>
    </xdr:from>
    <xdr:to>
      <xdr:col>16</xdr:col>
      <xdr:colOff>276225</xdr:colOff>
      <xdr:row>252</xdr:row>
      <xdr:rowOff>123825</xdr:rowOff>
    </xdr:to>
    <xdr:pic>
      <xdr:nvPicPr>
        <xdr:cNvPr id="55303" name="Picture 7"/>
        <xdr:cNvPicPr>
          <a:picLocks noChangeAspect="1" noChangeArrowheads="1"/>
        </xdr:cNvPicPr>
      </xdr:nvPicPr>
      <xdr:blipFill>
        <a:blip xmlns:r="http://schemas.openxmlformats.org/officeDocument/2006/relationships" r:embed="rId11" cstate="print"/>
        <a:srcRect/>
        <a:stretch>
          <a:fillRect/>
        </a:stretch>
      </xdr:blipFill>
      <xdr:spPr bwMode="auto">
        <a:xfrm>
          <a:off x="2057400" y="36861750"/>
          <a:ext cx="9191625" cy="6467475"/>
        </a:xfrm>
        <a:prstGeom prst="rect">
          <a:avLst/>
        </a:prstGeom>
        <a:noFill/>
        <a:ln w="1">
          <a:noFill/>
          <a:miter lim="800000"/>
          <a:headEnd/>
          <a:tailEnd type="none" w="med" len="med"/>
        </a:ln>
        <a:effectLst/>
      </xdr:spPr>
    </xdr:pic>
    <xdr:clientData/>
  </xdr:twoCellAnchor>
  <xdr:twoCellAnchor editAs="oneCell">
    <xdr:from>
      <xdr:col>19</xdr:col>
      <xdr:colOff>0</xdr:colOff>
      <xdr:row>153</xdr:row>
      <xdr:rowOff>0</xdr:rowOff>
    </xdr:from>
    <xdr:to>
      <xdr:col>32</xdr:col>
      <xdr:colOff>590550</xdr:colOff>
      <xdr:row>184</xdr:row>
      <xdr:rowOff>47625</xdr:rowOff>
    </xdr:to>
    <xdr:pic>
      <xdr:nvPicPr>
        <xdr:cNvPr id="55304" name="Picture 8"/>
        <xdr:cNvPicPr>
          <a:picLocks noChangeAspect="1" noChangeArrowheads="1"/>
        </xdr:cNvPicPr>
      </xdr:nvPicPr>
      <xdr:blipFill>
        <a:blip xmlns:r="http://schemas.openxmlformats.org/officeDocument/2006/relationships" r:embed="rId12" cstate="print"/>
        <a:srcRect/>
        <a:stretch>
          <a:fillRect/>
        </a:stretch>
      </xdr:blipFill>
      <xdr:spPr bwMode="auto">
        <a:xfrm>
          <a:off x="13030200" y="26231850"/>
          <a:ext cx="9505950" cy="5362575"/>
        </a:xfrm>
        <a:prstGeom prst="rect">
          <a:avLst/>
        </a:prstGeom>
        <a:noFill/>
        <a:ln w="1">
          <a:noFill/>
          <a:miter lim="800000"/>
          <a:headEnd/>
          <a:tailEnd type="none" w="med" len="med"/>
        </a:ln>
        <a:effectLst/>
      </xdr:spPr>
    </xdr:pic>
    <xdr:clientData/>
  </xdr:twoCellAnchor>
  <xdr:twoCellAnchor editAs="oneCell">
    <xdr:from>
      <xdr:col>19</xdr:col>
      <xdr:colOff>0</xdr:colOff>
      <xdr:row>200</xdr:row>
      <xdr:rowOff>0</xdr:rowOff>
    </xdr:from>
    <xdr:to>
      <xdr:col>31</xdr:col>
      <xdr:colOff>638175</xdr:colOff>
      <xdr:row>220</xdr:row>
      <xdr:rowOff>142875</xdr:rowOff>
    </xdr:to>
    <xdr:pic>
      <xdr:nvPicPr>
        <xdr:cNvPr id="55305" name="Picture 9"/>
        <xdr:cNvPicPr>
          <a:picLocks noChangeAspect="1" noChangeArrowheads="1"/>
        </xdr:cNvPicPr>
      </xdr:nvPicPr>
      <xdr:blipFill>
        <a:blip xmlns:r="http://schemas.openxmlformats.org/officeDocument/2006/relationships" r:embed="rId13" cstate="print"/>
        <a:srcRect/>
        <a:stretch>
          <a:fillRect/>
        </a:stretch>
      </xdr:blipFill>
      <xdr:spPr bwMode="auto">
        <a:xfrm>
          <a:off x="13030200" y="34290000"/>
          <a:ext cx="8867775" cy="3571875"/>
        </a:xfrm>
        <a:prstGeom prst="rect">
          <a:avLst/>
        </a:prstGeom>
        <a:noFill/>
        <a:ln w="1">
          <a:noFill/>
          <a:miter lim="800000"/>
          <a:headEnd/>
          <a:tailEnd type="none" w="med" len="med"/>
        </a:ln>
        <a:effectLst/>
      </xdr:spPr>
    </xdr:pic>
    <xdr:clientData/>
  </xdr:twoCellAnchor>
  <xdr:twoCellAnchor editAs="oneCell">
    <xdr:from>
      <xdr:col>19</xdr:col>
      <xdr:colOff>0</xdr:colOff>
      <xdr:row>224</xdr:row>
      <xdr:rowOff>0</xdr:rowOff>
    </xdr:from>
    <xdr:to>
      <xdr:col>32</xdr:col>
      <xdr:colOff>476250</xdr:colOff>
      <xdr:row>261</xdr:row>
      <xdr:rowOff>85725</xdr:rowOff>
    </xdr:to>
    <xdr:pic>
      <xdr:nvPicPr>
        <xdr:cNvPr id="55306" name="Picture 10"/>
        <xdr:cNvPicPr>
          <a:picLocks noChangeAspect="1" noChangeArrowheads="1"/>
        </xdr:cNvPicPr>
      </xdr:nvPicPr>
      <xdr:blipFill>
        <a:blip xmlns:r="http://schemas.openxmlformats.org/officeDocument/2006/relationships" r:embed="rId14" cstate="print"/>
        <a:srcRect/>
        <a:stretch>
          <a:fillRect/>
        </a:stretch>
      </xdr:blipFill>
      <xdr:spPr bwMode="auto">
        <a:xfrm>
          <a:off x="13030200" y="38404800"/>
          <a:ext cx="9391650" cy="642937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11</xdr:col>
      <xdr:colOff>666750</xdr:colOff>
      <xdr:row>31</xdr:row>
      <xdr:rowOff>95250</xdr:rowOff>
    </xdr:to>
    <xdr:pic>
      <xdr:nvPicPr>
        <xdr:cNvPr id="5632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371600" y="171450"/>
          <a:ext cx="6838950" cy="5238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2664</v>
      </c>
      <c r="B1" s="2919" t="s">
        <v>2761</v>
      </c>
    </row>
    <row r="2" spans="1:55" s="2923" customFormat="1" ht="15" thickTop="1">
      <c r="A2" s="2921" t="s">
        <v>2668</v>
      </c>
      <c r="B2" s="2922" t="str">
        <f>'预评函-封皮'!B37</f>
        <v>郑州市荥阳市出让国有建设用地使用权抵押价格预评估</v>
      </c>
      <c r="AX2" s="2924"/>
      <c r="AZ2" s="2924"/>
      <c r="BA2" s="2925"/>
      <c r="BC2" s="2925"/>
    </row>
    <row r="3" spans="1:55" s="2926" customFormat="1">
      <c r="A3" s="2905" t="s">
        <v>2669</v>
      </c>
      <c r="B3" s="2908">
        <f>'预评函-封皮'!B40</f>
        <v>0</v>
      </c>
    </row>
    <row r="4" spans="1:55" s="2907" customFormat="1">
      <c r="A4" s="2905" t="s">
        <v>2670</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2671</v>
      </c>
      <c r="B5" s="2928" t="str">
        <f>'预评函-封皮'!B49</f>
        <v>康正预评字号</v>
      </c>
    </row>
    <row r="6" spans="1:55" s="2929" customFormat="1" ht="15" thickTop="1">
      <c r="A6" s="2921" t="s">
        <v>2713</v>
      </c>
      <c r="B6" s="2922" t="str">
        <f>'预评函-1'!A4</f>
        <v>受贵公司委托，我公司对郑州市荥阳市出让国有建设用地使用权抵押价格进行了预评估。</v>
      </c>
      <c r="AM6" s="2930"/>
    </row>
    <row r="7" spans="1:55" s="2904" customFormat="1">
      <c r="A7" s="2905" t="s">
        <v>2665</v>
      </c>
      <c r="B7" s="2906" t="str">
        <f>'预评函-1'!A6</f>
        <v>估价对象为使用的、位于郑州市荥阳市出让国有建设用地使用权。根据《国有土地使用证》[]，估价对象（分摊）出让国有建设用地使用权面积为666666.7平方米。根据《建设工程规划许可证》[]、《出让合同》[]，估价对象规划建筑面积为1845613.34平方米。</v>
      </c>
    </row>
    <row r="8" spans="1:55" s="2904" customFormat="1">
      <c r="A8" s="2905" t="s">
        <v>2666</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2716</v>
      </c>
      <c r="B9" s="2906" t="str">
        <f>'预评函-1'!A9</f>
        <v>拟使用郑州市荥阳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4" customFormat="1">
      <c r="A10" s="2905" t="s">
        <v>2667</v>
      </c>
      <c r="B10" s="2906" t="str">
        <f>'预评函-1'!A11</f>
        <v>2017年12月8日（评估专业人员勘察现场之日）</v>
      </c>
    </row>
    <row r="11" spans="1:55" s="2904" customFormat="1">
      <c r="A11" s="2905" t="s">
        <v>2673</v>
      </c>
      <c r="B11" s="2906" t="str">
        <f>'预评函-1'!A14</f>
        <v>根据《国有土地使用证》[]，本次评估估价对象证载（地类）用途为。</v>
      </c>
    </row>
    <row r="12" spans="1:55" s="2904" customFormat="1">
      <c r="A12" s="2905" t="s">
        <v>2674</v>
      </c>
      <c r="B12" s="2906" t="str">
        <f>'预评函-1'!A15</f>
        <v>本次评估设定用途即为证载用途。</v>
      </c>
    </row>
    <row r="13" spans="1:55" s="2904" customFormat="1">
      <c r="A13" s="2905" t="s">
        <v>2675</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2676</v>
      </c>
      <c r="B14" s="2906" t="str">
        <f>'预评函-1'!A18</f>
        <v>。本次评估设定土地开发程度为红线外市政基础设施达“七通”、宗地红线内场地平整。</v>
      </c>
    </row>
    <row r="15" spans="1:55" s="2904" customFormat="1">
      <c r="A15" s="2905" t="s">
        <v>2672</v>
      </c>
      <c r="B15" s="2906" t="str">
        <f>'预评函-1'!A20</f>
        <v>根据《国有土地使用证》[]，估价对象（分摊）出让国有建设用地使用权面积为666666.7平方米。根据《建设工程规划许可证》[]、《出让合同》[]，估价对象规划建筑面积为1845613.34平方米。</v>
      </c>
    </row>
    <row r="16" spans="1:55" s="2904" customFormat="1">
      <c r="A16" s="2905" t="s">
        <v>2677</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13日、地上商业2057年9月13日地下车库2067年9月13日。截至估价期日，出让国有建设用地使用权剩余土地使用年限为。</v>
      </c>
    </row>
    <row r="17" spans="1:48" s="2904" customFormat="1">
      <c r="A17" s="2905" t="s">
        <v>2678</v>
      </c>
      <c r="B17" s="2906" t="str">
        <f>'预评函-1'!A23</f>
        <v>本次评估设定估价对象剩余土地使用年限为。</v>
      </c>
    </row>
    <row r="18" spans="1:48" s="2904" customFormat="1">
      <c r="A18" s="2905" t="s">
        <v>2679</v>
      </c>
      <c r="B18" s="2906" t="str">
        <f>'预评函-1'!A25</f>
        <v>本次估价的“出让国有建设用地使用权价格”是指在估价对象土地所有权为国家所有，使用权性质为出让，在公开市场条件下、于估价期日2017年12月8日，在规划利用条件下、设定土地开发程度为红线外“七通”、宗地内场地，设定用途为，剩余土地使用年限为的出让国有建设用地使用权价格。</v>
      </c>
    </row>
    <row r="19" spans="1:48" s="2904" customFormat="1">
      <c r="A19" s="2905" t="s">
        <v>2680</v>
      </c>
      <c r="B19" s="290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4" customFormat="1">
      <c r="A20" s="2905" t="s">
        <v>2681</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2682</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2683</v>
      </c>
      <c r="B22" s="291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5" t="s">
        <v>2684</v>
      </c>
      <c r="B23" s="2906" t="str">
        <f>'预评函-2'!K2</f>
        <v>估价期日：2017年12月8日</v>
      </c>
    </row>
    <row r="24" spans="1:48">
      <c r="A24" s="2905" t="s">
        <v>2685</v>
      </c>
      <c r="B24" s="2906" t="str">
        <f>'预评函-2'!R2</f>
        <v>估价期日的国有建设用地使用权性质：出让</v>
      </c>
    </row>
    <row r="25" spans="1:48">
      <c r="A25" s="2905" t="s">
        <v>2741</v>
      </c>
      <c r="B25" s="2906" t="str">
        <f>'预评函-2'!A3</f>
        <v>估价期日土地使用者</v>
      </c>
    </row>
    <row r="26" spans="1:48">
      <c r="A26" s="2905" t="s">
        <v>2717</v>
      </c>
      <c r="B26" s="2906" t="str">
        <f>'预评函-2'!A5</f>
        <v>中信开发</v>
      </c>
    </row>
    <row r="27" spans="1:48">
      <c r="A27" s="2905" t="s">
        <v>2742</v>
      </c>
      <c r="B27" s="2906" t="str">
        <f>'预评函-2'!B3</f>
        <v>宗地编号/不动产单元号</v>
      </c>
    </row>
    <row r="28" spans="1:48">
      <c r="A28" s="2905" t="s">
        <v>2718</v>
      </c>
      <c r="B28" s="2906" t="str">
        <f>'预评函-2'!B5</f>
        <v>11111111111</v>
      </c>
    </row>
    <row r="29" spans="1:48">
      <c r="A29" s="2905" t="s">
        <v>2744</v>
      </c>
      <c r="B29" s="2906">
        <f>'预评函-2'!C5</f>
        <v>22</v>
      </c>
    </row>
    <row r="30" spans="1:48">
      <c r="A30" s="2905" t="s">
        <v>2745</v>
      </c>
      <c r="B30" s="2906" t="str">
        <f>'预评函-2'!D3</f>
        <v>土地使用证编号/不动产权证书编号</v>
      </c>
    </row>
    <row r="31" spans="1:48">
      <c r="A31" s="2905" t="s">
        <v>2719</v>
      </c>
      <c r="B31" s="2906" t="str">
        <f>'预评函-2'!D5</f>
        <v>京国土字第111号</v>
      </c>
    </row>
    <row r="32" spans="1:48">
      <c r="A32" s="2905" t="s">
        <v>2720</v>
      </c>
      <c r="B32" s="2906">
        <f>'预评函-2'!E5</f>
        <v>0</v>
      </c>
      <c r="AV32" s="2910"/>
    </row>
    <row r="33" spans="1:2">
      <c r="A33" s="2905" t="s">
        <v>2721</v>
      </c>
      <c r="B33" s="2906">
        <f>'预评函-2'!F5</f>
        <v>258</v>
      </c>
    </row>
    <row r="34" spans="1:2">
      <c r="A34" s="2905" t="s">
        <v>2722</v>
      </c>
      <c r="B34" s="2906">
        <f>'预评函-2'!G5</f>
        <v>0</v>
      </c>
    </row>
    <row r="35" spans="1:2">
      <c r="A35" s="2905" t="s">
        <v>2723</v>
      </c>
      <c r="B35" s="2906">
        <f>'预评函-2'!H5</f>
        <v>1.5</v>
      </c>
    </row>
    <row r="36" spans="1:2">
      <c r="A36" s="2905" t="s">
        <v>2724</v>
      </c>
      <c r="B36" s="2906">
        <f>'预评函-2'!I5</f>
        <v>1.5</v>
      </c>
    </row>
    <row r="37" spans="1:2">
      <c r="A37" s="2905" t="s">
        <v>2725</v>
      </c>
      <c r="B37" s="2906">
        <f>'预评函-2'!J5</f>
        <v>1.5</v>
      </c>
    </row>
    <row r="38" spans="1:2">
      <c r="A38" s="2905" t="s">
        <v>2726</v>
      </c>
      <c r="B38" s="2906" t="str">
        <f>'预评函-2'!K5</f>
        <v>红线外七通、宗地红线内</v>
      </c>
    </row>
    <row r="39" spans="1:2">
      <c r="A39" s="2905" t="s">
        <v>2727</v>
      </c>
      <c r="B39" s="2906" t="str">
        <f>'预评函-2'!L5</f>
        <v>红线外七通、宗地红线内场地</v>
      </c>
    </row>
    <row r="40" spans="1:2">
      <c r="A40" s="2905" t="s">
        <v>2746</v>
      </c>
      <c r="B40" s="2906" t="str">
        <f>'预评函-2'!M3</f>
        <v>（剩余）土地使用年限/年</v>
      </c>
    </row>
    <row r="41" spans="1:2">
      <c r="A41" s="2905" t="s">
        <v>2728</v>
      </c>
      <c r="B41" s="2906">
        <f>'预评函-2'!M5</f>
        <v>0</v>
      </c>
    </row>
    <row r="42" spans="1:2">
      <c r="A42" s="2905" t="s">
        <v>2747</v>
      </c>
      <c r="B42" s="2906" t="str">
        <f>'预评函-2'!N3</f>
        <v>（分摊）出让国有建设用地使用权面积/㎡</v>
      </c>
    </row>
    <row r="43" spans="1:2">
      <c r="A43" s="2905" t="s">
        <v>2729</v>
      </c>
      <c r="B43" s="2906">
        <f>'预评函-2'!N5</f>
        <v>666666.69999999995</v>
      </c>
    </row>
    <row r="44" spans="1:2">
      <c r="A44" s="2905" t="s">
        <v>2748</v>
      </c>
      <c r="B44" s="2906" t="str">
        <f>'预评函-2'!O3</f>
        <v>规划建筑面积/㎡</v>
      </c>
    </row>
    <row r="45" spans="1:2">
      <c r="A45" s="2905" t="s">
        <v>2730</v>
      </c>
      <c r="B45" s="2906">
        <f>'预评函-2'!O5</f>
        <v>1845613.3399999999</v>
      </c>
    </row>
    <row r="46" spans="1:2">
      <c r="A46" s="2905" t="s">
        <v>2731</v>
      </c>
      <c r="B46" s="2906">
        <f ca="1">'预评函-2'!P5</f>
        <v>3624</v>
      </c>
    </row>
    <row r="47" spans="1:2">
      <c r="A47" s="2905" t="s">
        <v>2732</v>
      </c>
      <c r="B47" s="2906">
        <f ca="1">'预评函-2'!Q5</f>
        <v>1309</v>
      </c>
    </row>
    <row r="48" spans="1:2">
      <c r="A48" s="2905" t="s">
        <v>2733</v>
      </c>
      <c r="B48" s="2906">
        <f ca="1">'预评函-2'!R5</f>
        <v>241609</v>
      </c>
    </row>
    <row r="49" spans="1:2">
      <c r="A49" s="2905" t="s">
        <v>2749</v>
      </c>
      <c r="B49" s="2906" t="str">
        <f>'预评函-2'!A6</f>
        <v>抵押价格</v>
      </c>
    </row>
    <row r="50" spans="1:2">
      <c r="A50" s="2905" t="s">
        <v>2734</v>
      </c>
      <c r="B50" s="2906" t="str">
        <f>'预评函-2'!R6</f>
        <v>——</v>
      </c>
    </row>
    <row r="51" spans="1:2">
      <c r="A51" s="2905" t="s">
        <v>2750</v>
      </c>
      <c r="B51" s="2906" t="str">
        <f>'预评函-2'!A7</f>
        <v>——</v>
      </c>
    </row>
    <row r="52" spans="1:2">
      <c r="A52" s="2905" t="s">
        <v>2735</v>
      </c>
      <c r="B52" s="2906" t="str">
        <f>'预评函-2'!R7</f>
        <v>——</v>
      </c>
    </row>
    <row r="53" spans="1:2">
      <c r="A53" s="2905" t="s">
        <v>2751</v>
      </c>
      <c r="B53" s="2906">
        <f>'预评函-2'!A8</f>
        <v>0</v>
      </c>
    </row>
    <row r="54" spans="1:2" s="2920" customFormat="1" ht="15" thickBot="1">
      <c r="A54" s="2927" t="s">
        <v>2736</v>
      </c>
      <c r="B54" s="2928" t="str">
        <f>'预评函-2'!R8</f>
        <v>——</v>
      </c>
    </row>
    <row r="55" spans="1:2" ht="15" thickTop="1">
      <c r="A55" s="2916" t="s">
        <v>2686</v>
      </c>
      <c r="B55" s="2917" t="str">
        <f>'预评函-3'!A2</f>
        <v>1.权利限制：根据估价对象《不动产权证书》原件、《国有土地使用权》复印件，截至估价期日，估价对象抵押权未见登记。未设定租赁等其他他项权利。</v>
      </c>
    </row>
    <row r="56" spans="1:2">
      <c r="A56" s="2905" t="s">
        <v>2687</v>
      </c>
      <c r="B56" s="2906" t="str">
        <f>'预评函-3'!A3</f>
        <v>2.基础设施条件：估价对象实际开发程度为红线外七通、宗地红线内；本次评估设定开发程度为红线外七通、宗地红线内场地。</v>
      </c>
    </row>
    <row r="57" spans="1:2">
      <c r="A57" s="2905" t="s">
        <v>2688</v>
      </c>
      <c r="B57" s="2906" t="str">
        <f>'预评函-3'!A4</f>
        <v>3.估价规划限制条件：详见《建设工程规划许可证》[]、《出让合同》[]。</v>
      </c>
    </row>
    <row r="58" spans="1:2" s="2920" customFormat="1" ht="15" thickBot="1">
      <c r="A58" s="2927" t="s">
        <v>2737</v>
      </c>
      <c r="B58" s="2928" t="str">
        <f>'预评函-3'!A5</f>
        <v>4.影响价格的其他限定条件：无。</v>
      </c>
    </row>
    <row r="59" spans="1:2" ht="15" thickTop="1">
      <c r="A59" s="2916" t="s">
        <v>2689</v>
      </c>
      <c r="B59" s="2917" t="str">
        <f>'预评函-3'!A8</f>
        <v>2.本《评估意见函》仅供金融机构进行内部审核使用，不做其他目的之用。</v>
      </c>
    </row>
    <row r="60" spans="1:2">
      <c r="A60" s="2905" t="s">
        <v>2690</v>
      </c>
      <c r="B60" s="2906" t="str">
        <f>'预评函-3'!A9</f>
        <v>3.抵押双方在办理抵押登记手续时，应使用本公司出具的正式《土地估价报告》，特提请报告使用者注意。</v>
      </c>
    </row>
    <row r="61" spans="1:2">
      <c r="A61" s="2905" t="s">
        <v>2692</v>
      </c>
      <c r="B61" s="2906" t="str">
        <f>'预评函-3'!A10</f>
        <v>4.估价师所知悉的法定优先受偿款情况为：</v>
      </c>
    </row>
    <row r="62" spans="1:2">
      <c r="A62" s="2905" t="s">
        <v>2691</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2693</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2694</v>
      </c>
      <c r="B64" s="2911" t="str">
        <f>'预评函-3'!A13</f>
        <v>（3）。</v>
      </c>
    </row>
    <row r="65" spans="1:2">
      <c r="A65" s="2905" t="s">
        <v>2695</v>
      </c>
      <c r="B65" s="2912" t="str">
        <f>'预评函-3'!A14</f>
        <v>综上，本次评估不存在估价师知悉的法定优先受偿款</v>
      </c>
    </row>
    <row r="66" spans="1:2">
      <c r="A66" s="2905" t="s">
        <v>2696</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2697</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2700</v>
      </c>
      <c r="B68" s="2931">
        <f>'预评函-3'!D30</f>
        <v>42558</v>
      </c>
    </row>
    <row r="69" spans="1:2" ht="15" thickTop="1">
      <c r="A69" s="2916" t="s">
        <v>2698</v>
      </c>
      <c r="B69" s="2917" t="str">
        <f>'预评函-3'!A20</f>
        <v>土地估价师</v>
      </c>
    </row>
    <row r="70" spans="1:2">
      <c r="A70" s="2905" t="s">
        <v>2698</v>
      </c>
      <c r="B70" s="2912">
        <f>'预评函-3'!B20</f>
        <v>0</v>
      </c>
    </row>
    <row r="71" spans="1:2">
      <c r="A71" s="2905" t="s">
        <v>2699</v>
      </c>
      <c r="B71" s="2906" t="str">
        <f>'预评函-3'!A21</f>
        <v>土地估价师</v>
      </c>
    </row>
    <row r="72" spans="1:2" s="2920" customFormat="1" ht="15" thickBot="1">
      <c r="A72" s="2927" t="s">
        <v>2699</v>
      </c>
      <c r="B72" s="2933">
        <f>'预评函-3'!B21</f>
        <v>0</v>
      </c>
    </row>
    <row r="73" spans="1:2" ht="15" thickTop="1">
      <c r="A73" s="2916" t="s">
        <v>2758</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2759</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2760</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2795</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3" zoomScale="90" zoomScaleNormal="100" zoomScaleSheetLayoutView="90" workbookViewId="0">
      <selection activeCell="G7" sqref="G7"/>
    </sheetView>
  </sheetViews>
  <sheetFormatPr defaultColWidth="10" defaultRowHeight="14.25"/>
  <cols>
    <col min="1" max="1" width="15.375" style="1691" customWidth="1"/>
    <col min="2" max="2" width="11.375" style="1691" customWidth="1"/>
    <col min="3" max="3" width="12.625" style="1691" customWidth="1"/>
    <col min="4" max="4" width="12.87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15" t="str">
        <f>IF(B10="北京市","北京市",C10)&amp;F10&amp;B16&amp;"国有建设用地使用权"&amp;B9&amp;"预评估"</f>
        <v>郑州市荥阳市出让国有建设用地使用权抵押价格预评估</v>
      </c>
      <c r="C1" s="3216"/>
      <c r="D1" s="3216"/>
      <c r="E1" s="3216"/>
      <c r="F1" s="3216"/>
      <c r="G1" s="3216"/>
      <c r="H1" s="3216"/>
      <c r="I1" s="3217"/>
      <c r="J1" s="1694"/>
      <c r="K1" s="2480" t="str">
        <f>IF(B10="北京市","北京市",C10)&amp;F10&amp;B16&amp;"国有建设用地使用权"&amp;B9</f>
        <v>郑州市荥阳市出让国有建设用地使用权抵押价格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郑州市荥阳市出让国有建设用地使用权</v>
      </c>
      <c r="L2" s="1723"/>
      <c r="M2" s="1723"/>
      <c r="N2" s="1694"/>
      <c r="O2" s="1695"/>
      <c r="P2" s="1694"/>
      <c r="Q2" s="1694"/>
      <c r="R2" s="1694"/>
      <c r="S2" s="1694"/>
      <c r="T2" s="1694"/>
      <c r="U2" s="1694"/>
    </row>
    <row r="3" spans="1:21">
      <c r="A3" s="1661" t="s">
        <v>1942</v>
      </c>
      <c r="B3" s="1662">
        <v>43077</v>
      </c>
      <c r="C3" s="1663" t="s">
        <v>1998</v>
      </c>
      <c r="D3" s="1662">
        <v>43077</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2897</v>
      </c>
      <c r="C4" s="1846">
        <f>SUMIF(土地估价师,B4,估价师及机构信息!E3:E24)</f>
        <v>0</v>
      </c>
      <c r="D4" s="1843" t="s">
        <v>2897</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2714</v>
      </c>
      <c r="B6" s="1789"/>
      <c r="C6" s="1761"/>
      <c r="D6" s="1668"/>
      <c r="E6" s="1694"/>
      <c r="F6" s="1694"/>
      <c r="G6" s="1694"/>
      <c r="H6" s="1660"/>
      <c r="I6" s="1695"/>
      <c r="J6" s="1694"/>
      <c r="K6" s="3083" t="str">
        <f>IF(COUNTIF(B6,"*上海银行*"),"上海银行","")</f>
        <v/>
      </c>
      <c r="L6" s="1723"/>
      <c r="M6" s="1723"/>
      <c r="N6" s="1694"/>
      <c r="O6" s="1695"/>
      <c r="P6" s="1694"/>
      <c r="Q6" s="1694"/>
      <c r="R6" s="1694"/>
      <c r="S6" s="1694"/>
      <c r="T6" s="1694"/>
      <c r="U6" s="1694"/>
    </row>
    <row r="7" spans="1:21">
      <c r="A7" s="1669" t="s">
        <v>2715</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2987</v>
      </c>
      <c r="C8" s="1671"/>
      <c r="D8" s="3221"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2988</v>
      </c>
      <c r="C9" s="1675"/>
      <c r="D9" s="3222"/>
      <c r="E9" s="1674"/>
      <c r="F9" s="1747"/>
      <c r="G9" s="1742"/>
      <c r="H9" s="1742"/>
      <c r="I9" s="1743"/>
      <c r="J9" s="1694"/>
      <c r="K9" s="1774"/>
      <c r="L9" s="1723"/>
      <c r="M9" s="1723"/>
      <c r="N9" s="1694"/>
      <c r="O9" s="1695"/>
      <c r="P9" s="1694"/>
      <c r="Q9" s="1694"/>
      <c r="R9" s="1694"/>
      <c r="S9" s="1694"/>
      <c r="T9" s="1694"/>
      <c r="U9" s="1694"/>
    </row>
    <row r="10" spans="1:21" ht="15" thickTop="1">
      <c r="A10" s="1744" t="s">
        <v>2002</v>
      </c>
      <c r="B10" s="3167" t="s">
        <v>2983</v>
      </c>
      <c r="C10" s="1676" t="s">
        <v>2985</v>
      </c>
      <c r="D10" s="1667"/>
      <c r="E10" s="1677" t="s">
        <v>1949</v>
      </c>
      <c r="F10" s="1678"/>
      <c r="G10" s="1745"/>
      <c r="H10" s="1746"/>
      <c r="I10" s="1667"/>
      <c r="J10" s="1694"/>
      <c r="K10" s="1774"/>
      <c r="L10" s="1723"/>
      <c r="M10" s="1723"/>
      <c r="N10" s="1694"/>
      <c r="O10" s="1695"/>
      <c r="P10" s="1694"/>
      <c r="Q10" s="1694"/>
      <c r="R10" s="1694"/>
      <c r="S10" s="1694"/>
      <c r="T10" s="1694"/>
      <c r="U10" s="1694"/>
    </row>
    <row r="11" spans="1:21">
      <c r="A11" s="1697" t="s">
        <v>2003</v>
      </c>
      <c r="B11" s="1698" t="s">
        <v>2989</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18"/>
      <c r="C12" s="3219"/>
      <c r="D12" s="3220"/>
      <c r="E12" s="1699" t="s">
        <v>2064</v>
      </c>
      <c r="F12" s="3236" t="s">
        <v>2898</v>
      </c>
      <c r="G12" s="3237"/>
      <c r="H12" s="3237"/>
      <c r="I12" s="3238"/>
      <c r="J12" s="1694"/>
      <c r="K12" s="1774"/>
      <c r="L12" s="1723"/>
      <c r="M12" s="1723"/>
      <c r="N12" s="1694"/>
      <c r="O12" s="1695"/>
      <c r="P12" s="1694"/>
      <c r="Q12" s="1694"/>
      <c r="R12" s="1694"/>
      <c r="S12" s="1694"/>
      <c r="T12" s="1694"/>
      <c r="U12" s="1694"/>
    </row>
    <row r="13" spans="1:21">
      <c r="A13" s="1687" t="s">
        <v>2062</v>
      </c>
      <c r="B13" s="3218"/>
      <c r="C13" s="3219"/>
      <c r="D13" s="3220"/>
      <c r="E13" s="1699" t="s">
        <v>2064</v>
      </c>
      <c r="F13" s="3236" t="s">
        <v>2899</v>
      </c>
      <c r="G13" s="3237"/>
      <c r="H13" s="3237"/>
      <c r="I13" s="3238"/>
      <c r="J13" s="1694"/>
      <c r="K13" s="1774"/>
      <c r="L13" s="1723"/>
      <c r="M13" s="1723"/>
      <c r="N13" s="1694"/>
      <c r="O13" s="1695"/>
      <c r="P13" s="1694"/>
      <c r="Q13" s="1694"/>
      <c r="R13" s="1694"/>
      <c r="S13" s="1694"/>
      <c r="T13" s="1694"/>
      <c r="U13" s="1694"/>
    </row>
    <row r="14" spans="1:21">
      <c r="A14" s="1661" t="s">
        <v>2065</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2986</v>
      </c>
      <c r="C16" s="1699" t="s">
        <v>1951</v>
      </c>
      <c r="D16" s="2672" t="s">
        <v>1952</v>
      </c>
      <c r="E16" s="1722" t="s">
        <v>3099</v>
      </c>
      <c r="F16" s="1722"/>
      <c r="G16" s="1722" t="s">
        <v>35</v>
      </c>
      <c r="H16" s="1722"/>
      <c r="I16" s="1686" t="s">
        <v>1957</v>
      </c>
      <c r="J16" s="1694"/>
      <c r="K16" s="2481" t="str">
        <f>IF(D17="","",D16&amp;TEXT(D17,"yyyy年m月d日;;"))</f>
        <v>住宅2087年9月13日</v>
      </c>
      <c r="L16" s="1699" t="str">
        <f>IF(OR(K16="",M16=""),"","、")</f>
        <v>、</v>
      </c>
      <c r="M16" s="2481" t="str">
        <f>IF(E17="","",E16&amp;TEXT(E17,"yyyy年m月d日;;"))</f>
        <v>地上商业2057年9月13日</v>
      </c>
      <c r="N16" s="1699" t="str">
        <f>IF(OR(M16="",O16=""),"","、")</f>
        <v/>
      </c>
      <c r="O16" s="2481" t="str">
        <f>IF(F17="","",F16&amp;TEXT(F17,"yyyy年m月d日;;"))</f>
        <v/>
      </c>
      <c r="P16" s="1699" t="str">
        <f>IF(OR(O16="",Q16=""),"","、")</f>
        <v/>
      </c>
      <c r="Q16" s="2481" t="str">
        <f>IF(G17="","",G16&amp;TEXT(G17,"yyyy年m月d日;;"))</f>
        <v>地下车库2067年9月13日</v>
      </c>
      <c r="R16" s="1699" t="str">
        <f>IF(OR(Q16="",S16=""),"","、")</f>
        <v/>
      </c>
      <c r="S16" s="2481" t="str">
        <f>IF(H17="","",H16&amp;TEXT(H17,"yyyy年m月d日;;"))</f>
        <v/>
      </c>
      <c r="T16" s="1699" t="str">
        <f>IF(OR(S16="",U16=""),"","、")</f>
        <v/>
      </c>
      <c r="U16" s="2481" t="str">
        <f>IF(I17="","",I16&amp;TEXT(I17,"yyyy年m月d日;;"))</f>
        <v/>
      </c>
    </row>
    <row r="17" spans="1:21">
      <c r="A17" s="1763"/>
      <c r="B17" s="1682"/>
      <c r="C17" s="1683" t="s">
        <v>1958</v>
      </c>
      <c r="D17" s="1700">
        <v>68558</v>
      </c>
      <c r="E17" s="1700">
        <v>57601</v>
      </c>
      <c r="F17" s="1700"/>
      <c r="G17" s="1700">
        <v>61253</v>
      </c>
      <c r="H17" s="1700"/>
      <c r="I17" s="1700"/>
      <c r="J17" s="1694"/>
      <c r="K17" s="2480" t="str">
        <f>CONCATENATE(K16,L16,M16,N16,O16,P16,Q16,R16,S16,T16,,U16)</f>
        <v>住宅2087年9月13日、地上商业2057年9月13日地下车库2067年9月13日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69.81</v>
      </c>
      <c r="E19" s="1685">
        <f>IF(B16="出让",IF(E17="","",ROUNDDOWN(MIN((E17-$D$3)/365,E18),2)),E18)</f>
        <v>39.79</v>
      </c>
      <c r="F19" s="1685" t="str">
        <f>IF(B16="出让",IF(F17="","",ROUNDDOWN(MIN((F17-$D$3)/365,F18),2)),F18)</f>
        <v/>
      </c>
      <c r="G19" s="1685">
        <f>IF(B16="出让",IF(G17="","",ROUNDDOWN(MIN((G17-$D$3)/365,G18),2)),G18)</f>
        <v>49.79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33"/>
      <c r="E20" s="3234"/>
      <c r="F20" s="3234"/>
      <c r="G20" s="3234"/>
      <c r="H20" s="3234"/>
      <c r="I20" s="3235"/>
      <c r="J20" s="1694"/>
      <c r="K20" s="1774"/>
      <c r="L20" s="1723"/>
      <c r="M20" s="1723"/>
      <c r="N20" s="1694"/>
      <c r="O20" s="1695"/>
      <c r="P20" s="1694"/>
      <c r="Q20" s="1694"/>
      <c r="R20" s="1694"/>
      <c r="S20" s="1694"/>
      <c r="T20" s="1694"/>
      <c r="U20" s="1694"/>
    </row>
    <row r="21" spans="1:21">
      <c r="A21" s="1763" t="s">
        <v>1961</v>
      </c>
      <c r="B21" s="1764" t="s">
        <v>1962</v>
      </c>
      <c r="C21" s="1759">
        <f>'数据-汇总表'!E3</f>
        <v>1845613.3399999999</v>
      </c>
      <c r="D21" s="1760" t="s">
        <v>1963</v>
      </c>
      <c r="E21" s="3223" t="s">
        <v>2001</v>
      </c>
      <c r="F21" s="3224"/>
      <c r="G21" s="3224"/>
      <c r="H21" s="3224"/>
      <c r="I21" s="3225"/>
      <c r="J21" s="1694"/>
      <c r="K21" s="1774"/>
      <c r="L21" s="1723"/>
      <c r="M21" s="1723"/>
      <c r="N21" s="1694"/>
      <c r="O21" s="1695"/>
      <c r="P21" s="1694"/>
      <c r="Q21" s="1694"/>
      <c r="R21" s="1694"/>
      <c r="S21" s="1694"/>
      <c r="T21" s="1694"/>
      <c r="U21" s="1694"/>
    </row>
    <row r="22" spans="1:21">
      <c r="A22" s="2663" t="s">
        <v>952</v>
      </c>
      <c r="B22" s="1661" t="s">
        <v>1964</v>
      </c>
      <c r="C22" s="1686">
        <f>'数据-汇总表'!D3</f>
        <v>666666.69999999995</v>
      </c>
      <c r="D22" s="1687" t="s">
        <v>1963</v>
      </c>
      <c r="E22" s="3223" t="s">
        <v>2900</v>
      </c>
      <c r="F22" s="3224"/>
      <c r="G22" s="3224"/>
      <c r="H22" s="3224"/>
      <c r="I22" s="3225"/>
      <c r="J22" s="1694"/>
      <c r="K22" s="1774"/>
      <c r="L22" s="1723"/>
      <c r="M22" s="1723"/>
      <c r="N22" s="1694"/>
      <c r="O22" s="1695"/>
      <c r="P22" s="1694"/>
      <c r="Q22" s="1694"/>
      <c r="R22" s="1694"/>
      <c r="S22" s="1694"/>
      <c r="T22" s="1694"/>
      <c r="U22" s="1694"/>
    </row>
    <row r="23" spans="1:21" ht="29.25" thickBot="1">
      <c r="A23" s="1765" t="s">
        <v>1965</v>
      </c>
      <c r="B23" s="1701" t="s">
        <v>1966</v>
      </c>
      <c r="C23" s="1702"/>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26" t="s">
        <v>1969</v>
      </c>
      <c r="C24" s="3227"/>
      <c r="D24" s="3228" t="s">
        <v>1970</v>
      </c>
      <c r="E24" s="3229"/>
      <c r="F24" s="1708" t="s">
        <v>1971</v>
      </c>
      <c r="G24" s="1694"/>
      <c r="H24" s="1694"/>
      <c r="I24" s="1707"/>
      <c r="J24" s="1694"/>
      <c r="K24" s="3214" t="s">
        <v>1972</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14"/>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14"/>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77"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78"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78"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79"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41" t="s">
        <v>2004</v>
      </c>
      <c r="B31" s="1764" t="s">
        <v>2005</v>
      </c>
      <c r="C31" s="3239"/>
      <c r="D31" s="3240"/>
      <c r="E31" s="1694"/>
      <c r="F31" s="1694"/>
      <c r="G31" s="1694"/>
      <c r="H31" s="1694"/>
      <c r="I31" s="1707"/>
      <c r="J31" s="1694"/>
      <c r="K31" s="2483"/>
      <c r="L31" s="1694"/>
      <c r="M31" s="1694"/>
      <c r="N31" s="1694"/>
      <c r="O31" s="1694"/>
      <c r="P31" s="1694"/>
      <c r="Q31" s="1694"/>
      <c r="R31" s="1694"/>
      <c r="S31" s="1694"/>
      <c r="T31" s="1694"/>
      <c r="U31" s="1694"/>
    </row>
    <row r="32" spans="1:21">
      <c r="A32" s="3241"/>
      <c r="B32" s="1661" t="s">
        <v>2006</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41"/>
      <c r="B33" s="1661" t="s">
        <v>2007</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42"/>
      <c r="B34" s="1661" t="s">
        <v>2008</v>
      </c>
      <c r="C34" s="3243"/>
      <c r="D34" s="3244"/>
      <c r="E34" s="1694"/>
      <c r="F34" s="1694"/>
      <c r="G34" s="1694"/>
      <c r="H34" s="1694"/>
      <c r="I34" s="1707"/>
      <c r="J34" s="1694"/>
      <c r="K34" s="2483"/>
      <c r="L34" s="1694"/>
      <c r="M34" s="1694"/>
      <c r="N34" s="1694"/>
      <c r="O34" s="1694"/>
      <c r="P34" s="1694"/>
      <c r="Q34" s="1694"/>
      <c r="R34" s="1694"/>
      <c r="S34" s="1694"/>
      <c r="T34" s="1694"/>
      <c r="U34" s="1694"/>
    </row>
    <row r="35" spans="1:21">
      <c r="A35" s="3245" t="s">
        <v>847</v>
      </c>
      <c r="B35" s="1722"/>
      <c r="C35" s="1776" t="str">
        <f>IF(B35="场地平整","——","具体情况：")</f>
        <v>具体情况：</v>
      </c>
      <c r="D35" s="3247"/>
      <c r="E35" s="3248"/>
      <c r="F35" s="3248"/>
      <c r="G35" s="3248"/>
      <c r="H35" s="3248"/>
      <c r="I35" s="3249"/>
      <c r="J35" s="1694"/>
      <c r="K35" s="1775"/>
      <c r="L35" s="1723"/>
      <c r="M35" s="1723"/>
      <c r="N35" s="1694"/>
      <c r="O35" s="1695"/>
      <c r="P35" s="1694"/>
      <c r="Q35" s="1694"/>
      <c r="R35" s="1694"/>
      <c r="S35" s="1694"/>
      <c r="T35" s="1694"/>
      <c r="U35" s="1694"/>
    </row>
    <row r="36" spans="1:21">
      <c r="A36" s="3241"/>
      <c r="B36" s="3250" t="s">
        <v>2057</v>
      </c>
      <c r="C36" s="3251"/>
      <c r="D36" s="1792"/>
      <c r="E36" s="3252"/>
      <c r="F36" s="3252"/>
      <c r="G36" s="1687" t="str">
        <f>IF(B35="场地未平整","估价结果处理","")</f>
        <v/>
      </c>
      <c r="H36" s="3253"/>
      <c r="I36" s="3253"/>
      <c r="J36" s="1694"/>
      <c r="K36" s="1775"/>
      <c r="L36" s="1723"/>
      <c r="M36" s="1723"/>
      <c r="N36" s="1694"/>
      <c r="O36" s="1695"/>
      <c r="P36" s="1694"/>
      <c r="Q36" s="1694"/>
      <c r="R36" s="1694"/>
      <c r="S36" s="1694"/>
      <c r="T36" s="1694"/>
      <c r="U36" s="1694"/>
    </row>
    <row r="37" spans="1:21" ht="28.5">
      <c r="A37" s="3241"/>
      <c r="B37" s="3230"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41"/>
      <c r="B38" s="3231"/>
      <c r="C38" s="1669" t="s">
        <v>850</v>
      </c>
      <c r="D38" s="1791">
        <f>ROUNDDOWN(MIN(('数据-取费表'!$B$2-D37)/365,D34),1)</f>
        <v>118</v>
      </c>
      <c r="E38" s="1727" t="s">
        <v>851</v>
      </c>
      <c r="F38" s="1694"/>
      <c r="G38" s="1694"/>
      <c r="H38" s="1694"/>
      <c r="I38" s="1707"/>
      <c r="J38" s="1694"/>
      <c r="K38" s="1775"/>
      <c r="L38" s="1694"/>
      <c r="M38" s="1694"/>
      <c r="N38" s="1694"/>
      <c r="O38" s="1694"/>
      <c r="P38" s="1694"/>
      <c r="Q38" s="1694"/>
      <c r="R38" s="1694"/>
      <c r="S38" s="1694"/>
      <c r="T38" s="1694"/>
      <c r="U38" s="1694"/>
    </row>
    <row r="39" spans="1:21">
      <c r="A39" s="3242"/>
      <c r="B39" s="3232"/>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13" t="s">
        <v>1988</v>
      </c>
      <c r="T40" s="1731" t="str">
        <f>NUMBERSTRING(7-K40,1)&amp;"通"</f>
        <v>七通</v>
      </c>
      <c r="U40" s="1694"/>
    </row>
    <row r="41" spans="1:21" ht="28.5">
      <c r="A41" s="1663"/>
      <c r="B41" s="3246" t="s">
        <v>1722</v>
      </c>
      <c r="C41" s="3246"/>
      <c r="D41" s="3246"/>
      <c r="E41" s="3246"/>
      <c r="F41" s="1732" t="str">
        <f>C10</f>
        <v>郑州市荥阳市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13"/>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100" customFormat="1" ht="21" thickBot="1">
      <c r="A45" s="3101" t="s">
        <v>2901</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2336</v>
      </c>
      <c r="BA2" s="2362"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面积!E2</f>
        <v>666666.69999999995</v>
      </c>
      <c r="B3" s="22">
        <f>IF(C3="否",G5-AT5,G5)</f>
        <v>1845613.3399999999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1845613.3399999999</v>
      </c>
      <c r="H5" s="27">
        <f t="shared" ref="H5:AT5" si="0">SUM(H13:H641)</f>
        <v>1368374.3399999999</v>
      </c>
      <c r="I5" s="27">
        <f t="shared" si="0"/>
        <v>1299666.67</v>
      </c>
      <c r="J5" s="27">
        <f t="shared" si="0"/>
        <v>0</v>
      </c>
      <c r="K5" s="27">
        <f t="shared" si="0"/>
        <v>57666.67</v>
      </c>
      <c r="L5" s="27">
        <f t="shared" si="0"/>
        <v>0</v>
      </c>
      <c r="M5" s="27">
        <f t="shared" si="0"/>
        <v>11041</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477239</v>
      </c>
      <c r="AD5" s="27">
        <f t="shared" si="0"/>
        <v>16000</v>
      </c>
      <c r="AE5" s="27">
        <f t="shared" si="0"/>
        <v>0</v>
      </c>
      <c r="AF5" s="27">
        <f t="shared" si="0"/>
        <v>0</v>
      </c>
      <c r="AG5" s="27">
        <f t="shared" si="0"/>
        <v>0</v>
      </c>
      <c r="AH5" s="27">
        <f t="shared" si="0"/>
        <v>0</v>
      </c>
      <c r="AI5" s="27">
        <f t="shared" si="0"/>
        <v>0</v>
      </c>
      <c r="AJ5" s="27">
        <f t="shared" si="0"/>
        <v>0</v>
      </c>
      <c r="AK5" s="27">
        <f t="shared" si="0"/>
        <v>0</v>
      </c>
      <c r="AL5" s="27">
        <f t="shared" si="0"/>
        <v>461239</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1845613.3399999999</v>
      </c>
      <c r="BA5" s="29">
        <f t="shared" si="1"/>
        <v>1368374.3399999999</v>
      </c>
      <c r="BB5" s="29">
        <f t="shared" si="1"/>
        <v>1299666.67</v>
      </c>
      <c r="BC5" s="29">
        <f t="shared" si="1"/>
        <v>57666.67</v>
      </c>
      <c r="BD5" s="29">
        <f t="shared" si="1"/>
        <v>11041</v>
      </c>
      <c r="BE5" s="29">
        <f t="shared" si="1"/>
        <v>0</v>
      </c>
      <c r="BF5" s="29">
        <f t="shared" si="1"/>
        <v>0</v>
      </c>
      <c r="BG5" s="29">
        <f t="shared" si="1"/>
        <v>0</v>
      </c>
      <c r="BH5" s="29">
        <f t="shared" si="1"/>
        <v>0</v>
      </c>
      <c r="BI5" s="29">
        <f t="shared" si="1"/>
        <v>0</v>
      </c>
      <c r="BJ5" s="29">
        <f t="shared" si="1"/>
        <v>0</v>
      </c>
      <c r="BK5" s="29">
        <f t="shared" si="1"/>
        <v>0</v>
      </c>
      <c r="BL5" s="29">
        <f t="shared" si="1"/>
        <v>477239</v>
      </c>
      <c r="BM5" s="29">
        <f t="shared" si="1"/>
        <v>16000</v>
      </c>
      <c r="BN5" s="29">
        <f t="shared" si="1"/>
        <v>0</v>
      </c>
      <c r="BO5" s="29">
        <f t="shared" si="1"/>
        <v>0</v>
      </c>
      <c r="BP5" s="29">
        <f t="shared" si="1"/>
        <v>0</v>
      </c>
      <c r="BQ5" s="29">
        <f t="shared" si="1"/>
        <v>461239</v>
      </c>
      <c r="BR5" s="29">
        <f t="shared" si="1"/>
        <v>0</v>
      </c>
      <c r="BS5" s="29">
        <f t="shared" si="1"/>
        <v>0</v>
      </c>
      <c r="BT5" s="30">
        <f t="shared" si="1"/>
        <v>0</v>
      </c>
    </row>
    <row r="6" spans="1:72" s="37" customFormat="1" ht="12.75">
      <c r="A6" s="26" t="s">
        <v>169</v>
      </c>
      <c r="B6" s="31"/>
      <c r="C6" s="31"/>
      <c r="D6" s="32"/>
      <c r="E6" s="27">
        <f>H6+AC6+AT6</f>
        <v>666666.68999999994</v>
      </c>
      <c r="F6" s="27" t="s">
        <v>1</v>
      </c>
      <c r="G6" s="27" t="s">
        <v>2</v>
      </c>
      <c r="H6" s="33">
        <f>SUMIF(I$12:AB$12,"总值",I6:AB6)</f>
        <v>494279.91</v>
      </c>
      <c r="I6" s="27">
        <f t="shared" ref="I6:AB6" si="2">ROUND($A$3*I5/$B$3,2)</f>
        <v>469461.54</v>
      </c>
      <c r="J6" s="27">
        <f t="shared" si="2"/>
        <v>0</v>
      </c>
      <c r="K6" s="27">
        <f t="shared" si="2"/>
        <v>20830.169999999998</v>
      </c>
      <c r="L6" s="27">
        <f t="shared" si="2"/>
        <v>0</v>
      </c>
      <c r="M6" s="27">
        <f t="shared" si="2"/>
        <v>3988.2</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172386.78</v>
      </c>
      <c r="AD6" s="27">
        <f t="shared" ref="AD6:AS6" si="3">ROUND($A$3*AD5/$B$3,2)</f>
        <v>5779.47</v>
      </c>
      <c r="AE6" s="27">
        <f t="shared" si="3"/>
        <v>0</v>
      </c>
      <c r="AF6" s="27">
        <f t="shared" si="3"/>
        <v>0</v>
      </c>
      <c r="AG6" s="27">
        <f t="shared" si="3"/>
        <v>0</v>
      </c>
      <c r="AH6" s="27">
        <f t="shared" si="3"/>
        <v>0</v>
      </c>
      <c r="AI6" s="27">
        <f t="shared" si="3"/>
        <v>0</v>
      </c>
      <c r="AJ6" s="27">
        <f t="shared" si="3"/>
        <v>0</v>
      </c>
      <c r="AK6" s="27">
        <f t="shared" si="3"/>
        <v>0</v>
      </c>
      <c r="AL6" s="27">
        <f t="shared" si="3"/>
        <v>166607.31</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666666.69999999995</v>
      </c>
      <c r="AZ6" s="27" t="s">
        <v>3</v>
      </c>
      <c r="BA6" s="27">
        <f>ROUND($AY$6*BA5/$AZ$5,2)</f>
        <v>494279.92</v>
      </c>
      <c r="BB6" s="27">
        <f>ROUND($AY$6*BB5/$AZ$5,2)</f>
        <v>469461.54</v>
      </c>
      <c r="BC6" s="27">
        <f t="shared" ref="BC6:BH6" si="4">ROUND($AY$6*BC5/$AZ$5,2)</f>
        <v>20830.169999999998</v>
      </c>
      <c r="BD6" s="27">
        <f t="shared" si="4"/>
        <v>3988.2</v>
      </c>
      <c r="BE6" s="27">
        <f t="shared" si="4"/>
        <v>0</v>
      </c>
      <c r="BF6" s="27">
        <f t="shared" si="4"/>
        <v>0</v>
      </c>
      <c r="BG6" s="27">
        <f t="shared" si="4"/>
        <v>0</v>
      </c>
      <c r="BH6" s="27">
        <f t="shared" si="4"/>
        <v>0</v>
      </c>
      <c r="BI6" s="27">
        <f t="shared" ref="BI6:BT6" si="5">ROUND($AY$6*BI5/$AZ$5,2)</f>
        <v>0</v>
      </c>
      <c r="BJ6" s="27">
        <f t="shared" si="5"/>
        <v>0</v>
      </c>
      <c r="BK6" s="27">
        <f t="shared" si="5"/>
        <v>0</v>
      </c>
      <c r="BL6" s="27">
        <f t="shared" si="5"/>
        <v>172386.78</v>
      </c>
      <c r="BM6" s="27">
        <f t="shared" si="5"/>
        <v>5779.47</v>
      </c>
      <c r="BN6" s="27">
        <f t="shared" si="5"/>
        <v>0</v>
      </c>
      <c r="BO6" s="27">
        <f t="shared" si="5"/>
        <v>0</v>
      </c>
      <c r="BP6" s="27">
        <f t="shared" si="5"/>
        <v>0</v>
      </c>
      <c r="BQ6" s="27">
        <f t="shared" si="5"/>
        <v>166607.31</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6" t="s">
        <v>2990</v>
      </c>
      <c r="J9" s="51"/>
      <c r="K9" s="3046" t="s">
        <v>2990</v>
      </c>
      <c r="L9" s="51"/>
      <c r="M9" s="3046" t="s">
        <v>3101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6" t="s">
        <v>923</v>
      </c>
      <c r="J10" s="51"/>
      <c r="K10" s="3048" t="s">
        <v>3100</v>
      </c>
      <c r="L10" s="51"/>
      <c r="M10" s="3048" t="s">
        <v>3102</v>
      </c>
      <c r="N10" s="51"/>
      <c r="O10" s="66"/>
      <c r="P10" s="51"/>
      <c r="Q10" s="66"/>
      <c r="R10" s="51"/>
      <c r="S10" s="66"/>
      <c r="T10" s="51"/>
      <c r="U10" s="66"/>
      <c r="V10" s="51"/>
      <c r="W10" s="66"/>
      <c r="X10" s="51"/>
      <c r="Y10" s="66"/>
      <c r="Z10" s="51"/>
      <c r="AA10" s="66"/>
      <c r="AB10" s="51"/>
      <c r="AC10" s="55"/>
      <c r="AD10" s="2315" t="s">
        <v>2320</v>
      </c>
      <c r="AE10" s="2337"/>
      <c r="AF10" s="2315" t="s">
        <v>2320</v>
      </c>
      <c r="AG10" s="2337"/>
      <c r="AH10" s="2315" t="s">
        <v>2321</v>
      </c>
      <c r="AI10" s="2337"/>
      <c r="AJ10" s="26" t="s">
        <v>2334</v>
      </c>
      <c r="AK10" s="2334"/>
      <c r="AL10" s="2315" t="s">
        <v>2322</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7"/>
      <c r="J11" s="71"/>
      <c r="K11" s="3047"/>
      <c r="L11" s="71"/>
      <c r="M11" s="70"/>
      <c r="N11" s="71"/>
      <c r="O11" s="70"/>
      <c r="P11" s="71"/>
      <c r="Q11" s="70"/>
      <c r="R11" s="71"/>
      <c r="S11" s="70"/>
      <c r="T11" s="71"/>
      <c r="U11" s="70"/>
      <c r="V11" s="71"/>
      <c r="W11" s="70"/>
      <c r="X11" s="71"/>
      <c r="Y11" s="70"/>
      <c r="Z11" s="71"/>
      <c r="AA11" s="70"/>
      <c r="AB11" s="71"/>
      <c r="AC11" s="55"/>
      <c r="AD11" s="2335" t="s">
        <v>2333</v>
      </c>
      <c r="AE11" s="1002"/>
      <c r="AF11" s="2335" t="s">
        <v>2333</v>
      </c>
      <c r="AG11" s="1002"/>
      <c r="AH11" s="2335" t="s">
        <v>2332</v>
      </c>
      <c r="AI11" s="2336"/>
      <c r="AJ11" s="2335" t="s">
        <v>2332</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1"/>
      <c r="B13" s="3041"/>
      <c r="C13" s="3041"/>
      <c r="D13" s="3042" t="s">
        <v>1679</v>
      </c>
      <c r="E13" s="27">
        <f t="shared" ref="E13:E20" si="6">IF($C$3="是",ROUND($A$3*G13/$B$3,2),ROUND($A$3*(G13-AT13)/$B$3,2))</f>
        <v>664499.4</v>
      </c>
      <c r="F13" s="81"/>
      <c r="G13" s="82">
        <f t="shared" ref="G13:G20" si="7">H13+AC13+AT13</f>
        <v>1839613.3399999999</v>
      </c>
      <c r="H13" s="33">
        <f t="shared" ref="H13:H20" si="8">SUMIF(I$12:AB$12,"总值",I13:AB13)</f>
        <v>1368374.3399999999</v>
      </c>
      <c r="I13" s="3045">
        <f>面积!E9</f>
        <v>1299666.67</v>
      </c>
      <c r="J13" s="3045"/>
      <c r="K13" s="3045">
        <f>面积!E10+面积!E11</f>
        <v>57666.67</v>
      </c>
      <c r="L13" s="3045"/>
      <c r="M13" s="3045">
        <f>面积!E15</f>
        <v>11041</v>
      </c>
      <c r="N13" s="83"/>
      <c r="O13" s="83"/>
      <c r="P13" s="83"/>
      <c r="Q13" s="83"/>
      <c r="R13" s="83"/>
      <c r="S13" s="83"/>
      <c r="T13" s="83"/>
      <c r="U13" s="83"/>
      <c r="V13" s="83"/>
      <c r="W13" s="83"/>
      <c r="X13" s="83"/>
      <c r="Y13" s="83"/>
      <c r="Z13" s="83"/>
      <c r="AA13" s="83"/>
      <c r="AB13" s="83"/>
      <c r="AC13" s="27">
        <f t="shared" ref="AC13:AC20" si="9">SUMIF(AD$12:AS$12,"总值",AD13:AS13)</f>
        <v>471239</v>
      </c>
      <c r="AD13" s="3049">
        <f>面积!E13</f>
        <v>10000</v>
      </c>
      <c r="AE13" s="3049"/>
      <c r="AF13" s="3049"/>
      <c r="AG13" s="3049"/>
      <c r="AH13" s="3049"/>
      <c r="AI13" s="3049"/>
      <c r="AJ13" s="3049"/>
      <c r="AK13" s="3049"/>
      <c r="AL13" s="3049">
        <f>面积!C16</f>
        <v>461239</v>
      </c>
      <c r="AM13" s="3049"/>
      <c r="AN13" s="3049"/>
      <c r="AO13" s="3049"/>
      <c r="AP13" s="3049"/>
      <c r="AQ13" s="3049"/>
      <c r="AR13" s="3049"/>
      <c r="AS13" s="3049"/>
      <c r="AT13" s="3050"/>
      <c r="AU13" s="3051"/>
      <c r="AV13" s="17">
        <f t="shared" ref="AV13:AX20" si="10">A13</f>
        <v>0</v>
      </c>
      <c r="AW13" s="17">
        <f t="shared" si="10"/>
        <v>0</v>
      </c>
      <c r="AX13" s="17">
        <f t="shared" si="10"/>
        <v>0</v>
      </c>
      <c r="AY13" s="996">
        <f t="shared" ref="AY13:AY20" si="11">ROUND($AY$6*AZ13/$AZ$5,2)</f>
        <v>664499.4</v>
      </c>
      <c r="AZ13" s="27">
        <f t="shared" ref="AZ13:AZ20" si="12">BA13+BL13</f>
        <v>1839613.3399999999</v>
      </c>
      <c r="BA13" s="27">
        <f t="shared" ref="BA13:BA20" si="13">SUM(BB13:BK13)</f>
        <v>1368374.3399999999</v>
      </c>
      <c r="BB13" s="27">
        <f t="shared" ref="BB13:BB20" si="14">IF($D13="是",I13-J13,0)</f>
        <v>1299666.67</v>
      </c>
      <c r="BC13" s="27">
        <f t="shared" ref="BC13:BC20" si="15">IF($D13="是",K13-L13,0)</f>
        <v>57666.67</v>
      </c>
      <c r="BD13" s="27">
        <f t="shared" ref="BD13:BD20" si="16">IF($D13="是",M13-N13,0)</f>
        <v>11041</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471239</v>
      </c>
      <c r="BM13" s="27">
        <f t="shared" ref="BM13:BM20" si="25">IF($D13="是",AD13-AE13,0)</f>
        <v>10000</v>
      </c>
      <c r="BN13" s="27">
        <f t="shared" ref="BN13:BN20" si="26">IF($D13="是",AF13-AG13,0)</f>
        <v>0</v>
      </c>
      <c r="BO13" s="27">
        <f t="shared" ref="BO13:BO20" si="27">IF($D13="是",AH13-AI13,0)</f>
        <v>0</v>
      </c>
      <c r="BP13" s="27">
        <f t="shared" ref="BP13:BP20" si="28">IF($D13="是",AJ13-AK13,0)</f>
        <v>0</v>
      </c>
      <c r="BQ13" s="27">
        <f t="shared" ref="BQ13:BQ20" si="29">IF($D13="是",AL13-AM13,0)</f>
        <v>461239</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t="s">
        <v>1679</v>
      </c>
      <c r="E14" s="27">
        <f t="shared" si="6"/>
        <v>2167.3000000000002</v>
      </c>
      <c r="F14" s="81"/>
      <c r="G14" s="82">
        <f t="shared" si="7"/>
        <v>6000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6000</v>
      </c>
      <c r="AD14" s="3049">
        <v>6000</v>
      </c>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6">
        <f t="shared" si="11"/>
        <v>2167.3000000000002</v>
      </c>
      <c r="AZ14" s="27">
        <f t="shared" si="12"/>
        <v>6000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6000</v>
      </c>
      <c r="BM14" s="27">
        <f t="shared" si="25"/>
        <v>6000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4" t="s">
        <v>0</v>
      </c>
      <c r="B1" s="3254" t="s">
        <v>4</v>
      </c>
      <c r="C1" s="3254" t="s">
        <v>5</v>
      </c>
      <c r="D1" s="3255" t="s">
        <v>40</v>
      </c>
      <c r="E1" s="3255" t="s">
        <v>41</v>
      </c>
      <c r="F1" s="3255"/>
      <c r="G1" s="3255"/>
      <c r="H1" s="3255"/>
      <c r="I1" s="3255"/>
      <c r="J1" s="3255"/>
      <c r="K1" s="3255"/>
      <c r="L1" s="3255"/>
      <c r="M1" s="3255"/>
    </row>
    <row r="2" spans="1:13" ht="27" customHeight="1">
      <c r="A2" s="3254"/>
      <c r="B2" s="3254"/>
      <c r="C2" s="3254"/>
      <c r="D2" s="3255"/>
      <c r="E2" s="3255" t="s">
        <v>24</v>
      </c>
      <c r="F2" s="3255" t="s">
        <v>25</v>
      </c>
      <c r="G2" s="3255"/>
      <c r="H2" s="3255"/>
      <c r="I2" s="3255"/>
      <c r="J2" s="3255" t="s">
        <v>26</v>
      </c>
      <c r="K2" s="3255"/>
      <c r="L2" s="3255"/>
      <c r="M2" s="3255"/>
    </row>
    <row r="3" spans="1:13" ht="28.5">
      <c r="A3" s="3254"/>
      <c r="B3" s="3254"/>
      <c r="C3" s="3254"/>
      <c r="D3" s="3255"/>
      <c r="E3" s="325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5" t="s">
        <v>42</v>
      </c>
      <c r="B9" s="3255"/>
      <c r="C9" s="325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F29" sqref="F2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65" t="s">
        <v>203</v>
      </c>
      <c r="B2" s="3265"/>
      <c r="C2" s="3265"/>
      <c r="D2" s="1976" t="s">
        <v>204</v>
      </c>
      <c r="E2" s="106" t="s">
        <v>205</v>
      </c>
      <c r="F2" s="1985"/>
      <c r="G2" s="1198"/>
      <c r="H2" s="1199"/>
      <c r="I2" s="1200" t="s">
        <v>857</v>
      </c>
      <c r="J2" s="1985"/>
      <c r="K2" s="1985"/>
      <c r="L2" s="1985"/>
    </row>
    <row r="3" spans="1:16" ht="15.75" thickBot="1">
      <c r="A3" s="3266" t="s">
        <v>206</v>
      </c>
      <c r="B3" s="3266"/>
      <c r="C3" s="3266"/>
      <c r="D3" s="107">
        <f>'数据-基础表'!AY6</f>
        <v>666666.69999999995</v>
      </c>
      <c r="E3" s="107">
        <f>'数据-基础表'!AZ5</f>
        <v>1845613.3399999999</v>
      </c>
      <c r="F3" s="1985"/>
      <c r="G3" s="280" t="s">
        <v>858</v>
      </c>
      <c r="H3" s="275" t="s">
        <v>859</v>
      </c>
      <c r="I3" s="1977">
        <f>ROUND('数据-基础表'!B3/'数据-基础表'!A3,2)</f>
        <v>2.77</v>
      </c>
      <c r="J3" s="1985"/>
      <c r="K3" s="1985"/>
      <c r="L3" s="1985"/>
    </row>
    <row r="4" spans="1:16" ht="15">
      <c r="A4" s="3267"/>
      <c r="B4" s="3268"/>
      <c r="C4" s="3269"/>
      <c r="D4" s="108" t="s">
        <v>204</v>
      </c>
      <c r="E4" s="109" t="s">
        <v>205</v>
      </c>
      <c r="F4" s="1985"/>
      <c r="G4" s="1201"/>
      <c r="H4" s="275" t="s">
        <v>860</v>
      </c>
      <c r="I4" s="1977">
        <f>ROUND(SUMIF('数据-基础表'!I9:AS9,"地上",'数据-基础表'!I5:AS5)/'数据-基础表'!A3,2)</f>
        <v>2.75</v>
      </c>
      <c r="J4" s="1985"/>
      <c r="K4" s="1985"/>
      <c r="L4" s="1985"/>
    </row>
    <row r="5" spans="1:16">
      <c r="A5" s="110" t="s">
        <v>207</v>
      </c>
      <c r="B5" s="3270" t="s">
        <v>230</v>
      </c>
      <c r="C5" s="3270"/>
      <c r="D5" s="111">
        <f>ROUND($D$3*E5/$E$3,2)</f>
        <v>469461.54</v>
      </c>
      <c r="E5" s="112">
        <f>SUMIF('数据-基础表'!$11:$11,"住宅",'数据-基础表'!$5:$5)</f>
        <v>1299666.67</v>
      </c>
      <c r="F5" s="1985"/>
      <c r="G5" s="280" t="s">
        <v>861</v>
      </c>
      <c r="H5" s="275" t="s">
        <v>859</v>
      </c>
      <c r="I5" s="1977">
        <f>ROUND(E31/D31,2)</f>
        <v>2.77</v>
      </c>
      <c r="J5" s="1985"/>
      <c r="K5" s="1985"/>
      <c r="L5" s="1985"/>
    </row>
    <row r="6" spans="1:16" ht="15" thickBot="1">
      <c r="A6" s="113"/>
      <c r="B6" s="3270" t="s">
        <v>208</v>
      </c>
      <c r="C6" s="3270"/>
      <c r="D6" s="111">
        <f>ROUND($D$3*E6/$E$3,2)</f>
        <v>197205.16</v>
      </c>
      <c r="E6" s="112">
        <f>E3-E5</f>
        <v>545946.66999999993</v>
      </c>
      <c r="F6" s="1985"/>
      <c r="G6" s="1201"/>
      <c r="H6" s="275" t="s">
        <v>860</v>
      </c>
      <c r="I6" s="1977">
        <f>ROUND(F31/D31,2)</f>
        <v>2.75</v>
      </c>
      <c r="J6" s="1985"/>
      <c r="K6" s="1985"/>
      <c r="L6" s="1985"/>
    </row>
    <row r="7" spans="1:16" ht="15">
      <c r="A7" s="3262"/>
      <c r="B7" s="3263"/>
      <c r="C7" s="3264"/>
      <c r="D7" s="108" t="s">
        <v>204</v>
      </c>
      <c r="E7" s="114" t="s">
        <v>231</v>
      </c>
      <c r="F7" s="1985"/>
      <c r="G7" s="1156" t="s">
        <v>1646</v>
      </c>
      <c r="H7" s="1157"/>
      <c r="I7" s="1847">
        <v>4</v>
      </c>
      <c r="J7" s="1985"/>
      <c r="K7" s="1985"/>
      <c r="L7" s="1985"/>
    </row>
    <row r="8" spans="1:16">
      <c r="A8" s="110" t="s">
        <v>209</v>
      </c>
      <c r="B8" s="115" t="s">
        <v>210</v>
      </c>
      <c r="C8" s="111" t="s">
        <v>211</v>
      </c>
      <c r="D8" s="111">
        <f t="shared" ref="D8:D15" si="0">ROUND($D$3*E8/$E$3,2)</f>
        <v>490291.72</v>
      </c>
      <c r="E8" s="116">
        <f>SUMIF('数据-基础表'!BB10:BK10,"地上",'数据-基础表'!BB5:BK5)</f>
        <v>1357333.3399999999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2330</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2337</v>
      </c>
      <c r="D13" s="111">
        <f t="shared" si="0"/>
        <v>3988.2</v>
      </c>
      <c r="E13" s="116">
        <f>SUMPRODUCT(('数据-基础表'!BB10:BK10="地下")*('数据-基础表'!BB11:BK11="车库")*('数据-基础表'!BB5:BK5))</f>
        <v>11041</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494279.92</v>
      </c>
      <c r="E16" s="120">
        <f>SUM(E8:E15)</f>
        <v>1368374.3399999999</v>
      </c>
      <c r="F16" s="1985"/>
      <c r="G16" s="1987"/>
      <c r="H16" s="968" t="s">
        <v>219</v>
      </c>
      <c r="I16" s="969"/>
      <c r="J16" s="1985"/>
      <c r="K16" s="3256" t="s">
        <v>2572</v>
      </c>
      <c r="L16" s="3257"/>
      <c r="M16" s="3257"/>
      <c r="N16" s="3257"/>
      <c r="O16" s="3257"/>
      <c r="P16" s="3258"/>
    </row>
    <row r="17" spans="1:19" ht="15">
      <c r="A17" s="121" t="s">
        <v>216</v>
      </c>
      <c r="B17" s="122" t="s">
        <v>217</v>
      </c>
      <c r="C17" s="2299" t="s">
        <v>2316</v>
      </c>
      <c r="D17" s="108" t="s">
        <v>204</v>
      </c>
      <c r="E17" s="124" t="s">
        <v>205</v>
      </c>
      <c r="F17" s="125"/>
      <c r="G17" s="1366"/>
      <c r="H17" s="970" t="s">
        <v>218</v>
      </c>
      <c r="I17" s="971" t="s">
        <v>2315</v>
      </c>
      <c r="J17" s="1985"/>
      <c r="K17" s="3259" t="s">
        <v>2573</v>
      </c>
      <c r="L17" s="3260"/>
      <c r="M17" s="3261"/>
      <c r="N17" s="3259" t="s">
        <v>2574</v>
      </c>
      <c r="O17" s="3260"/>
      <c r="P17" s="3261"/>
      <c r="R17" s="2300" t="s">
        <v>2314</v>
      </c>
      <c r="S17" s="144"/>
    </row>
    <row r="18" spans="1:19" ht="15">
      <c r="A18" s="117"/>
      <c r="B18" s="128"/>
      <c r="C18" s="129"/>
      <c r="D18" s="2668"/>
      <c r="E18" s="130" t="s">
        <v>220</v>
      </c>
      <c r="F18" s="131" t="s">
        <v>221</v>
      </c>
      <c r="G18" s="1367" t="s">
        <v>222</v>
      </c>
      <c r="H18" s="972" t="s">
        <v>223</v>
      </c>
      <c r="I18" s="973" t="s">
        <v>224</v>
      </c>
      <c r="J18" s="1985"/>
      <c r="K18" s="2630" t="s">
        <v>2575</v>
      </c>
      <c r="L18" s="2631" t="s">
        <v>2576</v>
      </c>
      <c r="M18" s="2632" t="s">
        <v>2577</v>
      </c>
      <c r="N18" s="2630" t="s">
        <v>2575</v>
      </c>
      <c r="O18" s="2631" t="s">
        <v>2576</v>
      </c>
      <c r="P18" s="2632" t="s">
        <v>2577</v>
      </c>
      <c r="R18" s="2301" t="s">
        <v>2312</v>
      </c>
      <c r="S18" s="2301" t="s">
        <v>2313</v>
      </c>
    </row>
    <row r="19" spans="1:19">
      <c r="A19" s="133"/>
      <c r="B19" s="115" t="s">
        <v>225</v>
      </c>
      <c r="C19" s="3052" t="s">
        <v>2991</v>
      </c>
      <c r="D19" s="111">
        <f t="shared" ref="D19:D26" si="1">ROUND($D$3*E19/$E$3,2)</f>
        <v>469461.54</v>
      </c>
      <c r="E19" s="134">
        <f t="shared" ref="E19:E26" si="2">SUM(F19:G19)</f>
        <v>1299666.67</v>
      </c>
      <c r="F19" s="135">
        <f>面积!E9</f>
        <v>1299666.67</v>
      </c>
      <c r="G19" s="1368"/>
      <c r="H19" s="974">
        <f>ROUND($D$3*I19/$E$3,2)</f>
        <v>164021.24</v>
      </c>
      <c r="I19" s="116">
        <f>IF($I$17="自定义",P19,M19)</f>
        <v>454079.65</v>
      </c>
      <c r="J19" s="1985"/>
      <c r="K19" s="2633">
        <f t="shared" ref="K19:K26" si="3">ROUND(E$28*E19/E$27,2)</f>
        <v>438079.65</v>
      </c>
      <c r="L19" s="275">
        <f t="shared" ref="L19:L26" si="4">ROUND(IF(COUNTIF(C19,"*住宅*")&gt;0,E$29*E19/E$32,0),2)</f>
        <v>16000</v>
      </c>
      <c r="M19" s="2634">
        <f>K19+L19</f>
        <v>454079.65</v>
      </c>
      <c r="N19" s="2635"/>
      <c r="O19" s="2636"/>
      <c r="P19" s="2637">
        <f>N19+O19</f>
        <v>0</v>
      </c>
      <c r="R19" s="275">
        <f t="shared" ref="R19:S26" si="5">D19+H19</f>
        <v>633482.78</v>
      </c>
      <c r="S19" s="2302">
        <f t="shared" si="5"/>
        <v>1753746.3199999998</v>
      </c>
    </row>
    <row r="20" spans="1:19">
      <c r="A20" s="138"/>
      <c r="B20" s="115" t="s">
        <v>226</v>
      </c>
      <c r="C20" s="3052" t="s">
        <v>3104</v>
      </c>
      <c r="D20" s="111">
        <f t="shared" si="1"/>
        <v>20830.169999999998</v>
      </c>
      <c r="E20" s="134">
        <f t="shared" si="2"/>
        <v>57666.67</v>
      </c>
      <c r="F20" s="135">
        <f>面积!E10+面积!E11</f>
        <v>57666.67</v>
      </c>
      <c r="G20" s="1368"/>
      <c r="H20" s="974">
        <f t="shared" ref="H20:H26" si="6">ROUND($D$3*I20/$E$3,2)</f>
        <v>7021.24</v>
      </c>
      <c r="I20" s="116">
        <f t="shared" ref="I20:I26" si="7">IF($I$17="自定义",P20,M20)</f>
        <v>19437.75</v>
      </c>
      <c r="J20" s="1985"/>
      <c r="K20" s="2633">
        <f t="shared" si="3"/>
        <v>19437.75</v>
      </c>
      <c r="L20" s="275">
        <f t="shared" si="4"/>
        <v>0</v>
      </c>
      <c r="M20" s="2634">
        <f t="shared" ref="M20:M26" si="8">K20+L20</f>
        <v>19437.75</v>
      </c>
      <c r="N20" s="2635"/>
      <c r="O20" s="2636"/>
      <c r="P20" s="2637">
        <f t="shared" ref="P20:P26" si="9">N20+O20</f>
        <v>0</v>
      </c>
      <c r="R20" s="275">
        <f t="shared" si="5"/>
        <v>27851.409999999996</v>
      </c>
      <c r="S20" s="2302">
        <f t="shared" si="5"/>
        <v>77104.42</v>
      </c>
    </row>
    <row r="21" spans="1:19">
      <c r="A21" s="138"/>
      <c r="B21" s="115" t="s">
        <v>226</v>
      </c>
      <c r="C21" s="3052" t="s">
        <v>3103</v>
      </c>
      <c r="D21" s="111">
        <f t="shared" si="1"/>
        <v>3988.2</v>
      </c>
      <c r="E21" s="134">
        <f t="shared" si="2"/>
        <v>11041</v>
      </c>
      <c r="F21" s="135"/>
      <c r="G21" s="1368">
        <f>面积!E15</f>
        <v>11041</v>
      </c>
      <c r="H21" s="974">
        <f t="shared" si="6"/>
        <v>1344.3</v>
      </c>
      <c r="I21" s="116">
        <f t="shared" si="7"/>
        <v>3721.6</v>
      </c>
      <c r="J21" s="1985"/>
      <c r="K21" s="2633">
        <f t="shared" si="3"/>
        <v>3721.6</v>
      </c>
      <c r="L21" s="275">
        <f t="shared" si="4"/>
        <v>0</v>
      </c>
      <c r="M21" s="2634">
        <f t="shared" si="8"/>
        <v>3721.6</v>
      </c>
      <c r="N21" s="2635"/>
      <c r="O21" s="2636"/>
      <c r="P21" s="2637">
        <f t="shared" si="9"/>
        <v>0</v>
      </c>
      <c r="R21" s="275">
        <f t="shared" si="5"/>
        <v>5332.5</v>
      </c>
      <c r="S21" s="2302">
        <f t="shared" si="5"/>
        <v>14762.6</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494279.91</v>
      </c>
      <c r="E27" s="143">
        <f>IF(SUM(E19:E26)='数据-基础表'!BA5,SUM(E19:E26),IF(F27="地上面积有误","面积有误","地下面积有误"))</f>
        <v>1368374.3399999999</v>
      </c>
      <c r="F27" s="134">
        <f>IF(SUM(F19:F26)=E8,SUM(F19:F26),"地上面积有误")</f>
        <v>1357333.3399999999</v>
      </c>
      <c r="G27" s="112">
        <f>SUM(G19:G26)</f>
        <v>11041</v>
      </c>
      <c r="H27" s="975">
        <f>SUM(H19:H26)</f>
        <v>172386.77999999997</v>
      </c>
      <c r="I27" s="976">
        <f>SUM(I19:I26)</f>
        <v>477239</v>
      </c>
      <c r="J27" s="1985"/>
      <c r="K27" s="2642">
        <f>SUM(K19:K26)</f>
        <v>461239</v>
      </c>
      <c r="L27" s="2643">
        <f>SUM(L19:L26)</f>
        <v>16000</v>
      </c>
      <c r="M27" s="2644">
        <f>SUM(M19:M26)</f>
        <v>477239</v>
      </c>
      <c r="N27" s="2642">
        <f t="shared" ref="N27:O27" si="10">SUM(N19:N26)</f>
        <v>0</v>
      </c>
      <c r="O27" s="2643">
        <f t="shared" si="10"/>
        <v>0</v>
      </c>
      <c r="P27" s="2645">
        <f>SUM(P19:P26)</f>
        <v>0</v>
      </c>
      <c r="R27" s="2306" t="str">
        <f>IF(SUM(R19:R26)=$D$3,SUM(R19:R26),SUM(R19:R26)&amp;"误差"&amp;ROUND(SUM(R19:R26)-$D$3,2))</f>
        <v>666666.69误差-0.01</v>
      </c>
      <c r="S27" s="275">
        <f>IF(SUM(S19:S26)=$E$3,SUM(S19:S26),SUM(S19:S26)&amp;"误差"&amp;ROUND(SUM(S19:S26)-E3,2))</f>
        <v>1845613.3399999999</v>
      </c>
    </row>
    <row r="28" spans="1:19">
      <c r="A28" s="138"/>
      <c r="B28" s="115" t="s">
        <v>227</v>
      </c>
      <c r="C28" s="136" t="s">
        <v>228</v>
      </c>
      <c r="D28" s="111">
        <f>ROUND($D$3*E28/$E$3,2)</f>
        <v>166607.31</v>
      </c>
      <c r="E28" s="134">
        <f>SUM(F28:G28)</f>
        <v>461239</v>
      </c>
      <c r="F28" s="144">
        <f>'数据-基础表'!BQ5+'数据-基础表'!BS5</f>
        <v>461239</v>
      </c>
      <c r="G28" s="145">
        <f>'数据-基础表'!BR5+'数据-基础表'!BT5</f>
        <v>0</v>
      </c>
      <c r="H28" s="1985"/>
      <c r="I28" s="1985"/>
      <c r="J28" s="1985"/>
      <c r="K28" s="1985"/>
      <c r="L28" s="1985"/>
    </row>
    <row r="29" spans="1:19">
      <c r="A29" s="138"/>
      <c r="B29" s="115" t="s">
        <v>227</v>
      </c>
      <c r="C29" s="2314" t="s">
        <v>2323</v>
      </c>
      <c r="D29" s="111">
        <f>ROUND($D$3*E29/$E$3,2)</f>
        <v>5779.47</v>
      </c>
      <c r="E29" s="134">
        <f>SUM(F29:G29)</f>
        <v>16000</v>
      </c>
      <c r="F29" s="144">
        <f>'数据-基础表'!BM5+'数据-基础表'!BO5</f>
        <v>16000</v>
      </c>
      <c r="G29" s="146">
        <f>'数据-基础表'!BN5+'数据-基础表'!BP5</f>
        <v>0</v>
      </c>
      <c r="H29" s="1985"/>
      <c r="I29" s="1985"/>
      <c r="J29" s="1985"/>
      <c r="K29" s="1985"/>
      <c r="L29" s="1985"/>
    </row>
    <row r="30" spans="1:19">
      <c r="A30" s="138"/>
      <c r="B30" s="111"/>
      <c r="C30" s="147" t="s">
        <v>215</v>
      </c>
      <c r="D30" s="134">
        <f>SUM(D28:D29)</f>
        <v>172386.78</v>
      </c>
      <c r="E30" s="134">
        <f>SUM(E28:E29)</f>
        <v>477239</v>
      </c>
      <c r="F30" s="134">
        <f>SUM(F28:F29)</f>
        <v>477239</v>
      </c>
      <c r="G30" s="112">
        <f>SUM(G28:G29)</f>
        <v>0</v>
      </c>
      <c r="H30" s="1985"/>
      <c r="I30" s="1985"/>
      <c r="J30" s="1985"/>
      <c r="K30" s="1985"/>
      <c r="L30" s="1985"/>
    </row>
    <row r="31" spans="1:19" ht="32.25" customHeight="1" thickBot="1">
      <c r="A31" s="1370"/>
      <c r="B31" s="1371" t="s">
        <v>229</v>
      </c>
      <c r="C31" s="2331" t="s">
        <v>2325</v>
      </c>
      <c r="D31" s="1372">
        <f>D27+D30</f>
        <v>666666.68999999994</v>
      </c>
      <c r="E31" s="1372">
        <f>E27+E30</f>
        <v>1845613.3399999999</v>
      </c>
      <c r="F31" s="1373">
        <f>F27+F30</f>
        <v>1834572.3399999999</v>
      </c>
      <c r="G31" s="1374">
        <f>G27+G30</f>
        <v>11041</v>
      </c>
      <c r="H31" s="1985"/>
      <c r="I31" s="1985"/>
      <c r="J31" s="1985"/>
      <c r="K31" s="1985"/>
      <c r="L31" s="1985"/>
    </row>
    <row r="32" spans="1:19">
      <c r="A32" s="1985"/>
      <c r="B32" s="2364" t="s">
        <v>2324</v>
      </c>
      <c r="C32" s="2673"/>
      <c r="D32" s="1201"/>
      <c r="E32" s="1201">
        <f>SUMIF(C19:C26,"*住宅*",E19:E26)</f>
        <v>1299666.67</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C2:K21"/>
  <sheetViews>
    <sheetView workbookViewId="0">
      <selection activeCell="I9" sqref="I9:J17"/>
    </sheetView>
  </sheetViews>
  <sheetFormatPr defaultRowHeight="13.5"/>
  <cols>
    <col min="4" max="4" width="11.625" bestFit="1" customWidth="1"/>
    <col min="5" max="5" width="12.625" customWidth="1"/>
    <col min="6" max="6" width="12.75" bestFit="1" customWidth="1"/>
    <col min="9" max="9" width="18.875" customWidth="1"/>
    <col min="10" max="10" width="16.25" customWidth="1"/>
    <col min="11" max="11" width="10.625" customWidth="1"/>
  </cols>
  <sheetData>
    <row r="2" spans="3:11">
      <c r="D2" s="3170" t="s">
        <v>3090</v>
      </c>
      <c r="E2" s="3170">
        <v>666666.69999999995</v>
      </c>
      <c r="F2" s="3170">
        <v>2.06</v>
      </c>
    </row>
    <row r="3" spans="3:11">
      <c r="D3" s="3176"/>
      <c r="F3" s="3176"/>
    </row>
    <row r="8" spans="3:11">
      <c r="D8" s="3170" t="s">
        <v>3098</v>
      </c>
      <c r="E8">
        <f>SUM(E9:E13)</f>
        <v>1373333.3399999999</v>
      </c>
      <c r="F8" s="3271">
        <f>E8+E17</f>
        <v>1845613.3399999999</v>
      </c>
      <c r="J8" s="3179"/>
      <c r="K8" s="3182"/>
    </row>
    <row r="9" spans="3:11">
      <c r="D9" s="3170" t="s">
        <v>3091</v>
      </c>
      <c r="E9">
        <v>1299666.67</v>
      </c>
      <c r="F9" s="3271"/>
      <c r="I9" s="3183" t="s">
        <v>3127</v>
      </c>
      <c r="J9" s="3183" t="s">
        <v>3126</v>
      </c>
      <c r="K9" s="3481"/>
    </row>
    <row r="10" spans="3:11">
      <c r="D10" s="3170" t="s">
        <v>3092</v>
      </c>
      <c r="E10">
        <v>53666.67</v>
      </c>
      <c r="F10" s="3271"/>
      <c r="I10" s="3181" t="s">
        <v>3119</v>
      </c>
      <c r="J10" s="3184">
        <v>1299666.67</v>
      </c>
      <c r="K10" s="3482"/>
    </row>
    <row r="11" spans="3:11">
      <c r="D11" s="3170" t="s">
        <v>3093</v>
      </c>
      <c r="E11">
        <v>4000</v>
      </c>
      <c r="F11" s="3271"/>
      <c r="I11" s="3181" t="s">
        <v>3120</v>
      </c>
      <c r="J11" s="3184">
        <f>E10</f>
        <v>53666.67</v>
      </c>
      <c r="K11" s="3482"/>
    </row>
    <row r="12" spans="3:11">
      <c r="D12" s="3170" t="s">
        <v>3094</v>
      </c>
      <c r="E12">
        <v>6000</v>
      </c>
      <c r="F12" s="3271"/>
      <c r="I12" s="3181" t="s">
        <v>3121</v>
      </c>
      <c r="J12" s="3184">
        <f>E11</f>
        <v>4000</v>
      </c>
      <c r="K12" s="3482"/>
    </row>
    <row r="13" spans="3:11">
      <c r="D13" s="3170" t="s">
        <v>3095</v>
      </c>
      <c r="E13">
        <v>10000</v>
      </c>
      <c r="F13" s="3271"/>
      <c r="I13" s="3181" t="s">
        <v>3122</v>
      </c>
      <c r="J13" s="3184">
        <f>E12</f>
        <v>6000</v>
      </c>
      <c r="K13" s="3482"/>
    </row>
    <row r="14" spans="3:11">
      <c r="D14" s="3170"/>
      <c r="F14" s="3271"/>
      <c r="I14" s="3181" t="s">
        <v>3123</v>
      </c>
      <c r="J14" s="3184">
        <f>E13</f>
        <v>10000</v>
      </c>
      <c r="K14" s="3482"/>
    </row>
    <row r="15" spans="3:11">
      <c r="D15" s="3170" t="s">
        <v>3096</v>
      </c>
      <c r="E15">
        <v>11041</v>
      </c>
      <c r="F15" s="3271"/>
      <c r="I15" s="3181" t="s">
        <v>3124</v>
      </c>
      <c r="J15" s="3184">
        <v>11041</v>
      </c>
      <c r="K15" s="3482"/>
    </row>
    <row r="16" spans="3:11">
      <c r="C16">
        <f>E17-E15</f>
        <v>461239</v>
      </c>
      <c r="F16" s="3271"/>
      <c r="I16" s="3181" t="s">
        <v>3125</v>
      </c>
      <c r="J16" s="3184">
        <v>461239</v>
      </c>
      <c r="K16" s="3482"/>
    </row>
    <row r="17" spans="3:10">
      <c r="C17">
        <f>C16/2</f>
        <v>230619.5</v>
      </c>
      <c r="D17" s="3170" t="s">
        <v>3097</v>
      </c>
      <c r="E17">
        <v>472280</v>
      </c>
      <c r="F17" s="3271"/>
      <c r="I17" s="3484" t="s">
        <v>3128</v>
      </c>
      <c r="J17" s="3483">
        <f>SUM(J10:J16)</f>
        <v>1845613.3399999999</v>
      </c>
    </row>
    <row r="19" spans="3:10">
      <c r="D19">
        <f>E8-E15</f>
        <v>1362292.3399999999</v>
      </c>
    </row>
    <row r="21" spans="3:10">
      <c r="D21">
        <f>F8-C17-E15</f>
        <v>1603952.8399999999</v>
      </c>
    </row>
  </sheetData>
  <mergeCells count="2">
    <mergeCell ref="F8:F17"/>
    <mergeCell ref="K10:K16"/>
  </mergeCells>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Y39" activePane="bottomRight" state="frozen"/>
      <selection pane="topRight" activeCell="D1" sqref="D1"/>
      <selection pane="bottomLeft" activeCell="A4" sqref="A4"/>
      <selection pane="bottomRight" activeCell="AH7" sqref="AH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43077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2836</v>
      </c>
      <c r="O5" s="163" t="s">
        <v>246</v>
      </c>
      <c r="P5" s="165" t="s">
        <v>247</v>
      </c>
      <c r="Q5" s="166" t="s">
        <v>248</v>
      </c>
      <c r="R5" s="167" t="s">
        <v>249</v>
      </c>
      <c r="S5" s="2646" t="s">
        <v>2578</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416" t="s">
        <v>2377</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923</v>
      </c>
      <c r="D6" s="2309">
        <f>SUMIF(项目基本情况!D$15:I$15,C6,项目基本情况!D$18:I$18)</f>
        <v>70</v>
      </c>
      <c r="E6" s="2310">
        <f>IF(B6="","",SUMIF(项目基本情况!D$15:I$15,C6,项目基本情况!D$17:I$17))</f>
        <v>68558</v>
      </c>
      <c r="F6" s="174">
        <f>SUMIF(项目基本情况!D$15:I$15,C6,项目基本情况!D$19:I$19)</f>
        <v>69.81</v>
      </c>
      <c r="G6" s="175">
        <f>IF(ISERROR(ROUND(POWER(1+H6,D6-F6)*(POWER(1+H6,F6)-1)/(POWER(1+H6,D6)-1),3)),0,ROUND(POWER(1+H6,D6-F6)*(POWER(1+H6,F6)-1)/(POWER(1+H6,D6)-1),3))</f>
        <v>1</v>
      </c>
      <c r="H6" s="3053">
        <v>4.4999999999999998E-2</v>
      </c>
      <c r="I6" s="3053">
        <v>5.5E-2</v>
      </c>
      <c r="J6" s="176">
        <v>0.08</v>
      </c>
      <c r="K6" s="179">
        <f>SUMIF('数据-汇总表'!C$19:C$33,'数据-取费表'!A6,'数据-汇总表'!E$19:E$33)</f>
        <v>1299666.67</v>
      </c>
      <c r="L6" s="3054">
        <v>2300</v>
      </c>
      <c r="M6" s="177">
        <f t="shared" ref="M6:M14" si="0">ROUND(K6*L6/10000,0)</f>
        <v>298923</v>
      </c>
      <c r="N6" s="3055">
        <v>0</v>
      </c>
      <c r="O6" s="177">
        <f>IF($N$5="成新度","——",ROUND(M6*N6,0))</f>
        <v>0</v>
      </c>
      <c r="P6" s="178">
        <f>IF($N$5="成新度","——",M6-O6)</f>
        <v>298923</v>
      </c>
      <c r="Q6" s="3171">
        <v>0.2</v>
      </c>
      <c r="R6" s="179">
        <f>SUMIF('数据-汇总表'!C$19:C$33,A6,'数据-汇总表'!R$19:R$33)</f>
        <v>633482.78</v>
      </c>
      <c r="S6" s="132">
        <f>IF('数据-汇总表'!$I$17="按面积比例",SUMIF('数据-汇总表'!C$19:C$33,A6,'数据-汇总表'!K$19:K$33),SUMIF('数据-汇总表'!C$19:C$33,A6,'数据-汇总表'!N$19:N$33))</f>
        <v>438079.65</v>
      </c>
      <c r="T6" s="2235">
        <f>IF($T$4="按面积比例",IF(ISERROR(ROUND($M$14*S6/S$16,0)),"0",ROUND($M$14*S6/S$16,0)),"需自行计算录入")</f>
        <v>78854</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1.4999999999999999E-2</v>
      </c>
      <c r="AL6" s="190">
        <v>2E-3</v>
      </c>
      <c r="AM6" s="3067">
        <v>0.03</v>
      </c>
      <c r="AN6" s="2417"/>
      <c r="AO6" s="2001"/>
      <c r="AP6" s="1204">
        <f>ROUND(1-1/(1+H6)^F6,3)</f>
        <v>0.95399999999999996</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地上商业</v>
      </c>
      <c r="B7" s="2338" t="str">
        <f t="shared" ref="B7:B13" si="1">IF(A7=0,"","经营性")</f>
        <v>经营性</v>
      </c>
      <c r="C7" s="173" t="s">
        <v>3100</v>
      </c>
      <c r="D7" s="2309">
        <f>SUMIF(项目基本情况!D$15:I$15,C7,项目基本情况!D$18:I$18)</f>
        <v>40</v>
      </c>
      <c r="E7" s="2310">
        <f>IF(B7="","",SUMIF(项目基本情况!D$15:I$15,C7,项目基本情况!D$17:I$17))</f>
        <v>57601</v>
      </c>
      <c r="F7" s="174">
        <f>SUMIF(项目基本情况!D$15:I$15,C7,项目基本情况!D$19:I$19)</f>
        <v>39.79</v>
      </c>
      <c r="G7" s="175">
        <f t="shared" ref="G7:G11" si="2">IF(ISERROR(ROUND(POWER(1+H7,D7-F7)*(POWER(1+H7,F7)-1)/(POWER(1+H7,D7)-1),3)),0,ROUND(POWER(1+H7,D7-F7)*(POWER(1+H7,F7)-1)/(POWER(1+H7,D7)-1),3))</f>
        <v>0.998</v>
      </c>
      <c r="H7" s="3053">
        <v>0.05</v>
      </c>
      <c r="I7" s="3053">
        <v>0.06</v>
      </c>
      <c r="J7" s="176">
        <v>8.5000000000000006E-2</v>
      </c>
      <c r="K7" s="179">
        <f>SUMIF('数据-汇总表'!C$19:C$33,'数据-取费表'!A7,'数据-汇总表'!E$19:E$33)</f>
        <v>57666.67</v>
      </c>
      <c r="L7" s="3054">
        <v>2500</v>
      </c>
      <c r="M7" s="177">
        <f t="shared" si="0"/>
        <v>14417</v>
      </c>
      <c r="N7" s="3055">
        <v>0</v>
      </c>
      <c r="O7" s="177">
        <f t="shared" ref="O7:O14" si="3">IF($N$5="成新度","——",ROUND(M7*N7,0))</f>
        <v>0</v>
      </c>
      <c r="P7" s="178">
        <f t="shared" ref="P7:P14" si="4">IF($N$5="成新度","——",M7-O7)</f>
        <v>14417</v>
      </c>
      <c r="Q7" s="3171">
        <v>0.2</v>
      </c>
      <c r="R7" s="179">
        <f>SUMIF('数据-汇总表'!C$19:C$33,A7,'数据-汇总表'!R$19:R$33)</f>
        <v>27851.409999999996</v>
      </c>
      <c r="S7" s="132">
        <f>IF('数据-汇总表'!$I$17="按面积比例",SUMIF('数据-汇总表'!C$19:C$33,A7,'数据-汇总表'!K$19:K$33),SUMIF('数据-汇总表'!C$19:C$33,A7,'数据-汇总表'!N$19:N$33))</f>
        <v>19437.75</v>
      </c>
      <c r="T7" s="2235">
        <f t="shared" ref="T7:T13" si="5">IF($T$4="按面积比例",IF(ISERROR(ROUND($M$14*S7/S$16,0)),"0",ROUND($M$14*S7/S$16,0)),"需自行计算录入")</f>
        <v>3499</v>
      </c>
      <c r="U7" s="180">
        <v>2</v>
      </c>
      <c r="V7" s="181">
        <v>0.02</v>
      </c>
      <c r="W7" s="181">
        <v>0.1</v>
      </c>
      <c r="X7" s="2322"/>
      <c r="Y7" s="182">
        <v>1</v>
      </c>
      <c r="Z7" s="183"/>
      <c r="AA7" s="176"/>
      <c r="AB7" s="176"/>
      <c r="AC7" s="2325"/>
      <c r="AD7" s="184"/>
      <c r="AE7" s="972">
        <f t="shared" ref="AE7:AE13" ca="1" si="6">IF(AN7="",0,SUMIF(INDIRECT("'"&amp;AN7&amp;"'"&amp;"!E:E"),$AE$5,INDIRECT("'"&amp;AN7&amp;"'"&amp;"!F:F")))</f>
        <v>39.79</v>
      </c>
      <c r="AF7" s="141"/>
      <c r="AG7" s="1213">
        <f t="shared" ref="AG7:AG13" si="7">IF(AF7="",0,AE7-AF7)</f>
        <v>0</v>
      </c>
      <c r="AH7" s="141">
        <f>面积!E10</f>
        <v>53666.67</v>
      </c>
      <c r="AI7" s="187">
        <v>365</v>
      </c>
      <c r="AJ7" s="188"/>
      <c r="AK7" s="189">
        <v>1.4999999999999999E-2</v>
      </c>
      <c r="AL7" s="190">
        <v>2E-3</v>
      </c>
      <c r="AM7" s="3067">
        <v>0.03</v>
      </c>
      <c r="AN7" s="2417" t="s">
        <v>3105</v>
      </c>
      <c r="AO7" s="2001"/>
      <c r="AP7" s="1204">
        <f t="shared" ref="AP7:AP13" si="8">ROUND(1-1/(1+H7)^F7,3)</f>
        <v>0.85599999999999998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地下车库</v>
      </c>
      <c r="B8" s="2338" t="str">
        <f t="shared" si="1"/>
        <v>经营性</v>
      </c>
      <c r="C8" s="173" t="s">
        <v>3102</v>
      </c>
      <c r="D8" s="2309">
        <f>SUMIF(项目基本情况!D$15:I$15,C8,项目基本情况!D$18:I$18)</f>
        <v>50</v>
      </c>
      <c r="E8" s="2310">
        <f>IF(B8="","",SUMIF(项目基本情况!D$15:I$15,C8,项目基本情况!D$17:I$17))</f>
        <v>61253</v>
      </c>
      <c r="F8" s="174">
        <f>SUMIF(项目基本情况!D$15:I$15,C8,项目基本情况!D$19:I$19)</f>
        <v>49.79</v>
      </c>
      <c r="G8" s="175">
        <f t="shared" si="2"/>
        <v>0.999</v>
      </c>
      <c r="H8" s="3053">
        <v>4.4999999999999998E-2</v>
      </c>
      <c r="I8" s="3053">
        <v>5.5E-2</v>
      </c>
      <c r="J8" s="176">
        <v>0.08</v>
      </c>
      <c r="K8" s="179">
        <f>SUMIF('数据-汇总表'!C$19:C$33,'数据-取费表'!A8,'数据-汇总表'!E$19:E$33)</f>
        <v>11041</v>
      </c>
      <c r="L8" s="3054">
        <v>1800</v>
      </c>
      <c r="M8" s="177">
        <f>ROUND(K8*L8/10000,0)</f>
        <v>1987</v>
      </c>
      <c r="N8" s="3055">
        <v>0</v>
      </c>
      <c r="O8" s="177">
        <f t="shared" si="3"/>
        <v>0</v>
      </c>
      <c r="P8" s="178">
        <f t="shared" si="4"/>
        <v>1987</v>
      </c>
      <c r="Q8" s="3056">
        <v>0.1</v>
      </c>
      <c r="R8" s="179">
        <f>SUMIF('数据-汇总表'!C$19:C$33,A8,'数据-汇总表'!R$19:R$33)</f>
        <v>5332.5</v>
      </c>
      <c r="S8" s="132">
        <f>IF('数据-汇总表'!$I$17="按面积比例",SUMIF('数据-汇总表'!C$19:C$33,A8,'数据-汇总表'!K$19:K$33),SUMIF('数据-汇总表'!C$19:C$33,A8,'数据-汇总表'!N$19:N$33))</f>
        <v>3721.6</v>
      </c>
      <c r="T8" s="2235">
        <f t="shared" si="5"/>
        <v>670</v>
      </c>
      <c r="U8" s="180"/>
      <c r="V8" s="181"/>
      <c r="W8" s="181"/>
      <c r="X8" s="2322"/>
      <c r="Y8" s="182"/>
      <c r="Z8" s="183"/>
      <c r="AA8" s="176"/>
      <c r="AB8" s="176"/>
      <c r="AC8" s="2325"/>
      <c r="AD8" s="184"/>
      <c r="AE8" s="972">
        <f t="shared" ca="1" si="6"/>
        <v>0</v>
      </c>
      <c r="AF8" s="141"/>
      <c r="AG8" s="1213">
        <f t="shared" si="7"/>
        <v>0</v>
      </c>
      <c r="AH8" s="141"/>
      <c r="AI8" s="187"/>
      <c r="AJ8" s="188"/>
      <c r="AK8" s="189">
        <v>1.4999999999999999E-2</v>
      </c>
      <c r="AL8" s="190">
        <v>2E-3</v>
      </c>
      <c r="AM8" s="3067">
        <v>0.03</v>
      </c>
      <c r="AN8" s="2417"/>
      <c r="AO8" s="2001"/>
      <c r="AP8" s="1204">
        <f t="shared" si="8"/>
        <v>0.88800000000000001</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2317</v>
      </c>
      <c r="B14" s="2307" t="s">
        <v>1680</v>
      </c>
      <c r="C14" s="2308" t="s">
        <v>2317</v>
      </c>
      <c r="D14" s="2309"/>
      <c r="E14" s="2310"/>
      <c r="F14" s="174"/>
      <c r="G14" s="175"/>
      <c r="H14" s="2311"/>
      <c r="I14" s="2311"/>
      <c r="J14" s="2311"/>
      <c r="K14" s="179">
        <f>SUMIF('数据-汇总表'!C$19:C$33,'数据-取费表'!A14,'数据-汇总表'!E$19:E$33)</f>
        <v>461239</v>
      </c>
      <c r="L14" s="193">
        <v>1800</v>
      </c>
      <c r="M14" s="177">
        <f t="shared" si="0"/>
        <v>83023</v>
      </c>
      <c r="N14" s="194"/>
      <c r="O14" s="177">
        <f t="shared" si="3"/>
        <v>0</v>
      </c>
      <c r="P14" s="178">
        <f t="shared" si="4"/>
        <v>83023</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2319</v>
      </c>
      <c r="B15" s="2307" t="s">
        <v>1680</v>
      </c>
      <c r="C15" s="2308" t="s">
        <v>2318</v>
      </c>
      <c r="D15" s="2309"/>
      <c r="E15" s="2310"/>
      <c r="F15" s="174"/>
      <c r="G15" s="175"/>
      <c r="H15" s="2311"/>
      <c r="I15" s="2311"/>
      <c r="J15" s="2311"/>
      <c r="K15" s="179">
        <f>SUMIF('数据-汇总表'!C$19:C$33,'数据-取费表'!A15,'数据-汇总表'!E$19:E$33)</f>
        <v>16000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1845613.3399999999</v>
      </c>
      <c r="L16" s="206">
        <f>ROUND(M16*10000/SUM(K6:K14),0)</f>
        <v>2177</v>
      </c>
      <c r="M16" s="206">
        <f>SUM(M6:M14)</f>
        <v>398350</v>
      </c>
      <c r="N16" s="207">
        <f>ROUND(SUMPRODUCT(M6:M14,N6:N14)/M16,3)</f>
        <v>0</v>
      </c>
      <c r="O16" s="206">
        <f>SUM(O6:O14)</f>
        <v>0</v>
      </c>
      <c r="P16" s="206">
        <f>SUM(P6:P14)</f>
        <v>398350</v>
      </c>
      <c r="Q16" s="208">
        <f>ROUND(SUMPRODUCT(Q6:Q13,K6:K13)/SUMPRODUCT((Q6:Q13&gt;0)*(K6:K13)),2)</f>
        <v>0.2</v>
      </c>
      <c r="R16" s="2312">
        <f>SUM(R6:R13)</f>
        <v>666666.69000000006</v>
      </c>
      <c r="S16" s="209">
        <f>SUM(S6:S13)</f>
        <v>461239</v>
      </c>
      <c r="T16" s="210">
        <f>IF(SUMIF(T6:T13,"&lt;9E307")=M14,SUMIF(T6:T13,"&lt;9E307"),"有误，请检查")</f>
        <v>83023</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0.94899999999999995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2339</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3</v>
      </c>
      <c r="C20" s="2365" t="s">
        <v>2338</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3</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3</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2341</v>
      </c>
      <c r="B27" s="227">
        <v>170</v>
      </c>
      <c r="C27" s="2368" t="s">
        <v>2345</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2342</v>
      </c>
      <c r="B28" s="229">
        <v>170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2340</v>
      </c>
      <c r="B29" s="232"/>
      <c r="C29" s="1553" t="s">
        <v>2343</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2902</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0.1</v>
      </c>
      <c r="C34" s="2366" t="s">
        <v>2903</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2904</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2905</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2906</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2906</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2461</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2462</v>
      </c>
      <c r="B40" s="2506">
        <f ca="1">存贷款利率!E2</f>
        <v>4.7500000000000001E-2</v>
      </c>
      <c r="C40" s="2366" t="s">
        <v>2344</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8">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2907</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2908</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2909</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2" t="s">
        <v>2910</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3" t="s">
        <v>2911</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3" t="s">
        <v>2912</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1097</v>
      </c>
      <c r="C53" s="3104" t="s">
        <v>2913</v>
      </c>
      <c r="D53" s="3105" t="s">
        <v>2914</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7" t="s">
        <v>2915</v>
      </c>
      <c r="B54" s="186">
        <v>5</v>
      </c>
      <c r="C54" s="1995">
        <v>30</v>
      </c>
      <c r="D54" s="3106"/>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7" t="s">
        <v>2916</v>
      </c>
      <c r="B55" s="186"/>
      <c r="C55" s="1995">
        <v>24</v>
      </c>
      <c r="D55" s="3106"/>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7" t="s">
        <v>2917</v>
      </c>
      <c r="B56" s="186"/>
      <c r="C56" s="1995">
        <v>18</v>
      </c>
      <c r="D56" s="3106"/>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7" t="s">
        <v>2918</v>
      </c>
      <c r="B57" s="186"/>
      <c r="C57" s="1995">
        <v>12</v>
      </c>
      <c r="D57" s="3106"/>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7" t="s">
        <v>2919</v>
      </c>
      <c r="B58" s="186"/>
      <c r="C58" s="1995">
        <v>3</v>
      </c>
      <c r="D58" s="3106"/>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7" t="s">
        <v>2920</v>
      </c>
      <c r="B59" s="186"/>
      <c r="C59" s="1995">
        <v>1.5</v>
      </c>
      <c r="D59" s="3106"/>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7" t="s">
        <v>2921</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7" t="s">
        <v>2922</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7" t="s">
        <v>2923</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8" t="s">
        <v>2924</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72" t="s">
        <v>1664</v>
      </c>
      <c r="B1" s="3273"/>
      <c r="C1" s="3273"/>
      <c r="D1" s="3273"/>
      <c r="E1" s="3273"/>
      <c r="F1" s="3273"/>
      <c r="G1" s="327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9" t="s">
        <v>2931</v>
      </c>
      <c r="D3" s="2010"/>
      <c r="E3" s="1229" t="s">
        <v>1667</v>
      </c>
      <c r="F3" s="1230" t="s">
        <v>1655</v>
      </c>
      <c r="G3" s="3113" t="s">
        <v>2930</v>
      </c>
      <c r="H3" s="2009"/>
      <c r="I3" s="2009"/>
      <c r="J3" s="2009"/>
      <c r="K3" s="2009"/>
      <c r="L3" s="2009"/>
      <c r="M3" s="2009"/>
      <c r="N3" s="2009"/>
      <c r="O3" s="2009"/>
      <c r="P3" s="2009"/>
      <c r="Q3" s="2009"/>
      <c r="R3" s="2009"/>
    </row>
    <row r="4" spans="1:18" ht="41.25">
      <c r="A4" s="1229"/>
      <c r="B4" s="1231" t="s">
        <v>1668</v>
      </c>
      <c r="C4" s="3110" t="s">
        <v>2932</v>
      </c>
      <c r="D4" s="2010"/>
      <c r="E4" s="1232"/>
      <c r="F4" s="1233" t="s">
        <v>1669</v>
      </c>
      <c r="G4" s="3111" t="s">
        <v>2927</v>
      </c>
      <c r="H4" s="2009"/>
      <c r="I4" s="2009"/>
      <c r="J4" s="2009"/>
      <c r="K4" s="2009"/>
      <c r="L4" s="2009"/>
      <c r="M4" s="2009"/>
      <c r="N4" s="2009"/>
      <c r="O4" s="2009"/>
      <c r="P4" s="2009"/>
      <c r="Q4" s="2009"/>
      <c r="R4" s="2009"/>
    </row>
    <row r="5" spans="1:18" ht="41.25">
      <c r="A5" s="1229"/>
      <c r="B5" s="1231" t="s">
        <v>1670</v>
      </c>
      <c r="C5" s="3110" t="s">
        <v>2933</v>
      </c>
      <c r="D5" s="2010"/>
      <c r="E5" s="1232"/>
      <c r="F5" s="1231" t="s">
        <v>2552</v>
      </c>
      <c r="G5" s="3111" t="s">
        <v>2928</v>
      </c>
      <c r="H5" s="2009"/>
      <c r="I5" s="2009"/>
      <c r="J5" s="2009"/>
      <c r="K5" s="2009"/>
      <c r="L5" s="2009"/>
      <c r="M5" s="2009"/>
      <c r="N5" s="2009"/>
      <c r="O5" s="2009"/>
      <c r="P5" s="2009"/>
      <c r="Q5" s="2009"/>
      <c r="R5" s="2009"/>
    </row>
    <row r="6" spans="1:18" ht="54">
      <c r="A6" s="1229"/>
      <c r="B6" s="1231" t="s">
        <v>1656</v>
      </c>
      <c r="C6" s="3111" t="s">
        <v>2927</v>
      </c>
      <c r="D6" s="2010"/>
      <c r="E6" s="1232"/>
      <c r="F6" s="1231" t="s">
        <v>2553</v>
      </c>
      <c r="G6" s="3111" t="s">
        <v>2925</v>
      </c>
      <c r="H6" s="2009"/>
      <c r="I6" s="2009"/>
      <c r="J6" s="2009"/>
      <c r="K6" s="2009"/>
      <c r="L6" s="2009"/>
      <c r="M6" s="2009"/>
      <c r="N6" s="2009"/>
      <c r="O6" s="2009"/>
      <c r="P6" s="2009"/>
      <c r="Q6" s="2009"/>
      <c r="R6" s="2009"/>
    </row>
    <row r="7" spans="1:18" ht="41.25" thickBot="1">
      <c r="A7" s="1229"/>
      <c r="B7" s="1231" t="s">
        <v>2552</v>
      </c>
      <c r="C7" s="3111" t="s">
        <v>2928</v>
      </c>
      <c r="D7" s="2011"/>
      <c r="E7" s="1234"/>
      <c r="F7" s="1235" t="s">
        <v>1671</v>
      </c>
      <c r="G7" s="3114" t="s">
        <v>2929</v>
      </c>
      <c r="H7" s="2009"/>
      <c r="I7" s="2009"/>
      <c r="J7" s="2009"/>
      <c r="K7" s="2009"/>
      <c r="L7" s="2009"/>
      <c r="M7" s="2009"/>
      <c r="N7" s="2009"/>
      <c r="O7" s="2009"/>
      <c r="P7" s="2009"/>
      <c r="Q7" s="2009"/>
      <c r="R7" s="2009"/>
    </row>
    <row r="8" spans="1:18" ht="27">
      <c r="A8" s="1229"/>
      <c r="B8" s="1231" t="s">
        <v>2553</v>
      </c>
      <c r="C8" s="3111" t="s">
        <v>2925</v>
      </c>
      <c r="D8" s="2011"/>
      <c r="E8" s="2011"/>
      <c r="F8" s="1554"/>
      <c r="G8" s="1554"/>
      <c r="H8" s="2009"/>
      <c r="I8" s="2009"/>
      <c r="J8" s="2009"/>
      <c r="K8" s="2009"/>
      <c r="L8" s="2009"/>
      <c r="M8" s="2009"/>
      <c r="N8" s="2009"/>
      <c r="O8" s="2009"/>
      <c r="P8" s="2009"/>
      <c r="Q8" s="2009"/>
      <c r="R8" s="2009"/>
    </row>
    <row r="9" spans="1:18" ht="40.5">
      <c r="A9" s="1229"/>
      <c r="B9" s="1231" t="s">
        <v>1657</v>
      </c>
      <c r="C9" s="3110" t="s">
        <v>2926</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12"/>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21"/>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21"/>
      <c r="D19" s="2010"/>
      <c r="E19" s="2611"/>
      <c r="F19" s="1231" t="s">
        <v>2552</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2553</v>
      </c>
      <c r="G20" s="1005" t="str">
        <f>G6</f>
        <v>估价对象所在区域基础设施水平</v>
      </c>
    </row>
    <row r="21" spans="1:7" ht="27">
      <c r="A21" s="2614"/>
      <c r="B21" s="1231" t="s">
        <v>2552</v>
      </c>
      <c r="C21" s="1005" t="str">
        <f>C7</f>
        <v>估价对象所在区域公共配套设施齐备情况</v>
      </c>
      <c r="D21" s="2010"/>
      <c r="E21" s="2611"/>
      <c r="F21" s="1247" t="s">
        <v>1662</v>
      </c>
      <c r="G21" s="3115"/>
    </row>
    <row r="22" spans="1:7" ht="27">
      <c r="A22" s="2614"/>
      <c r="B22" s="1231" t="s">
        <v>2553</v>
      </c>
      <c r="C22" s="1005" t="str">
        <f>C8</f>
        <v>估价对象所在区域基础设施水平</v>
      </c>
      <c r="D22" s="2010"/>
      <c r="E22" s="2611"/>
      <c r="F22" s="1247" t="s">
        <v>1672</v>
      </c>
      <c r="G22" s="2821"/>
    </row>
    <row r="23" spans="1:7" ht="15" thickBot="1">
      <c r="A23" s="2614"/>
      <c r="B23" s="1247" t="s">
        <v>1662</v>
      </c>
      <c r="C23" s="3115"/>
      <c r="E23" s="2612"/>
      <c r="F23" s="1248" t="s">
        <v>1676</v>
      </c>
      <c r="G23" s="3116"/>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3" t="s">
        <v>2852</v>
      </c>
      <c r="B1" s="3073">
        <f>SUM(B14:B23)</f>
        <v>1845613.3399999999</v>
      </c>
      <c r="C1" s="3074"/>
      <c r="D1" s="3074"/>
      <c r="E1" s="3074"/>
      <c r="F1" s="3074"/>
    </row>
    <row r="2" spans="1:9" ht="16.5">
      <c r="A2" s="3073" t="s">
        <v>2853</v>
      </c>
      <c r="B2" s="3073">
        <f>SUM(C14:C23)</f>
        <v>666666.69999999995</v>
      </c>
      <c r="C2" s="3074"/>
      <c r="D2" s="3074"/>
      <c r="E2" s="3074"/>
      <c r="F2" s="3074"/>
    </row>
    <row r="3" spans="1:9" ht="16.5">
      <c r="A3" s="3073" t="s">
        <v>2854</v>
      </c>
      <c r="B3" s="3075">
        <f>项目基本情况!D3</f>
        <v>43077</v>
      </c>
      <c r="C3" s="3074"/>
      <c r="D3" s="3074"/>
      <c r="E3" s="3074"/>
      <c r="F3" s="3074"/>
    </row>
    <row r="4" spans="1:9" ht="33">
      <c r="A4" s="3073" t="s">
        <v>2855</v>
      </c>
      <c r="B4" s="3073" t="s">
        <v>2856</v>
      </c>
      <c r="C4" s="3073" t="s">
        <v>2857</v>
      </c>
      <c r="D4" s="3073" t="s">
        <v>2858</v>
      </c>
      <c r="E4" s="3074"/>
      <c r="F4" s="3074"/>
    </row>
    <row r="5" spans="1:9" ht="16.5">
      <c r="A5" s="3073" t="s">
        <v>2859</v>
      </c>
      <c r="B5" s="3073">
        <f ca="1">SUM(D14:D23)</f>
        <v>241609</v>
      </c>
      <c r="C5" s="3073">
        <f ca="1">ROUND(B5*10000/$B$1,0)</f>
        <v>1309</v>
      </c>
      <c r="D5" s="3073">
        <f ca="1">ROUND(B5*10000/$B$2,0)</f>
        <v>3624</v>
      </c>
      <c r="E5" s="3074"/>
      <c r="F5" s="3074"/>
    </row>
    <row r="6" spans="1:9" ht="16.5">
      <c r="A6" s="3073" t="s">
        <v>2860</v>
      </c>
      <c r="B6" s="3073">
        <f>SUM(G14:G23)</f>
        <v>0</v>
      </c>
      <c r="C6" s="3073">
        <f t="shared" ref="C6:C8" si="0">ROUND(B6*10000/$B$1,0)</f>
        <v>0</v>
      </c>
      <c r="D6" s="3073">
        <f t="shared" ref="D6:D8" si="1">ROUND(B6*10000/$B$2,0)</f>
        <v>0</v>
      </c>
      <c r="E6" s="3074"/>
      <c r="F6" s="3074"/>
    </row>
    <row r="7" spans="1:9" ht="16.5">
      <c r="A7" s="3073" t="s">
        <v>2861</v>
      </c>
      <c r="B7" s="3073">
        <f>SUM(H14:H23)</f>
        <v>0</v>
      </c>
      <c r="C7" s="3073">
        <f t="shared" si="0"/>
        <v>0</v>
      </c>
      <c r="D7" s="3073">
        <f t="shared" si="1"/>
        <v>0</v>
      </c>
      <c r="E7" s="3074"/>
      <c r="F7" s="3074"/>
    </row>
    <row r="8" spans="1:9" ht="16.5">
      <c r="A8" s="3073" t="s">
        <v>2862</v>
      </c>
      <c r="B8" s="3073">
        <f>SUM(I14:I23)</f>
        <v>0</v>
      </c>
      <c r="C8" s="3073">
        <f t="shared" si="0"/>
        <v>0</v>
      </c>
      <c r="D8" s="3073">
        <f t="shared" si="1"/>
        <v>0</v>
      </c>
      <c r="E8" s="3074"/>
      <c r="F8" s="3074"/>
    </row>
    <row r="9" spans="1:9" ht="16.5">
      <c r="A9" s="3073" t="s">
        <v>2863</v>
      </c>
      <c r="B9" s="3076"/>
      <c r="C9" s="3074"/>
      <c r="D9" s="3074"/>
      <c r="E9" s="3074"/>
      <c r="F9" s="3074"/>
    </row>
    <row r="10" spans="1:9" ht="16.5">
      <c r="A10" s="3073" t="s">
        <v>2864</v>
      </c>
      <c r="B10" s="3076"/>
      <c r="C10" s="3074"/>
      <c r="D10" s="3074"/>
      <c r="E10" s="3074"/>
      <c r="F10" s="3074"/>
    </row>
    <row r="11" spans="1:9" ht="16.5">
      <c r="A11" s="3073" t="s">
        <v>2881</v>
      </c>
      <c r="B11" s="3076"/>
      <c r="C11" s="3074"/>
      <c r="D11" s="3074"/>
      <c r="E11" s="3074"/>
      <c r="F11" s="3074"/>
    </row>
    <row r="12" spans="1:9" ht="16.5">
      <c r="A12" s="3074"/>
      <c r="B12" s="3074"/>
      <c r="C12" s="3074"/>
      <c r="D12" s="3074"/>
      <c r="E12" s="3074"/>
      <c r="F12" s="3074"/>
    </row>
    <row r="13" spans="1:9" ht="33">
      <c r="A13" s="3079" t="s">
        <v>2880</v>
      </c>
      <c r="B13" s="3077" t="s">
        <v>2852</v>
      </c>
      <c r="C13" s="3077" t="s">
        <v>2853</v>
      </c>
      <c r="D13" s="3077" t="s">
        <v>2865</v>
      </c>
      <c r="E13" s="3073" t="s">
        <v>2879</v>
      </c>
      <c r="F13" s="3073" t="s">
        <v>2858</v>
      </c>
      <c r="G13" s="3077" t="s">
        <v>2866</v>
      </c>
      <c r="H13" s="3077" t="s">
        <v>2867</v>
      </c>
      <c r="I13" s="3077" t="s">
        <v>2868</v>
      </c>
    </row>
    <row r="14" spans="1:9" ht="16.5">
      <c r="A14" s="3080" t="s">
        <v>2878</v>
      </c>
      <c r="B14" s="3077">
        <f>结果表!L38</f>
        <v>1845613.3399999999</v>
      </c>
      <c r="C14" s="3077">
        <f>结果表!K38</f>
        <v>666666.69999999995</v>
      </c>
      <c r="D14" s="3077">
        <f ca="1">结果表!C42</f>
        <v>241609</v>
      </c>
      <c r="E14" s="3077">
        <f ca="1">ROUND(D14*10000/B14,0)</f>
        <v>1309</v>
      </c>
      <c r="F14" s="3077">
        <f ca="1">ROUND(D14*10000/C14,0)</f>
        <v>3624</v>
      </c>
      <c r="G14" s="3077" t="str">
        <f>结果表!C44</f>
        <v>——</v>
      </c>
      <c r="H14" s="3077" t="str">
        <f>结果表!C45</f>
        <v>——</v>
      </c>
      <c r="I14" s="3077" t="str">
        <f>结果表!C46</f>
        <v>——</v>
      </c>
    </row>
    <row r="15" spans="1:9" ht="16.5">
      <c r="A15" s="3080" t="s">
        <v>2869</v>
      </c>
      <c r="B15" s="3081"/>
      <c r="C15" s="3081"/>
      <c r="D15" s="3081"/>
      <c r="E15" s="3077" t="e">
        <f t="shared" ref="E15:E23" si="2">ROUND(D15*10000/B15,0)</f>
        <v>#DIV/0!</v>
      </c>
      <c r="F15" s="3077" t="e">
        <f t="shared" ref="F15:F23" si="3">ROUND(D15*10000/C15,0)</f>
        <v>#DIV/0!</v>
      </c>
      <c r="G15" s="3078"/>
      <c r="H15" s="3078"/>
      <c r="I15" s="3081"/>
    </row>
    <row r="16" spans="1:9" ht="16.5">
      <c r="A16" s="3080" t="s">
        <v>2870</v>
      </c>
      <c r="B16" s="3081"/>
      <c r="C16" s="3081"/>
      <c r="D16" s="3081"/>
      <c r="E16" s="3077" t="e">
        <f t="shared" si="2"/>
        <v>#DIV/0!</v>
      </c>
      <c r="F16" s="3077" t="e">
        <f t="shared" si="3"/>
        <v>#DIV/0!</v>
      </c>
      <c r="G16" s="3078"/>
      <c r="H16" s="3078"/>
      <c r="I16" s="3081"/>
    </row>
    <row r="17" spans="1:9" ht="16.5">
      <c r="A17" s="3080" t="s">
        <v>2871</v>
      </c>
      <c r="B17" s="3081"/>
      <c r="C17" s="3081"/>
      <c r="D17" s="3081"/>
      <c r="E17" s="3077" t="e">
        <f t="shared" si="2"/>
        <v>#DIV/0!</v>
      </c>
      <c r="F17" s="3077" t="e">
        <f t="shared" si="3"/>
        <v>#DIV/0!</v>
      </c>
      <c r="G17" s="3078"/>
      <c r="H17" s="3078"/>
      <c r="I17" s="3081"/>
    </row>
    <row r="18" spans="1:9" ht="16.5">
      <c r="A18" s="3080" t="s">
        <v>2872</v>
      </c>
      <c r="B18" s="3081"/>
      <c r="C18" s="3081"/>
      <c r="D18" s="3081"/>
      <c r="E18" s="3077" t="e">
        <f t="shared" si="2"/>
        <v>#DIV/0!</v>
      </c>
      <c r="F18" s="3077" t="e">
        <f t="shared" si="3"/>
        <v>#DIV/0!</v>
      </c>
      <c r="G18" s="3081"/>
      <c r="H18" s="3081"/>
      <c r="I18" s="3081"/>
    </row>
    <row r="19" spans="1:9" ht="16.5">
      <c r="A19" s="3080" t="s">
        <v>2873</v>
      </c>
      <c r="B19" s="3081"/>
      <c r="C19" s="3081"/>
      <c r="D19" s="3081"/>
      <c r="E19" s="3077" t="e">
        <f t="shared" si="2"/>
        <v>#DIV/0!</v>
      </c>
      <c r="F19" s="3077" t="e">
        <f t="shared" si="3"/>
        <v>#DIV/0!</v>
      </c>
      <c r="G19" s="3081"/>
      <c r="H19" s="3081"/>
      <c r="I19" s="3081"/>
    </row>
    <row r="20" spans="1:9" ht="16.5">
      <c r="A20" s="3080" t="s">
        <v>2874</v>
      </c>
      <c r="B20" s="3081"/>
      <c r="C20" s="3081"/>
      <c r="D20" s="3081"/>
      <c r="E20" s="3077" t="e">
        <f t="shared" si="2"/>
        <v>#DIV/0!</v>
      </c>
      <c r="F20" s="3077" t="e">
        <f t="shared" si="3"/>
        <v>#DIV/0!</v>
      </c>
      <c r="G20" s="3081"/>
      <c r="H20" s="3081"/>
      <c r="I20" s="3081"/>
    </row>
    <row r="21" spans="1:9" ht="16.5">
      <c r="A21" s="3080" t="s">
        <v>2875</v>
      </c>
      <c r="B21" s="3081"/>
      <c r="C21" s="3081"/>
      <c r="D21" s="3081"/>
      <c r="E21" s="3077" t="e">
        <f t="shared" si="2"/>
        <v>#DIV/0!</v>
      </c>
      <c r="F21" s="3077" t="e">
        <f t="shared" si="3"/>
        <v>#DIV/0!</v>
      </c>
      <c r="G21" s="3081"/>
      <c r="H21" s="3081"/>
      <c r="I21" s="3081"/>
    </row>
    <row r="22" spans="1:9" ht="16.5">
      <c r="A22" s="3080" t="s">
        <v>2876</v>
      </c>
      <c r="B22" s="3081"/>
      <c r="C22" s="3081"/>
      <c r="D22" s="3081"/>
      <c r="E22" s="3077" t="e">
        <f t="shared" si="2"/>
        <v>#DIV/0!</v>
      </c>
      <c r="F22" s="3077" t="e">
        <f t="shared" si="3"/>
        <v>#DIV/0!</v>
      </c>
      <c r="G22" s="3081"/>
      <c r="H22" s="3081"/>
      <c r="I22" s="3081"/>
    </row>
    <row r="23" spans="1:9" ht="16.5">
      <c r="A23" s="3080" t="s">
        <v>2877</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topLeftCell="A10" zoomScaleNormal="100" zoomScaleSheetLayoutView="100" zoomScalePageLayoutView="80" workbookViewId="0">
      <selection activeCell="H27" sqref="H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t="s">
        <v>3085</v>
      </c>
      <c r="E1" s="1806" t="s">
        <v>2060</v>
      </c>
      <c r="F1" s="1808" t="s">
        <v>3086</v>
      </c>
      <c r="G1" s="311"/>
      <c r="H1" s="311"/>
      <c r="I1" s="311"/>
      <c r="J1" s="2030"/>
      <c r="K1" s="2030"/>
      <c r="L1" s="2030"/>
      <c r="M1" s="2030"/>
      <c r="N1" s="2030"/>
      <c r="O1" s="2030"/>
      <c r="P1" s="2030"/>
      <c r="Q1" s="2030"/>
      <c r="R1" s="2030"/>
      <c r="S1" s="2030"/>
      <c r="T1" s="2030"/>
      <c r="U1" s="2030"/>
      <c r="V1" s="2030"/>
    </row>
    <row r="2" spans="1:22" ht="21.75" customHeight="1" thickBot="1">
      <c r="A2" s="3319" t="str">
        <f>项目基本情况!K2</f>
        <v>郑州市荥阳市出让国有建设用地使用权</v>
      </c>
      <c r="B2" s="3320"/>
      <c r="C2" s="3321"/>
      <c r="D2" s="3321"/>
      <c r="E2" s="3321"/>
      <c r="F2" s="3321"/>
      <c r="G2" s="3320"/>
      <c r="H2" s="3320"/>
      <c r="I2" s="3322"/>
      <c r="J2" s="2031"/>
      <c r="K2" s="2030"/>
      <c r="L2" s="2030"/>
      <c r="M2" s="2030"/>
      <c r="N2" s="2030"/>
      <c r="O2" s="2030"/>
      <c r="P2" s="2030"/>
      <c r="Q2" s="2030"/>
      <c r="R2" s="2030"/>
      <c r="S2" s="2030"/>
      <c r="T2" s="2030"/>
      <c r="U2" s="2030"/>
      <c r="V2" s="2030"/>
    </row>
    <row r="3" spans="1:22" ht="14.25">
      <c r="A3" s="3330" t="s">
        <v>298</v>
      </c>
      <c r="B3" s="3331"/>
      <c r="C3" s="3331"/>
      <c r="D3" s="3331"/>
      <c r="E3" s="3331"/>
      <c r="F3" s="3331"/>
      <c r="G3" s="3331"/>
      <c r="H3" s="3331"/>
      <c r="I3" s="3331"/>
      <c r="J3" s="2031"/>
      <c r="K3" s="2030"/>
      <c r="L3" s="2030"/>
      <c r="M3" s="2030"/>
      <c r="N3" s="2030"/>
      <c r="O3" s="2030"/>
      <c r="P3" s="2030"/>
      <c r="Q3" s="2030"/>
      <c r="R3" s="2030"/>
      <c r="S3" s="2030"/>
      <c r="T3" s="2030"/>
      <c r="U3" s="2030"/>
      <c r="V3" s="2030"/>
    </row>
    <row r="4" spans="1:22" ht="14.25">
      <c r="A4" s="258" t="s">
        <v>299</v>
      </c>
      <c r="B4" s="259" t="s">
        <v>300</v>
      </c>
      <c r="C4" s="260" t="s">
        <v>3083</v>
      </c>
      <c r="D4" s="260" t="s">
        <v>3084</v>
      </c>
      <c r="E4" s="3294" t="s">
        <v>301</v>
      </c>
      <c r="F4" s="3336"/>
      <c r="G4" s="3336"/>
      <c r="H4" s="3336"/>
      <c r="I4" s="3295"/>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323" t="s">
        <v>302</v>
      </c>
      <c r="B5" s="3324">
        <v>25</v>
      </c>
      <c r="C5" s="3332"/>
      <c r="D5" s="3335"/>
      <c r="E5" s="261" t="s">
        <v>303</v>
      </c>
      <c r="F5" s="262"/>
      <c r="G5" s="262"/>
      <c r="H5" s="262"/>
      <c r="I5" s="263"/>
      <c r="J5" s="2031"/>
      <c r="K5" s="2030"/>
      <c r="L5" s="2030"/>
      <c r="M5" s="2030"/>
      <c r="N5" s="2030"/>
      <c r="O5" s="2030"/>
      <c r="P5" s="2030"/>
      <c r="Q5" s="2030"/>
      <c r="R5" s="2030"/>
      <c r="S5" s="2030"/>
      <c r="T5" s="2030"/>
      <c r="U5" s="2030"/>
      <c r="V5" s="2030"/>
    </row>
    <row r="6" spans="1:22" ht="14.25">
      <c r="A6" s="3323"/>
      <c r="B6" s="3324"/>
      <c r="C6" s="3333"/>
      <c r="D6" s="3335"/>
      <c r="E6" s="261" t="s">
        <v>304</v>
      </c>
      <c r="F6" s="262"/>
      <c r="G6" s="262"/>
      <c r="H6" s="262"/>
      <c r="I6" s="263"/>
      <c r="J6" s="2031"/>
      <c r="K6" s="2030"/>
      <c r="L6" s="2030"/>
      <c r="M6" s="2030"/>
      <c r="N6" s="2030"/>
      <c r="O6" s="2030"/>
      <c r="P6" s="2030"/>
      <c r="Q6" s="2030"/>
      <c r="R6" s="2030"/>
      <c r="S6" s="2030"/>
      <c r="T6" s="2030"/>
      <c r="U6" s="2030"/>
      <c r="V6" s="2030"/>
    </row>
    <row r="7" spans="1:22" ht="14.25">
      <c r="A7" s="3323"/>
      <c r="B7" s="3324"/>
      <c r="C7" s="3334"/>
      <c r="D7" s="3335"/>
      <c r="E7" s="261" t="s">
        <v>305</v>
      </c>
      <c r="F7" s="262"/>
      <c r="G7" s="262"/>
      <c r="H7" s="262"/>
      <c r="I7" s="263"/>
      <c r="J7" s="2031"/>
      <c r="K7" s="2030"/>
      <c r="L7" s="2030"/>
      <c r="M7" s="2030"/>
      <c r="N7" s="2030"/>
      <c r="O7" s="2030"/>
      <c r="P7" s="2030"/>
      <c r="Q7" s="2030"/>
      <c r="R7" s="2030"/>
      <c r="S7" s="2030"/>
      <c r="T7" s="2030"/>
      <c r="U7" s="2030"/>
      <c r="V7" s="2030"/>
    </row>
    <row r="8" spans="1:22" ht="14.25">
      <c r="A8" s="3323" t="s">
        <v>306</v>
      </c>
      <c r="B8" s="3324">
        <v>15</v>
      </c>
      <c r="C8" s="3332"/>
      <c r="D8" s="3335"/>
      <c r="E8" s="261" t="s">
        <v>307</v>
      </c>
      <c r="F8" s="262"/>
      <c r="G8" s="262"/>
      <c r="H8" s="262"/>
      <c r="I8" s="263"/>
      <c r="J8" s="2031"/>
      <c r="K8" s="2030"/>
      <c r="L8" s="2030"/>
      <c r="M8" s="2030"/>
      <c r="N8" s="2030"/>
      <c r="O8" s="2030"/>
      <c r="P8" s="2030"/>
      <c r="Q8" s="2030"/>
      <c r="R8" s="2030"/>
      <c r="S8" s="2030"/>
      <c r="T8" s="2030"/>
      <c r="U8" s="2030"/>
      <c r="V8" s="2030"/>
    </row>
    <row r="9" spans="1:22" ht="14.25">
      <c r="A9" s="3323"/>
      <c r="B9" s="3324"/>
      <c r="C9" s="3334"/>
      <c r="D9" s="3335"/>
      <c r="E9" s="261" t="s">
        <v>308</v>
      </c>
      <c r="F9" s="262"/>
      <c r="G9" s="262"/>
      <c r="H9" s="262"/>
      <c r="I9" s="263"/>
      <c r="J9" s="2031"/>
      <c r="K9" s="2030"/>
      <c r="L9" s="2030"/>
      <c r="M9" s="2030"/>
      <c r="N9" s="2030"/>
      <c r="O9" s="2030"/>
      <c r="P9" s="2030"/>
      <c r="Q9" s="2030"/>
      <c r="R9" s="2030"/>
      <c r="S9" s="2030"/>
      <c r="T9" s="2030"/>
      <c r="U9" s="2030"/>
      <c r="V9" s="2030"/>
    </row>
    <row r="10" spans="1:22" ht="14.25">
      <c r="A10" s="3323" t="s">
        <v>309</v>
      </c>
      <c r="B10" s="3324">
        <v>15</v>
      </c>
      <c r="C10" s="3332"/>
      <c r="D10" s="3335"/>
      <c r="E10" s="261" t="s">
        <v>310</v>
      </c>
      <c r="F10" s="262"/>
      <c r="G10" s="262"/>
      <c r="H10" s="262"/>
      <c r="I10" s="263"/>
      <c r="J10" s="2031"/>
      <c r="K10" s="2030"/>
      <c r="L10" s="2030"/>
      <c r="M10" s="2030"/>
      <c r="N10" s="2030"/>
      <c r="O10" s="2030"/>
      <c r="P10" s="2030"/>
      <c r="Q10" s="2030"/>
      <c r="R10" s="2030"/>
      <c r="S10" s="2030"/>
      <c r="T10" s="2030"/>
      <c r="U10" s="2030"/>
      <c r="V10" s="2030"/>
    </row>
    <row r="11" spans="1:22" ht="14.25">
      <c r="A11" s="3323"/>
      <c r="B11" s="3324"/>
      <c r="C11" s="3334"/>
      <c r="D11" s="3335"/>
      <c r="E11" s="261" t="s">
        <v>311</v>
      </c>
      <c r="F11" s="262"/>
      <c r="G11" s="262"/>
      <c r="H11" s="262"/>
      <c r="I11" s="263"/>
      <c r="J11" s="2031"/>
      <c r="K11" s="2030"/>
      <c r="L11" s="2030"/>
      <c r="M11" s="2030">
        <f ca="1">G19*10000/(面积!E8+面积!C17)</f>
        <v>1506.334812188119</v>
      </c>
      <c r="N11" s="2030"/>
      <c r="O11" s="2030"/>
      <c r="P11" s="2030"/>
      <c r="Q11" s="2030"/>
      <c r="R11" s="2030"/>
      <c r="S11" s="2030"/>
      <c r="T11" s="2030"/>
      <c r="U11" s="2030"/>
      <c r="V11" s="2030"/>
    </row>
    <row r="12" spans="1:22" ht="14.25">
      <c r="A12" s="3323" t="s">
        <v>312</v>
      </c>
      <c r="B12" s="3324">
        <v>15</v>
      </c>
      <c r="C12" s="3332"/>
      <c r="D12" s="3335"/>
      <c r="E12" s="261" t="s">
        <v>313</v>
      </c>
      <c r="F12" s="262"/>
      <c r="G12" s="262"/>
      <c r="H12" s="262"/>
      <c r="I12" s="263"/>
      <c r="J12" s="2031"/>
      <c r="K12" s="2030"/>
      <c r="L12" s="2030"/>
      <c r="M12" s="2030"/>
      <c r="N12" s="2030"/>
      <c r="O12" s="2030"/>
      <c r="P12" s="2030"/>
      <c r="Q12" s="2030"/>
      <c r="R12" s="2030"/>
      <c r="S12" s="2030"/>
      <c r="T12" s="2030"/>
      <c r="U12" s="2030"/>
      <c r="V12" s="2030"/>
    </row>
    <row r="13" spans="1:22" ht="14.25">
      <c r="A13" s="3323"/>
      <c r="B13" s="3324"/>
      <c r="C13" s="3334"/>
      <c r="D13" s="3335"/>
      <c r="E13" s="261" t="s">
        <v>314</v>
      </c>
      <c r="F13" s="262"/>
      <c r="G13" s="262"/>
      <c r="H13" s="262"/>
      <c r="I13" s="263"/>
      <c r="J13" s="2031"/>
      <c r="K13" s="2030"/>
      <c r="L13" s="2030"/>
      <c r="M13" s="2030"/>
      <c r="N13" s="2030"/>
      <c r="O13" s="2030"/>
      <c r="P13" s="2030"/>
      <c r="Q13" s="2030"/>
      <c r="R13" s="2030"/>
      <c r="S13" s="2030"/>
      <c r="T13" s="2030"/>
      <c r="U13" s="2030"/>
      <c r="V13" s="2030"/>
    </row>
    <row r="14" spans="1:22" ht="14.25">
      <c r="A14" s="3323" t="s">
        <v>315</v>
      </c>
      <c r="B14" s="3324">
        <v>30</v>
      </c>
      <c r="C14" s="3332">
        <v>7</v>
      </c>
      <c r="D14" s="3335">
        <v>3</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23"/>
      <c r="B15" s="3324"/>
      <c r="C15" s="3333"/>
      <c r="D15" s="3335"/>
      <c r="E15" s="261" t="s">
        <v>317</v>
      </c>
      <c r="F15" s="262"/>
      <c r="G15" s="262"/>
      <c r="H15" s="262"/>
      <c r="I15" s="263"/>
      <c r="J15" s="2031"/>
      <c r="K15" s="2030"/>
      <c r="L15" s="2030"/>
      <c r="M15" s="2030"/>
      <c r="N15" s="2030"/>
      <c r="O15" s="2030"/>
      <c r="P15" s="2030"/>
      <c r="Q15" s="2030"/>
      <c r="R15" s="2030"/>
      <c r="S15" s="2030"/>
      <c r="T15" s="2030"/>
      <c r="U15" s="2030"/>
      <c r="V15" s="2030"/>
    </row>
    <row r="16" spans="1:22" ht="14.25">
      <c r="A16" s="3323"/>
      <c r="B16" s="3324"/>
      <c r="C16" s="3334"/>
      <c r="D16" s="3335"/>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7</v>
      </c>
      <c r="D17" s="265">
        <f>SUM(D5:D16)</f>
        <v>3</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0.7</v>
      </c>
      <c r="D18" s="267">
        <f>1-C18</f>
        <v>0.30000000000000004</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278955</v>
      </c>
      <c r="D19" s="271">
        <f ca="1">SUMIF(INDIRECT("'"&amp;D4&amp;"'"&amp;"!A:A"),结果表!B19,INDIRECT("'"&amp;D4&amp;"'"&amp;"!B:B"))</f>
        <v>154467</v>
      </c>
      <c r="E19" s="268" t="s">
        <v>323</v>
      </c>
      <c r="F19" s="269" t="s">
        <v>322</v>
      </c>
      <c r="G19" s="272">
        <f ca="1">ROUND(C19*$C$18+D19*$D$18,0)</f>
        <v>241609</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1511</v>
      </c>
      <c r="D20" s="277">
        <f ca="1">SUMIF(INDIRECT("'"&amp;D4&amp;"'"&amp;"!A:A"),结果表!B20,INDIRECT("'"&amp;D4&amp;"'"&amp;"!B:B"))</f>
        <v>837</v>
      </c>
      <c r="E20" s="274"/>
      <c r="F20" s="275" t="s">
        <v>325</v>
      </c>
      <c r="G20" s="278">
        <f ca="1">ROUND(C20*$C$18+D20*$D$18,0)</f>
        <v>1309</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4184</v>
      </c>
      <c r="D21" s="151">
        <f ca="1">SUMIF(INDIRECT("'"&amp;D4&amp;"'"&amp;"!A:A"),结果表!B21,INDIRECT("'"&amp;D4&amp;"'"&amp;"!B:B"))</f>
        <v>2317</v>
      </c>
      <c r="E21" s="274"/>
      <c r="F21" s="280" t="s">
        <v>327</v>
      </c>
      <c r="G21" s="282">
        <f ca="1">ROUND(C21*$C$18+D21*$D$18,0)</f>
        <v>3624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0.80591971100623438</v>
      </c>
      <c r="E22" s="284"/>
      <c r="F22" s="285"/>
      <c r="G22" s="286">
        <f ca="1">ROUND(G19/('数据-汇总表'!D3/666.67),0)</f>
        <v>242</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296"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38"/>
      <c r="B25" s="1321" t="s">
        <v>2993</v>
      </c>
      <c r="C25" s="290">
        <f>IF(B30=0,0,C30)</f>
        <v>0</v>
      </c>
      <c r="D25" s="291"/>
      <c r="E25" s="311"/>
      <c r="F25" s="311"/>
      <c r="G25" s="311"/>
      <c r="H25" s="311"/>
      <c r="I25" s="311"/>
      <c r="J25" s="2030"/>
      <c r="K25" s="1255" t="str">
        <f ca="1">项目基本情况!B16&amp;"国有建设用地使用权价格："&amp;O38&amp;"万元"</f>
        <v>出让国有建设用地使用权价格：241609万元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大写金额：人民币贰拾肆亿壹仟陆佰零玖万元整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单位面积地价：3624元/平方米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楼面地价：1309元/平方米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8" t="s">
        <v>335</v>
      </c>
      <c r="B30" s="309"/>
      <c r="C30" s="309"/>
      <c r="D30" s="310"/>
      <c r="E30" s="3169" t="s">
        <v>2982</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336</v>
      </c>
      <c r="B32" s="1382" t="s">
        <v>1689</v>
      </c>
      <c r="C32" s="1383">
        <f ca="1">G19-C24</f>
        <v>241609</v>
      </c>
      <c r="D32" s="1384" t="s">
        <v>1690</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339</v>
      </c>
      <c r="B33" s="1385" t="s">
        <v>1691</v>
      </c>
      <c r="C33" s="264">
        <f ca="1">ROUND(C32*10000/'数据-汇总表'!E3,0)</f>
        <v>1309</v>
      </c>
      <c r="D33" s="1386" t="s">
        <v>1692</v>
      </c>
      <c r="E33" s="3296"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3624</v>
      </c>
      <c r="D34" s="1388" t="s">
        <v>1692</v>
      </c>
      <c r="E34" s="3297"/>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242</v>
      </c>
      <c r="D35" s="1391" t="s">
        <v>1694</v>
      </c>
      <c r="E35" s="3298"/>
      <c r="F35" s="301" t="s">
        <v>341</v>
      </c>
      <c r="G35" s="982"/>
      <c r="H35" s="981" t="s">
        <v>342</v>
      </c>
      <c r="I35" s="311"/>
      <c r="J35" s="2030"/>
      <c r="K35" s="3302" t="s">
        <v>349</v>
      </c>
      <c r="L35" s="3302" t="s">
        <v>350</v>
      </c>
      <c r="M35" s="1264" t="s">
        <v>351</v>
      </c>
      <c r="N35" s="3302" t="s">
        <v>352</v>
      </c>
      <c r="O35" s="3302" t="s">
        <v>353</v>
      </c>
      <c r="P35" s="2030"/>
      <c r="V35" s="2030"/>
    </row>
    <row r="36" spans="1:26" ht="16.5" customHeight="1">
      <c r="A36" s="303" t="s">
        <v>343</v>
      </c>
      <c r="B36" s="304" t="s">
        <v>332</v>
      </c>
      <c r="C36" s="305" t="s">
        <v>344</v>
      </c>
      <c r="D36" s="305" t="s">
        <v>345</v>
      </c>
      <c r="E36" s="306" t="s">
        <v>346</v>
      </c>
      <c r="F36" s="311"/>
      <c r="G36" s="311"/>
      <c r="H36" s="311"/>
      <c r="I36" s="311"/>
      <c r="J36" s="2032"/>
      <c r="K36" s="3303"/>
      <c r="L36" s="3303"/>
      <c r="M36" s="1266" t="s">
        <v>354</v>
      </c>
      <c r="N36" s="3303"/>
      <c r="O36" s="3303"/>
      <c r="P36" s="2030"/>
      <c r="V36" s="2030"/>
    </row>
    <row r="37" spans="1:26" ht="16.5" customHeight="1" thickBot="1">
      <c r="A37" s="1260" t="s">
        <v>347</v>
      </c>
      <c r="B37" s="307"/>
      <c r="C37" s="294"/>
      <c r="D37" s="294"/>
      <c r="E37" s="295"/>
      <c r="F37" s="311"/>
      <c r="G37" s="311"/>
      <c r="H37" s="311"/>
      <c r="I37" s="311"/>
      <c r="J37" s="2032"/>
      <c r="K37" s="3304"/>
      <c r="L37" s="3304"/>
      <c r="M37" s="1267"/>
      <c r="N37" s="3304"/>
      <c r="O37" s="3304"/>
      <c r="P37" s="2030"/>
      <c r="V37" s="2030"/>
    </row>
    <row r="38" spans="1:26" ht="16.5" customHeight="1" thickBot="1">
      <c r="A38" s="1260" t="s">
        <v>348</v>
      </c>
      <c r="B38" s="307"/>
      <c r="C38" s="294"/>
      <c r="D38" s="294"/>
      <c r="E38" s="295"/>
      <c r="F38" s="311"/>
      <c r="G38" s="311"/>
      <c r="H38" s="311"/>
      <c r="I38" s="311"/>
      <c r="J38" s="2032"/>
      <c r="K38" s="1268">
        <f>'数据-汇总表'!D3</f>
        <v>666666.69999999995</v>
      </c>
      <c r="L38" s="1269">
        <f>'数据-汇总表'!E3</f>
        <v>1845613.3399999999</v>
      </c>
      <c r="M38" s="1269">
        <f ca="1">C34</f>
        <v>3624</v>
      </c>
      <c r="N38" s="1269">
        <f ca="1">C33</f>
        <v>1309</v>
      </c>
      <c r="O38" s="1270">
        <f ca="1">C32</f>
        <v>241609</v>
      </c>
      <c r="P38" s="2030"/>
      <c r="V38" s="2030"/>
    </row>
    <row r="39" spans="1:26" ht="16.5" customHeight="1" thickBot="1">
      <c r="A39" s="1265"/>
      <c r="B39" s="308"/>
      <c r="C39" s="309"/>
      <c r="D39" s="309"/>
      <c r="E39" s="310"/>
      <c r="F39" s="311"/>
      <c r="G39" s="311"/>
      <c r="H39" s="311"/>
      <c r="I39" s="311"/>
      <c r="J39" s="2032"/>
      <c r="K39" s="3279" t="str">
        <f>MID(A44,3,LEN(A44)-2)</f>
        <v/>
      </c>
      <c r="L39" s="3280"/>
      <c r="M39" s="3280"/>
      <c r="N39" s="3281"/>
      <c r="O39" s="1393" t="str">
        <f>C44</f>
        <v>——</v>
      </c>
      <c r="P39" s="2030"/>
      <c r="V39" s="2030"/>
    </row>
    <row r="40" spans="1:26" ht="19.5" thickBot="1">
      <c r="A40" s="104" t="s">
        <v>873</v>
      </c>
      <c r="B40" s="311"/>
      <c r="C40" s="311"/>
      <c r="D40" s="311"/>
      <c r="E40" s="311"/>
      <c r="F40" s="311"/>
      <c r="G40" s="311"/>
      <c r="H40" s="311"/>
      <c r="I40" s="311"/>
      <c r="J40" s="2032"/>
      <c r="K40" s="3279" t="str">
        <f t="shared" ref="K40:K41" si="0">MID(A45,3,LEN(A45)-2)</f>
        <v/>
      </c>
      <c r="L40" s="3280"/>
      <c r="M40" s="3280"/>
      <c r="N40" s="3281"/>
      <c r="O40" s="1393" t="str">
        <f>C45</f>
        <v>——</v>
      </c>
      <c r="P40" s="2030"/>
      <c r="V40" s="2030"/>
    </row>
    <row r="41" spans="1:26" ht="16.5" thickBot="1">
      <c r="A41" s="312" t="s">
        <v>355</v>
      </c>
      <c r="B41" s="313"/>
      <c r="C41" s="314" t="s">
        <v>356</v>
      </c>
      <c r="D41" s="315" t="s">
        <v>357</v>
      </c>
      <c r="E41" s="315" t="s">
        <v>358</v>
      </c>
      <c r="F41" s="316" t="s">
        <v>359</v>
      </c>
      <c r="G41" s="311"/>
      <c r="H41" s="311"/>
      <c r="I41" s="311"/>
      <c r="J41" s="2032"/>
      <c r="K41" s="3279" t="str">
        <f t="shared" si="0"/>
        <v/>
      </c>
      <c r="L41" s="3280"/>
      <c r="M41" s="3280"/>
      <c r="N41" s="3281"/>
      <c r="O41" s="1393" t="str">
        <f>C46</f>
        <v>——</v>
      </c>
      <c r="P41" s="2030"/>
      <c r="V41" s="2030"/>
    </row>
    <row r="42" spans="1:26" ht="29.25">
      <c r="A42" s="3339" t="s">
        <v>2070</v>
      </c>
      <c r="B42" s="3340"/>
      <c r="C42" s="264">
        <f ca="1">C32</f>
        <v>241609</v>
      </c>
      <c r="D42" s="317">
        <f ca="1">C33</f>
        <v>1309</v>
      </c>
      <c r="E42" s="317">
        <f ca="1">C34</f>
        <v>3624</v>
      </c>
      <c r="F42" s="318">
        <f ca="1">C35</f>
        <v>242</v>
      </c>
      <c r="G42" s="311"/>
      <c r="H42" s="311"/>
      <c r="I42" s="319"/>
      <c r="J42" s="2032"/>
      <c r="K42" s="1271" t="s">
        <v>360</v>
      </c>
      <c r="L42" s="2049" t="s">
        <v>361</v>
      </c>
      <c r="M42" s="1272" t="s">
        <v>362</v>
      </c>
      <c r="N42" s="2050" t="s">
        <v>363</v>
      </c>
      <c r="O42" s="2051" t="s">
        <v>364</v>
      </c>
      <c r="P42" s="2030"/>
      <c r="V42" s="2030"/>
    </row>
    <row r="43" spans="1:26" ht="30">
      <c r="A43" s="3349" t="s">
        <v>2738</v>
      </c>
      <c r="B43" s="3350"/>
      <c r="C43" s="264">
        <f>IF(H33="正常操作",G33+G34+G35,G34+G35)</f>
        <v>0</v>
      </c>
      <c r="D43" s="317" t="s">
        <v>43</v>
      </c>
      <c r="E43" s="317" t="s">
        <v>44</v>
      </c>
      <c r="F43" s="318" t="s">
        <v>44</v>
      </c>
      <c r="G43" s="2894" t="s">
        <v>952</v>
      </c>
      <c r="H43" s="311"/>
      <c r="I43" s="319"/>
      <c r="J43" s="2032"/>
      <c r="K43" s="1273" t="str">
        <f>C4</f>
        <v>剩余法-待开发</v>
      </c>
      <c r="L43" s="1274">
        <f ca="1">IF(L42="估价结果/万元",C19,C20)</f>
        <v>278955</v>
      </c>
      <c r="M43" s="1275">
        <f>C18</f>
        <v>0.7</v>
      </c>
      <c r="N43" s="1276">
        <f ca="1">IF(N42="测算结果/万元",G19,G20)</f>
        <v>241609</v>
      </c>
      <c r="O43" s="1277">
        <f ca="1">IF(O42="最终结果/万元",C32,C33)</f>
        <v>241609</v>
      </c>
      <c r="P43" s="2030"/>
      <c r="V43" s="2030"/>
    </row>
    <row r="44" spans="1:26" ht="30.75" thickBot="1">
      <c r="A44" s="3339" t="str">
        <f>IF(OR(项目基本情况!E8="抵押价格",项目基本情况!E8="已注销及未注销"),"3.抵押价格","——")</f>
        <v>——</v>
      </c>
      <c r="B44" s="3340"/>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比较法-住宅、综合</v>
      </c>
      <c r="L44" s="1279">
        <f ca="1">IF(L42="估价结果/万元",D19,D20)</f>
        <v>154467</v>
      </c>
      <c r="M44" s="1280">
        <f>D18</f>
        <v>0.30000000000000004</v>
      </c>
      <c r="N44" s="1281"/>
      <c r="O44" s="1282"/>
      <c r="P44" s="2030"/>
      <c r="V44" s="2030"/>
    </row>
    <row r="45" spans="1:26" ht="15">
      <c r="A45" s="3344" t="str">
        <f>IF(项目基本情况!E8="已注销及未注销","4.抵押担保权已注销时的抵押价格",IF(项目基本情况!E8="已注销","3.抵押担保权已注销时的抵押价格","——"))</f>
        <v>——</v>
      </c>
      <c r="B45" s="3345"/>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41" t="str">
        <f>IF(项目基本情况!E9="抵押净值",IF(A45="——","4.抵押净值","5.抵押净值"),"——")</f>
        <v>——</v>
      </c>
      <c r="B46" s="3342"/>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07" t="s">
        <v>373</v>
      </c>
      <c r="B63" s="3308"/>
      <c r="C63" s="3309"/>
      <c r="D63" s="341">
        <f ca="1">ROUND(C42*F63,0)</f>
        <v>144965</v>
      </c>
      <c r="E63" s="302" t="s">
        <v>374</v>
      </c>
      <c r="F63" s="342">
        <v>0.6</v>
      </c>
      <c r="G63" s="343" t="s">
        <v>375</v>
      </c>
      <c r="H63" s="311"/>
      <c r="I63" s="311"/>
      <c r="J63" s="2030"/>
      <c r="K63" s="2030"/>
      <c r="L63" s="2030"/>
      <c r="M63" s="2030"/>
      <c r="N63" s="2030"/>
      <c r="O63" s="2030"/>
      <c r="P63" s="311"/>
      <c r="Q63" s="2030"/>
      <c r="R63" s="2030"/>
      <c r="S63" s="2030"/>
      <c r="T63" s="2030"/>
      <c r="U63" s="2030"/>
      <c r="V63" s="2030"/>
    </row>
    <row r="64" spans="1:22" ht="14.25" customHeight="1">
      <c r="A64" s="3346" t="s">
        <v>377</v>
      </c>
      <c r="B64" s="3347"/>
      <c r="C64" s="3347"/>
      <c r="D64" s="3347"/>
      <c r="E64" s="3347"/>
      <c r="F64" s="3347"/>
      <c r="G64" s="3348"/>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43" t="s">
        <v>385</v>
      </c>
      <c r="B66" s="3314"/>
      <c r="C66" s="3314"/>
      <c r="D66" s="261">
        <f ca="1">IF(H66="情况1",0,IF(H66="情况2",D70,IF(H66="情况3",D71,IF(H66="情况4",D72))))</f>
        <v>7731</v>
      </c>
      <c r="E66" s="993" t="str">
        <f>IF(H66="情况4","(销售额-原购置价)×税（费）率","销售额×税（费）率")</f>
        <v>销售额×税（费）率</v>
      </c>
      <c r="F66" s="350">
        <f>IF(H66="情况1","免征",'数据-取费表'!B41)</f>
        <v>5.6000000000000001E-2</v>
      </c>
      <c r="G66" s="351" t="s">
        <v>386</v>
      </c>
      <c r="H66" s="191" t="s">
        <v>387</v>
      </c>
      <c r="I66" s="1288"/>
      <c r="J66" s="2036"/>
      <c r="K66" s="1291">
        <v>1</v>
      </c>
      <c r="L66" s="3283" t="s">
        <v>384</v>
      </c>
      <c r="M66" s="3284"/>
      <c r="N66" s="2484"/>
      <c r="O66" s="2485"/>
      <c r="P66" s="2486"/>
      <c r="Q66" s="2030"/>
      <c r="R66" s="2030"/>
      <c r="S66" s="2030"/>
      <c r="T66" s="2030"/>
      <c r="U66" s="2030"/>
      <c r="V66" s="2030"/>
    </row>
    <row r="67" spans="1:22" ht="25.5" customHeight="1">
      <c r="A67" s="352" t="s">
        <v>389</v>
      </c>
      <c r="B67" s="3326" t="s">
        <v>390</v>
      </c>
      <c r="C67" s="3326"/>
      <c r="D67" s="353">
        <v>0</v>
      </c>
      <c r="E67" s="41" t="s">
        <v>391</v>
      </c>
      <c r="F67" s="62" t="s">
        <v>21</v>
      </c>
      <c r="G67" s="3310"/>
      <c r="H67" s="311"/>
      <c r="I67" s="1292"/>
      <c r="J67" s="2037"/>
      <c r="K67" s="1978">
        <v>2</v>
      </c>
      <c r="L67" s="3282" t="s">
        <v>388</v>
      </c>
      <c r="M67" s="3282"/>
      <c r="N67" s="1325">
        <f>'数据-取费表'!B2</f>
        <v>43077</v>
      </c>
      <c r="O67" s="1325"/>
      <c r="P67" s="1325"/>
      <c r="Q67" s="2030"/>
      <c r="R67" s="2030"/>
      <c r="S67" s="2030"/>
      <c r="T67" s="2030"/>
      <c r="U67" s="2030"/>
      <c r="V67" s="2030"/>
    </row>
    <row r="68" spans="1:22" ht="25.5" customHeight="1">
      <c r="A68" s="354"/>
      <c r="B68" s="3326" t="s">
        <v>393</v>
      </c>
      <c r="C68" s="3326"/>
      <c r="D68" s="355"/>
      <c r="E68" s="77"/>
      <c r="F68" s="356"/>
      <c r="G68" s="3311"/>
      <c r="H68" s="311"/>
      <c r="I68" s="1292"/>
      <c r="J68" s="2037"/>
      <c r="K68" s="1978">
        <v>3</v>
      </c>
      <c r="L68" s="3282" t="s">
        <v>392</v>
      </c>
      <c r="M68" s="3282"/>
      <c r="N68" s="1293">
        <f ca="1">C42</f>
        <v>241609</v>
      </c>
      <c r="O68" s="1293"/>
      <c r="P68" s="1293"/>
      <c r="Q68" s="2030"/>
      <c r="R68" s="2030"/>
      <c r="S68" s="2030"/>
      <c r="T68" s="2030"/>
      <c r="U68" s="2030"/>
      <c r="V68" s="2030"/>
    </row>
    <row r="69" spans="1:22" ht="12" customHeight="1">
      <c r="A69" s="357"/>
      <c r="B69" s="3326" t="s">
        <v>394</v>
      </c>
      <c r="C69" s="3326"/>
      <c r="D69" s="358"/>
      <c r="E69" s="73"/>
      <c r="F69" s="356"/>
      <c r="G69" s="3312"/>
      <c r="H69" s="311"/>
      <c r="I69" s="1292"/>
      <c r="J69" s="2037"/>
      <c r="K69" s="1294">
        <v>4</v>
      </c>
      <c r="L69" s="3288" t="s">
        <v>2891</v>
      </c>
      <c r="M69" s="3289"/>
      <c r="N69" s="1295" t="str">
        <f>C44</f>
        <v>——</v>
      </c>
      <c r="O69" s="1295"/>
      <c r="P69" s="1295"/>
      <c r="Q69" s="2030"/>
      <c r="R69" s="2030"/>
      <c r="S69" s="2030"/>
      <c r="T69" s="2030"/>
      <c r="U69" s="2030"/>
      <c r="V69" s="2030"/>
    </row>
    <row r="70" spans="1:22" ht="24" customHeight="1">
      <c r="A70" s="359" t="s">
        <v>395</v>
      </c>
      <c r="B70" s="3326" t="s">
        <v>396</v>
      </c>
      <c r="C70" s="3326"/>
      <c r="D70" s="358">
        <f ca="1">ROUND(D63*'数据-取费表'!B41/(1+'数据-取费表'!C42),0)</f>
        <v>7731</v>
      </c>
      <c r="E70" s="17" t="s">
        <v>397</v>
      </c>
      <c r="F70" s="360">
        <f>'数据-取费表'!B41</f>
        <v>5.6000000000000001E-2</v>
      </c>
      <c r="G70" s="361"/>
      <c r="H70" s="311"/>
      <c r="I70" s="1292"/>
      <c r="J70" s="2037"/>
      <c r="K70" s="3090"/>
      <c r="L70" s="3091"/>
      <c r="M70" s="3091"/>
      <c r="N70" s="3092" t="s">
        <v>2896</v>
      </c>
      <c r="O70" s="3091"/>
      <c r="P70" s="3093"/>
      <c r="Q70" s="2030"/>
      <c r="R70" s="2030"/>
      <c r="S70" s="2030"/>
      <c r="T70" s="2030"/>
      <c r="U70" s="2030"/>
      <c r="V70" s="2030"/>
    </row>
    <row r="71" spans="1:22" ht="12" customHeight="1">
      <c r="A71" s="359" t="s">
        <v>403</v>
      </c>
      <c r="B71" s="3325" t="s">
        <v>404</v>
      </c>
      <c r="C71" s="3337"/>
      <c r="D71" s="358">
        <f ca="1">ROUND(D63*'数据-取费表'!B41/(1+'数据-取费表'!C42),0)</f>
        <v>7731</v>
      </c>
      <c r="E71" s="17" t="s">
        <v>397</v>
      </c>
      <c r="F71" s="360">
        <f>'数据-取费表'!B41</f>
        <v>5.6000000000000001E-2</v>
      </c>
      <c r="G71" s="361"/>
      <c r="H71" s="311"/>
      <c r="I71" s="1292"/>
      <c r="J71" s="2037"/>
      <c r="K71" s="3089" t="s">
        <v>398</v>
      </c>
      <c r="L71" s="3290" t="s">
        <v>399</v>
      </c>
      <c r="M71" s="3290"/>
      <c r="N71" s="3089" t="s">
        <v>400</v>
      </c>
      <c r="O71" s="3089" t="s">
        <v>401</v>
      </c>
      <c r="P71" s="3089" t="s">
        <v>402</v>
      </c>
      <c r="Q71" s="2030"/>
      <c r="R71" s="2030"/>
      <c r="S71" s="2030"/>
      <c r="T71" s="2030"/>
      <c r="U71" s="2030"/>
      <c r="V71" s="2030"/>
    </row>
    <row r="72" spans="1:22" ht="12" customHeight="1">
      <c r="A72" s="359" t="s">
        <v>406</v>
      </c>
      <c r="B72" s="3325" t="s">
        <v>407</v>
      </c>
      <c r="C72" s="3337"/>
      <c r="D72" s="358">
        <f ca="1">C86</f>
        <v>7619</v>
      </c>
      <c r="E72" s="73" t="s">
        <v>408</v>
      </c>
      <c r="F72" s="360">
        <f>'数据-取费表'!B41</f>
        <v>5.6000000000000001E-2</v>
      </c>
      <c r="G72" s="361"/>
      <c r="H72" s="1298"/>
      <c r="I72" s="1292"/>
      <c r="J72" s="2037"/>
      <c r="K72" s="1978">
        <v>1</v>
      </c>
      <c r="L72" s="3287" t="s">
        <v>405</v>
      </c>
      <c r="M72" s="3287"/>
      <c r="N72" s="1296">
        <f ca="1">D66</f>
        <v>7731</v>
      </c>
      <c r="O72" s="1861" t="str">
        <f>E66</f>
        <v>销售额×税（费）率</v>
      </c>
      <c r="P72" s="1297">
        <f>F66</f>
        <v>5.6000000000000001E-2</v>
      </c>
      <c r="Q72" s="2030"/>
      <c r="R72" s="2030"/>
      <c r="S72" s="2030"/>
      <c r="T72" s="2030"/>
      <c r="U72" s="2030"/>
      <c r="V72" s="2030"/>
    </row>
    <row r="73" spans="1:22" ht="24" customHeight="1">
      <c r="A73" s="3313" t="s">
        <v>410</v>
      </c>
      <c r="B73" s="3314"/>
      <c r="C73" s="3314"/>
      <c r="D73" s="362">
        <f>IF(H73="个人住宅",0,ROUND(D63*I73,0))</f>
        <v>0</v>
      </c>
      <c r="E73" s="17" t="s">
        <v>411</v>
      </c>
      <c r="F73" s="360" t="str">
        <f>IF(H73="正常",I73,"免征")</f>
        <v>免征</v>
      </c>
      <c r="G73" s="361"/>
      <c r="H73" s="191" t="s">
        <v>2460</v>
      </c>
      <c r="I73" s="360">
        <f>'数据-取费表'!B49</f>
        <v>5.0000000000000001E-4</v>
      </c>
      <c r="J73" s="2037"/>
      <c r="K73" s="1978">
        <v>2</v>
      </c>
      <c r="L73" s="3287" t="s">
        <v>409</v>
      </c>
      <c r="M73" s="3287"/>
      <c r="N73" s="1296">
        <f t="shared" ref="N73:P74" si="1">D73</f>
        <v>0</v>
      </c>
      <c r="O73" s="1861" t="str">
        <f t="shared" si="1"/>
        <v>销售额×税（费）率</v>
      </c>
      <c r="P73" s="1297" t="str">
        <f t="shared" si="1"/>
        <v>免征</v>
      </c>
      <c r="Q73" s="2030"/>
      <c r="R73" s="2030"/>
      <c r="S73" s="2030"/>
      <c r="T73" s="2030"/>
      <c r="U73" s="2030"/>
      <c r="V73" s="2030"/>
    </row>
    <row r="74" spans="1:22" ht="24.75">
      <c r="A74" s="3313" t="s">
        <v>414</v>
      </c>
      <c r="B74" s="3314"/>
      <c r="C74" s="3314"/>
      <c r="D74" s="362">
        <f ca="1">IF(H74="个人住宅",D75,D76)</f>
        <v>81390</v>
      </c>
      <c r="E74" s="17" t="s">
        <v>415</v>
      </c>
      <c r="F74" s="360" t="str">
        <f>IF(H74="正常",F76,"免征")</f>
        <v>——</v>
      </c>
      <c r="G74" s="983" t="s">
        <v>416</v>
      </c>
      <c r="H74" s="363" t="s">
        <v>412</v>
      </c>
      <c r="I74" s="42"/>
      <c r="J74" s="2037"/>
      <c r="K74" s="1978">
        <v>3</v>
      </c>
      <c r="L74" s="3287" t="s">
        <v>413</v>
      </c>
      <c r="M74" s="3287"/>
      <c r="N74" s="1296">
        <f t="shared" ca="1" si="1"/>
        <v>81390</v>
      </c>
      <c r="O74" s="1861" t="str">
        <f t="shared" si="1"/>
        <v>增值额×税（费）率</v>
      </c>
      <c r="P74" s="1299" t="str">
        <f t="shared" si="1"/>
        <v>——</v>
      </c>
      <c r="Q74" s="2030"/>
      <c r="R74" s="2030"/>
      <c r="S74" s="2030"/>
      <c r="T74" s="2030"/>
      <c r="U74" s="2030"/>
      <c r="V74" s="2030"/>
    </row>
    <row r="75" spans="1:22" ht="24">
      <c r="A75" s="359" t="s">
        <v>417</v>
      </c>
      <c r="B75" s="3294" t="s">
        <v>418</v>
      </c>
      <c r="C75" s="3295"/>
      <c r="D75" s="364">
        <v>0</v>
      </c>
      <c r="E75" s="41" t="s">
        <v>419</v>
      </c>
      <c r="F75" s="365"/>
      <c r="G75" s="361"/>
      <c r="H75" s="42"/>
      <c r="I75" s="42"/>
      <c r="J75" s="2037"/>
      <c r="K75" s="3082">
        <f>IF(H77="非个人房产","",4)</f>
        <v>4</v>
      </c>
      <c r="L75" s="3287" t="str">
        <f>IF(H77="非个人房产","——","个人所得税")</f>
        <v>个人所得税</v>
      </c>
      <c r="M75" s="3287"/>
      <c r="N75" s="1300">
        <f ca="1">D77</f>
        <v>1450</v>
      </c>
      <c r="O75" s="1874" t="str">
        <f>E77</f>
        <v>销售额×税（费）率</v>
      </c>
      <c r="P75" s="1301">
        <f>F77</f>
        <v>0.01</v>
      </c>
      <c r="Q75" s="2030"/>
      <c r="R75" s="2030"/>
      <c r="S75" s="2030"/>
      <c r="T75" s="2030"/>
      <c r="U75" s="2030"/>
      <c r="V75" s="2030"/>
    </row>
    <row r="76" spans="1:22" ht="24.75">
      <c r="A76" s="359" t="s">
        <v>395</v>
      </c>
      <c r="B76" s="3294" t="s">
        <v>421</v>
      </c>
      <c r="C76" s="3336"/>
      <c r="D76" s="362">
        <f ca="1">IF(H76="转让取得",C99,C115)</f>
        <v>81390</v>
      </c>
      <c r="E76" s="17" t="s">
        <v>422</v>
      </c>
      <c r="F76" s="53" t="s">
        <v>21</v>
      </c>
      <c r="G76" s="361"/>
      <c r="H76" s="363" t="s">
        <v>423</v>
      </c>
      <c r="I76" s="42"/>
      <c r="J76" s="2037"/>
      <c r="K76" s="3082" t="str">
        <f>IF(项目基本情况!K6="上海银行",IF(K75="",4,K75+1),"")</f>
        <v/>
      </c>
      <c r="L76" s="3275" t="str">
        <f>IF(项目基本情况!K6="上海银行","其他处置费用","")</f>
        <v/>
      </c>
      <c r="M76" s="3276"/>
      <c r="N76" s="1296" t="str">
        <f>IF(项目基本情况!K6="上海银行",N89,"")</f>
        <v/>
      </c>
      <c r="O76" s="3277" t="str">
        <f>IF(项目基本情况!K6="上海银行","包含处置中涉及的律师、诉讼、拍卖、评估等费用","")</f>
        <v/>
      </c>
      <c r="P76" s="3278"/>
      <c r="Q76" s="2030"/>
      <c r="R76" s="2030"/>
      <c r="S76" s="2030"/>
      <c r="T76" s="2030"/>
      <c r="U76" s="2030"/>
      <c r="V76" s="2030"/>
    </row>
    <row r="77" spans="1:22" ht="26.25" thickBot="1">
      <c r="A77" s="3305" t="s">
        <v>425</v>
      </c>
      <c r="B77" s="3306"/>
      <c r="C77" s="3306"/>
      <c r="D77" s="366">
        <f ca="1">IF(H77="非个人房产","——",IF(H77="个人住宅",0,ROUND(D63*I77,0)))</f>
        <v>1450</v>
      </c>
      <c r="E77" s="367" t="str">
        <f>IF(H77="非个人房产","——","销售额×税（费）率")</f>
        <v>销售额×税（费）率</v>
      </c>
      <c r="F77" s="368">
        <f>IF(H77="非个人房产","——",IF(H77="个人住宅","免征",I77))</f>
        <v>0.01</v>
      </c>
      <c r="G77" s="984" t="s">
        <v>416</v>
      </c>
      <c r="H77" s="363" t="s">
        <v>2892</v>
      </c>
      <c r="I77" s="369">
        <v>0.01</v>
      </c>
      <c r="J77" s="2037"/>
      <c r="K77" s="3301">
        <f>IF(AND(K75="",K76=""),4,IF(项目基本情况!K6="上海银行",K76+1,K75+1))</f>
        <v>5</v>
      </c>
      <c r="L77" s="3287" t="s">
        <v>2893</v>
      </c>
      <c r="M77" s="3088" t="s">
        <v>420</v>
      </c>
      <c r="N77" s="1302"/>
      <c r="O77" s="1303">
        <f ca="1">SUMIF(N72:N76,"&lt;9e307")</f>
        <v>90571</v>
      </c>
      <c r="P77" s="1304"/>
      <c r="Q77" s="3086" t="e">
        <f ca="1">O77/N69</f>
        <v>#VALUE!</v>
      </c>
      <c r="R77" s="2030"/>
      <c r="S77" s="2030"/>
      <c r="T77" s="2030"/>
      <c r="U77" s="2030"/>
      <c r="V77" s="2030"/>
    </row>
    <row r="78" spans="1:22" ht="12" customHeight="1">
      <c r="A78" s="1305"/>
      <c r="B78" s="311"/>
      <c r="C78" s="311"/>
      <c r="D78" s="311"/>
      <c r="E78" s="42"/>
      <c r="F78" s="42"/>
      <c r="G78" s="42"/>
      <c r="H78" s="1003"/>
      <c r="I78" s="311"/>
      <c r="J78" s="2037"/>
      <c r="K78" s="3301"/>
      <c r="L78" s="3287"/>
      <c r="M78" s="3088" t="s">
        <v>424</v>
      </c>
      <c r="N78" s="1302"/>
      <c r="O78" s="1303" t="str">
        <f ca="1">NUMBERSTRING(INT(O77*10000),2)&amp;"元整"</f>
        <v>玖亿零伍佰柒拾壹万元整</v>
      </c>
      <c r="P78" s="1304"/>
      <c r="Q78" s="2030"/>
      <c r="R78" s="2030"/>
      <c r="S78" s="2030"/>
      <c r="T78" s="2030"/>
      <c r="U78" s="2030"/>
      <c r="V78" s="2030"/>
    </row>
    <row r="79" spans="1:22" ht="13.5" thickBot="1">
      <c r="A79" s="3291" t="s">
        <v>426</v>
      </c>
      <c r="B79" s="3291"/>
      <c r="C79" s="3291"/>
      <c r="D79" s="3291"/>
      <c r="E79" s="3291"/>
      <c r="F79" s="42"/>
      <c r="G79" s="42"/>
      <c r="H79" s="1003"/>
      <c r="I79" s="311"/>
      <c r="J79" s="2037"/>
      <c r="K79" s="3285">
        <f>K77+1</f>
        <v>6</v>
      </c>
      <c r="L79" s="3287" t="s">
        <v>2894</v>
      </c>
      <c r="M79" s="3088" t="s">
        <v>420</v>
      </c>
      <c r="N79" s="1302"/>
      <c r="O79" s="1303" t="e">
        <f ca="1">N69-O77</f>
        <v>#VALUE!</v>
      </c>
      <c r="P79" s="1304"/>
      <c r="Q79" s="2030"/>
      <c r="R79" s="2030"/>
      <c r="S79" s="2030"/>
      <c r="T79" s="2030"/>
      <c r="U79" s="2030"/>
      <c r="V79" s="2030"/>
    </row>
    <row r="80" spans="1:22" ht="12.75">
      <c r="A80" s="3292" t="s">
        <v>427</v>
      </c>
      <c r="B80" s="3293"/>
      <c r="C80" s="994"/>
      <c r="D80" s="994" t="s">
        <v>428</v>
      </c>
      <c r="E80" s="370" t="s">
        <v>429</v>
      </c>
      <c r="F80" s="42"/>
      <c r="G80" s="42"/>
      <c r="H80" s="1003"/>
      <c r="I80" s="311"/>
      <c r="J80" s="2030"/>
      <c r="K80" s="3286"/>
      <c r="L80" s="3287"/>
      <c r="M80" s="3088" t="s">
        <v>424</v>
      </c>
      <c r="N80" s="1302"/>
      <c r="O80" s="1303" t="e">
        <f ca="1">NUMBERSTRING(INT(O79*10000),2)&amp;"元整"</f>
        <v>#VALUE!</v>
      </c>
      <c r="P80" s="1304"/>
      <c r="Q80" s="2030"/>
      <c r="R80" s="2030"/>
      <c r="S80" s="2030"/>
      <c r="T80" s="2030"/>
      <c r="U80" s="2030"/>
      <c r="V80" s="2030"/>
    </row>
    <row r="81" spans="1:26" ht="13.5" thickBot="1">
      <c r="A81" s="381" t="s">
        <v>1824</v>
      </c>
      <c r="B81" s="371" t="s">
        <v>430</v>
      </c>
      <c r="C81" s="372">
        <f ca="1">ROUND((C82+C83)/(1+'数据-取费表'!C42),0)</f>
        <v>138062</v>
      </c>
      <c r="D81" s="373"/>
      <c r="E81" s="374"/>
      <c r="F81" s="42"/>
      <c r="G81" s="42"/>
      <c r="H81" s="1003"/>
      <c r="I81" s="311"/>
      <c r="J81" s="2030"/>
      <c r="K81" s="3082">
        <f>K79+1</f>
        <v>7</v>
      </c>
      <c r="L81" s="3299" t="s">
        <v>2895</v>
      </c>
      <c r="M81" s="3300"/>
      <c r="N81" s="1306"/>
      <c r="O81" s="1307" t="e">
        <f ca="1">ROUND(O79*10000/'数据-汇总表'!E3,0)</f>
        <v>#VALUE!</v>
      </c>
      <c r="P81" s="1308"/>
      <c r="Q81" s="2030"/>
      <c r="R81" s="2030"/>
      <c r="S81" s="2030"/>
      <c r="T81" s="2030"/>
      <c r="U81" s="2030"/>
      <c r="V81" s="2030"/>
    </row>
    <row r="82" spans="1:26" ht="13.5" thickTop="1">
      <c r="A82" s="375" t="s">
        <v>1825</v>
      </c>
      <c r="B82" s="376" t="s">
        <v>431</v>
      </c>
      <c r="C82" s="377">
        <f ca="1">D63</f>
        <v>144965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432</v>
      </c>
      <c r="C83" s="380">
        <v>0</v>
      </c>
      <c r="D83" s="378"/>
      <c r="E83" s="379"/>
      <c r="F83" s="42"/>
      <c r="G83" s="42"/>
      <c r="H83" s="1003"/>
      <c r="I83" s="311"/>
      <c r="J83" s="2030"/>
      <c r="K83" s="3274" t="s">
        <v>2882</v>
      </c>
      <c r="L83" s="3094" t="s">
        <v>2883</v>
      </c>
      <c r="M83" s="3084" t="e">
        <f>IF(N69&gt;10000,N69*0.5%,IF(AND(N69&gt;1000,N69&lt;=10000),N69*1%,IF(AND(N69&gt;100,N69&lt;=1000),N69*3%,IF(AND(N69&gt;10,N69&lt;=100),N69*5%,N69*8%))))</f>
        <v>#VALUE!</v>
      </c>
      <c r="N83" s="53" t="e">
        <f>ROUND(M83,1)</f>
        <v>#VALUE!</v>
      </c>
      <c r="O83" s="3087"/>
      <c r="P83" s="2030"/>
      <c r="Q83" s="2030"/>
      <c r="R83" s="2030"/>
      <c r="S83" s="2030"/>
      <c r="T83" s="2030"/>
      <c r="U83" s="2030"/>
      <c r="V83" s="2030"/>
    </row>
    <row r="84" spans="1:26" ht="12.75">
      <c r="A84" s="381" t="s">
        <v>1827</v>
      </c>
      <c r="B84" s="382" t="s">
        <v>433</v>
      </c>
      <c r="C84" s="383">
        <v>2000</v>
      </c>
      <c r="D84" s="384" t="s">
        <v>19</v>
      </c>
      <c r="E84" s="3129" t="s">
        <v>2952</v>
      </c>
      <c r="F84" s="42"/>
      <c r="G84" s="42"/>
      <c r="H84" s="1003"/>
      <c r="I84" s="311"/>
      <c r="J84" s="2030"/>
      <c r="K84" s="3274"/>
      <c r="L84" s="3094" t="s">
        <v>2884</v>
      </c>
      <c r="M84" s="3084"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2885</v>
      </c>
      <c r="P84" s="2030"/>
      <c r="Q84" s="2030"/>
      <c r="R84" s="2030"/>
      <c r="S84" s="2030"/>
      <c r="T84" s="2030"/>
      <c r="U84" s="2030"/>
      <c r="V84" s="2030"/>
    </row>
    <row r="85" spans="1:26" ht="12.75">
      <c r="A85" s="381" t="s">
        <v>1828</v>
      </c>
      <c r="B85" s="382" t="s">
        <v>434</v>
      </c>
      <c r="C85" s="385">
        <f ca="1">C81-C84</f>
        <v>136062</v>
      </c>
      <c r="D85" s="378" t="s">
        <v>19</v>
      </c>
      <c r="E85" s="379"/>
      <c r="F85" s="42"/>
      <c r="G85" s="42"/>
      <c r="H85" s="1003"/>
      <c r="I85" s="311"/>
      <c r="J85" s="2030"/>
      <c r="K85" s="3274"/>
      <c r="L85" s="3094" t="s">
        <v>2886</v>
      </c>
      <c r="M85" s="3084" t="e">
        <f>IF(N69&gt;1000,N69*0.1%,IF(AND(N69&gt;500,N69&lt;=1000),N69*0.5%,IF(AND(N69&gt;50,N69&lt;=500),N69*1%,IF(AND(N69&gt;1,N69&lt;=50),N69*1.5%))))</f>
        <v>#VALUE!</v>
      </c>
      <c r="N85" s="53" t="e">
        <f t="shared" si="2"/>
        <v>#VALUE!</v>
      </c>
      <c r="O85" s="2030" t="s">
        <v>2885</v>
      </c>
      <c r="P85" s="2030"/>
      <c r="Q85" s="2030"/>
      <c r="R85" s="2030"/>
      <c r="S85" s="2030"/>
      <c r="T85" s="2030"/>
      <c r="U85" s="2030"/>
      <c r="V85" s="2030"/>
    </row>
    <row r="86" spans="1:26" ht="13.5" thickBot="1">
      <c r="A86" s="386" t="s">
        <v>1829</v>
      </c>
      <c r="B86" s="387" t="s">
        <v>435</v>
      </c>
      <c r="C86" s="388">
        <f ca="1">IF(C85&lt;=0,0,ROUND(C85*D86,0))</f>
        <v>7619</v>
      </c>
      <c r="D86" s="389">
        <f>'数据-取费表'!B41</f>
        <v>5.6000000000000001E-2</v>
      </c>
      <c r="E86" s="390"/>
      <c r="F86" s="42"/>
      <c r="G86" s="42"/>
      <c r="H86" s="1003"/>
      <c r="I86" s="311"/>
      <c r="J86" s="2030"/>
      <c r="K86" s="3274"/>
      <c r="L86" s="3094" t="s">
        <v>2887</v>
      </c>
      <c r="M86" s="3084" t="e">
        <f>N69*0.5%</f>
        <v>#VALUE!</v>
      </c>
      <c r="N86" s="53" t="e">
        <f>IF(M86&gt;0.5,0.5,ROUND(M86,0))</f>
        <v>#VALUE!</v>
      </c>
      <c r="O86" s="2030" t="s">
        <v>2888</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274"/>
      <c r="L87" s="3094" t="s">
        <v>2889</v>
      </c>
      <c r="M87" s="3084"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7"/>
      <c r="P87" s="311"/>
      <c r="Q87" s="2030"/>
      <c r="R87" s="2030"/>
      <c r="S87" s="2030"/>
      <c r="T87" s="2030"/>
      <c r="U87" s="2030"/>
      <c r="V87" s="2030"/>
      <c r="W87" s="292"/>
      <c r="X87" s="292"/>
      <c r="Y87" s="292"/>
      <c r="Z87" s="292"/>
    </row>
    <row r="88" spans="1:26" s="1314" customFormat="1" ht="15" thickBot="1">
      <c r="A88" s="3328" t="s">
        <v>436</v>
      </c>
      <c r="B88" s="3329"/>
      <c r="C88" s="3329"/>
      <c r="D88" s="3329"/>
      <c r="E88" s="3329"/>
      <c r="F88" s="3329"/>
      <c r="G88" s="3329"/>
      <c r="H88" s="3329"/>
      <c r="I88" s="1315"/>
      <c r="J88" s="2038"/>
      <c r="K88" s="3274"/>
      <c r="L88" s="3094" t="s">
        <v>2890</v>
      </c>
      <c r="M88" s="3084" t="e">
        <f>IF(N69&gt;10000,N69*0.5%,IF(AND(N69&gt;5000,N69&lt;=10000),N69*1%,IF(AND(N69&gt;1000,N69&lt;=5000),N69*2%,IF(AND(N69&gt;200,N69&lt;=1000),N69*3%,N69*5%))))</f>
        <v>#VALUE!</v>
      </c>
      <c r="N88" s="53" t="e">
        <f>ROUND(M88,1)</f>
        <v>#VALUE!</v>
      </c>
      <c r="O88" s="3087"/>
      <c r="P88" s="11"/>
      <c r="Q88" s="2035"/>
      <c r="R88" s="2035"/>
      <c r="S88" s="2035"/>
      <c r="T88" s="2035"/>
      <c r="U88" s="2035"/>
      <c r="V88" s="2035"/>
      <c r="W88" s="2039"/>
      <c r="X88" s="2039"/>
      <c r="Y88" s="2039"/>
      <c r="Z88" s="2039"/>
    </row>
    <row r="89" spans="1:26" s="1314" customFormat="1" ht="14.25">
      <c r="A89" s="3292" t="s">
        <v>427</v>
      </c>
      <c r="B89" s="3293"/>
      <c r="C89" s="994"/>
      <c r="D89" s="994" t="s">
        <v>428</v>
      </c>
      <c r="E89" s="391" t="s">
        <v>437</v>
      </c>
      <c r="F89" s="392"/>
      <c r="G89" s="392"/>
      <c r="H89" s="393"/>
      <c r="I89" s="1316"/>
      <c r="J89" s="2040"/>
      <c r="K89" s="3274"/>
      <c r="L89" s="3094" t="s">
        <v>27</v>
      </c>
      <c r="M89" s="3085"/>
      <c r="N89" s="53" t="e">
        <f>ROUND(SUM(N83:N88),0)</f>
        <v>#VALUE!</v>
      </c>
      <c r="O89" s="3095" t="e">
        <f>N89/N69</f>
        <v>#VALUE!</v>
      </c>
      <c r="P89" s="2035"/>
      <c r="Q89" s="2035"/>
      <c r="R89" s="2035"/>
      <c r="S89" s="2035"/>
      <c r="T89" s="2035"/>
      <c r="U89" s="2035"/>
      <c r="V89" s="2035"/>
      <c r="W89" s="2039"/>
      <c r="X89" s="2039"/>
      <c r="Y89" s="2039"/>
      <c r="Z89" s="2039"/>
    </row>
    <row r="90" spans="1:26" s="1314" customFormat="1" ht="14.25">
      <c r="A90" s="381" t="s">
        <v>1824</v>
      </c>
      <c r="B90" s="382" t="s">
        <v>438</v>
      </c>
      <c r="C90" s="385">
        <f ca="1">ROUND(D63/(1+'数据-取费表'!C42),0)</f>
        <v>138062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439</v>
      </c>
      <c r="C91" s="385">
        <f ca="1">C92+C96</f>
        <v>3409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440</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445</v>
      </c>
      <c r="C94" s="378">
        <f>IF(F93="购房发票",ROUND(C93*H93*5%,0),0)</f>
        <v>500</v>
      </c>
      <c r="D94" s="401">
        <v>0.05</v>
      </c>
      <c r="E94" s="3325" t="s">
        <v>446</v>
      </c>
      <c r="F94" s="3326"/>
      <c r="G94" s="3326"/>
      <c r="H94" s="332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447</v>
      </c>
      <c r="C95" s="378">
        <f>ROUND(IF(G95="个人买卖住房",0,IF(G95="2016年5月1日前购买",C93*D95,C93*D95/(1+'数据-取费表'!C42))),0)</f>
        <v>81</v>
      </c>
      <c r="D95" s="402">
        <f>'数据-取费表'!B48+'数据-取费表'!B49</f>
        <v>4.0500000000000001E-2</v>
      </c>
      <c r="E95" s="26" t="s">
        <v>448</v>
      </c>
      <c r="F95" s="403"/>
      <c r="G95" s="404" t="s">
        <v>2433</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449</v>
      </c>
      <c r="C96" s="405">
        <f ca="1">ROUND(D63*D96/(1+'数据-取费表'!C42),0)</f>
        <v>828</v>
      </c>
      <c r="D96" s="406">
        <f>'数据-取费表'!B43</f>
        <v>6.000000000000001E-3</v>
      </c>
      <c r="E96" s="3315" t="s">
        <v>2432</v>
      </c>
      <c r="F96" s="3316"/>
      <c r="G96" s="3316"/>
      <c r="H96" s="3317"/>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450</v>
      </c>
      <c r="C97" s="385">
        <f ca="1">C90-C91</f>
        <v>134653</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451</v>
      </c>
      <c r="C98" s="407">
        <f ca="1">IF(C97&lt;=0,0,C97/C91)</f>
        <v>39.499266647110588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452</v>
      </c>
      <c r="C99" s="408">
        <f ca="1">ROUND(IF(C97&lt;=0,0,IF(C98&gt;=200%,C97*60%-C91*35%,IF(C98&gt;=100%,C97*50%-C91*15%,IF(C98&gt;=50%,C97*40%-C91*5%,IF(C98&lt;50%,C97*30%,0))))),0)</f>
        <v>79599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28" t="s">
        <v>453</v>
      </c>
      <c r="B101" s="3329"/>
      <c r="C101" s="3329"/>
      <c r="D101" s="3329"/>
      <c r="E101" s="3329"/>
      <c r="F101" s="3329"/>
      <c r="G101" s="3329"/>
      <c r="H101" s="3329"/>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292" t="s">
        <v>427</v>
      </c>
      <c r="B102" s="3293"/>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438</v>
      </c>
      <c r="C103" s="385">
        <f ca="1">ROUND(D63/(1+'数据-取费表'!C42),0)</f>
        <v>138062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439</v>
      </c>
      <c r="C104" s="385">
        <f ca="1">IF(H106="仅含出让金",C105+C108+C109+C110+C111+C112,C105+C109+C110+C111+C112)</f>
        <v>1523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454</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455</v>
      </c>
      <c r="C106" s="416">
        <v>555</v>
      </c>
      <c r="D106" s="406"/>
      <c r="E106" s="417" t="s">
        <v>456</v>
      </c>
      <c r="F106" s="986"/>
      <c r="G106" s="418" t="s">
        <v>457</v>
      </c>
      <c r="H106" s="419" t="s">
        <v>2443</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447</v>
      </c>
      <c r="C107" s="405">
        <f>ROUND(C106*D107,0)</f>
        <v>22</v>
      </c>
      <c r="D107" s="406">
        <f>'数据-取费表'!B48+'数据-取费表'!B49</f>
        <v>4.0500000000000001E-2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460</v>
      </c>
      <c r="C109" s="405">
        <f>IF(H109="——",IF(F1="现房",'剩余法-现房'!C18,'剩余法-待开发'!C18),I109)</f>
        <v>55</v>
      </c>
      <c r="D109" s="406"/>
      <c r="E109" s="3318" t="s">
        <v>461</v>
      </c>
      <c r="F109" s="3316"/>
      <c r="G109" s="3316"/>
      <c r="H109" s="1943" t="s">
        <v>2282</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462</v>
      </c>
      <c r="C110" s="405">
        <f>ROUND((C105+C108+C109)*D110,0)</f>
        <v>63</v>
      </c>
      <c r="D110" s="406">
        <v>0.1</v>
      </c>
      <c r="E110" s="3318" t="s">
        <v>463</v>
      </c>
      <c r="F110" s="3316"/>
      <c r="G110" s="3316"/>
      <c r="H110" s="3317"/>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449</v>
      </c>
      <c r="C111" s="405">
        <f ca="1">ROUND(D63*D111/(1+'数据-取费表'!C42),0)</f>
        <v>828</v>
      </c>
      <c r="D111" s="406">
        <f>'数据-取费表'!B43</f>
        <v>6.000000000000001E-3</v>
      </c>
      <c r="E111" s="3315" t="s">
        <v>2432</v>
      </c>
      <c r="F111" s="3316"/>
      <c r="G111" s="3316"/>
      <c r="H111" s="3317"/>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464</v>
      </c>
      <c r="C112" s="405">
        <f>ROUND(C108*D112,0)</f>
        <v>0</v>
      </c>
      <c r="D112" s="406">
        <v>0.2</v>
      </c>
      <c r="E112" s="3318" t="s">
        <v>2457</v>
      </c>
      <c r="F112" s="3316"/>
      <c r="G112" s="3316"/>
      <c r="H112" s="3317"/>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450</v>
      </c>
      <c r="C113" s="385">
        <f ca="1">ROUND(C103-C104,0)</f>
        <v>136539</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451</v>
      </c>
      <c r="C114" s="407">
        <f ca="1">IF(C113&lt;=0,0,C113/C104)</f>
        <v>89.651346027577148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452</v>
      </c>
      <c r="C115" s="408">
        <f ca="1">ROUND(IF(C113&lt;=0,0,IF(C114&gt;=200%,C113*60%-C104*35%,IF(C114&gt;=100%,C113*50%-C104*15%,IF(C114&gt;=50%,C113*40%-C104*5%,IF(C114&lt;50%,C113*30%,0))))),0)</f>
        <v>81390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C8" sqref="C8:E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37"/>
      <c r="C1" s="2106"/>
      <c r="D1" s="2106"/>
      <c r="E1" s="2106"/>
      <c r="F1" s="2106"/>
      <c r="G1" s="2106"/>
      <c r="H1" s="2106"/>
      <c r="I1" s="2106"/>
      <c r="J1" s="2106"/>
      <c r="K1" s="422">
        <f>MATCH(B1,'数据-取费表'!A6:A16,0)+5</f>
        <v>9</v>
      </c>
    </row>
    <row r="2" spans="1:31" s="2043" customFormat="1" ht="18" customHeight="1">
      <c r="A2" s="2103" t="s">
        <v>466</v>
      </c>
      <c r="B2" s="2107">
        <f ca="1">C36</f>
        <v>278955</v>
      </c>
      <c r="C2" s="2106"/>
      <c r="D2" s="2106"/>
      <c r="E2" s="2106"/>
      <c r="F2" s="2106"/>
      <c r="G2" s="2106"/>
      <c r="H2" s="2106"/>
      <c r="I2" s="2106"/>
      <c r="J2" s="2106"/>
      <c r="K2" s="2106"/>
    </row>
    <row r="3" spans="1:31" s="2043" customFormat="1" ht="18" customHeight="1">
      <c r="A3" s="2108" t="s">
        <v>1685</v>
      </c>
      <c r="B3" s="2109">
        <f ca="1">ROUND(B2*10000/IF(B1="",'数据-汇总表'!E3,INDIRECT("'数据-取费表'!K"&amp;$K$1)),0)</f>
        <v>1511</v>
      </c>
      <c r="C3" s="2106"/>
      <c r="D3" s="2106"/>
      <c r="E3" s="2106"/>
      <c r="F3" s="2106"/>
      <c r="G3" s="2106"/>
      <c r="H3" s="2106"/>
      <c r="I3" s="2106"/>
      <c r="J3" s="2106"/>
      <c r="K3" s="2106"/>
    </row>
    <row r="4" spans="1:31" s="2043" customFormat="1" ht="18" customHeight="1">
      <c r="A4" s="426" t="s">
        <v>467</v>
      </c>
      <c r="B4" s="427">
        <f ca="1">ROUND(B2*10000/IF(B1="",'数据-汇总表'!D3,INDIRECT("'数据-取费表'!R"&amp;$K$1)),0)</f>
        <v>4184</v>
      </c>
      <c r="C4" s="428"/>
      <c r="D4" s="422"/>
      <c r="E4" s="422"/>
      <c r="F4" s="422"/>
      <c r="G4" s="422"/>
      <c r="H4" s="422"/>
      <c r="I4" s="422"/>
      <c r="J4" s="422"/>
      <c r="K4" s="422"/>
    </row>
    <row r="5" spans="1:31" s="2043" customFormat="1" ht="18" customHeight="1" thickBot="1">
      <c r="A5" s="429"/>
      <c r="B5" s="430">
        <f ca="1">ROUND(B2/(IF(B1="",'数据-汇总表'!D3,INDIRECT("'数据-取费表'!R"&amp;$K$1))/666.67),0)</f>
        <v>279</v>
      </c>
      <c r="C5" s="431" t="s">
        <v>468</v>
      </c>
      <c r="D5" s="422"/>
      <c r="E5" s="422"/>
      <c r="F5" s="422"/>
      <c r="G5" s="422"/>
      <c r="H5" s="422"/>
      <c r="I5" s="422"/>
      <c r="J5" s="422"/>
      <c r="K5" s="422"/>
    </row>
    <row r="6" spans="1:31" s="2113" customFormat="1" ht="16.5" customHeight="1">
      <c r="A6" s="2856" t="s">
        <v>1843</v>
      </c>
      <c r="B6" s="2857"/>
      <c r="C6" s="2858">
        <f>SUM(C10:K10)</f>
        <v>1172250.9493571429</v>
      </c>
      <c r="D6" s="2857"/>
      <c r="E6" s="2857"/>
      <c r="F6" s="2857"/>
      <c r="G6" s="2857"/>
      <c r="H6" s="2857"/>
      <c r="I6" s="2857"/>
      <c r="J6" s="2857"/>
      <c r="K6" s="2859"/>
    </row>
    <row r="7" spans="1:31" s="2115" customFormat="1" ht="15">
      <c r="A7" s="2860" t="s">
        <v>469</v>
      </c>
      <c r="B7" s="2861" t="s">
        <v>470</v>
      </c>
      <c r="C7" s="436" t="s">
        <v>923</v>
      </c>
      <c r="D7" s="436" t="s">
        <v>3099</v>
      </c>
      <c r="E7" s="436" t="s">
        <v>35</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471</v>
      </c>
      <c r="C8" s="2862">
        <v>8500</v>
      </c>
      <c r="D8" s="2862">
        <v>11000</v>
      </c>
      <c r="E8" s="2862">
        <v>130000</v>
      </c>
      <c r="F8" s="2862"/>
      <c r="G8" s="2862"/>
      <c r="H8" s="2862"/>
      <c r="I8" s="2862"/>
      <c r="J8" s="2862"/>
      <c r="K8" s="2863"/>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472</v>
      </c>
      <c r="C9" s="441">
        <f>SUMIF('数据-汇总表'!$C19:$C33,'剩余法-待开发'!C7,'数据-汇总表'!$E19:$E33)</f>
        <v>1299666.67</v>
      </c>
      <c r="D9" s="441">
        <f>SUMIF('数据-汇总表'!$C19:$C33,'剩余法-待开发'!D7,'数据-汇总表'!$E19:$E33)</f>
        <v>57666.67</v>
      </c>
      <c r="E9" s="441">
        <f>SUMIF('数据-汇总表'!$C19:$C33,'剩余法-待开发'!E7,'数据-汇总表'!$E19:$E33)</f>
        <v>11041</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4" t="s">
        <v>1848</v>
      </c>
      <c r="B10" s="2850" t="s">
        <v>473</v>
      </c>
      <c r="C10" s="3057">
        <f>C9*C8/10000</f>
        <v>1104716.6695000001</v>
      </c>
      <c r="D10" s="3057">
        <f>D9*D8/10000</f>
        <v>63433.337</v>
      </c>
      <c r="E10" s="3057">
        <f>11041/35*13</f>
        <v>4100.9428571428571</v>
      </c>
      <c r="F10" s="2865"/>
      <c r="G10" s="2865"/>
      <c r="H10" s="2865"/>
      <c r="I10" s="2865"/>
      <c r="J10" s="2865"/>
      <c r="K10" s="2866"/>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7" t="s">
        <v>1844</v>
      </c>
      <c r="B11" s="2857"/>
      <c r="C11" s="2857"/>
      <c r="D11" s="2857"/>
      <c r="E11" s="2857"/>
      <c r="F11" s="2857"/>
      <c r="G11" s="2857"/>
      <c r="H11" s="2857"/>
      <c r="I11" s="2857"/>
      <c r="J11" s="2857"/>
      <c r="K11" s="2859"/>
    </row>
    <row r="12" spans="1:31" s="2087" customFormat="1" ht="13.5" customHeight="1">
      <c r="A12" s="2868" t="s">
        <v>469</v>
      </c>
      <c r="B12" s="2840" t="s">
        <v>470</v>
      </c>
      <c r="C12" s="2869" t="s">
        <v>474</v>
      </c>
      <c r="D12" s="2836" t="s">
        <v>475</v>
      </c>
      <c r="E12" s="2836" t="s">
        <v>476</v>
      </c>
      <c r="F12" s="2836" t="s">
        <v>477</v>
      </c>
      <c r="G12" s="2840"/>
      <c r="H12" s="2841"/>
      <c r="I12" s="2841"/>
      <c r="J12" s="2841"/>
      <c r="K12" s="2842"/>
    </row>
    <row r="13" spans="1:31" s="2118" customFormat="1" ht="13.5" customHeight="1">
      <c r="A13" s="2870" t="s">
        <v>1849</v>
      </c>
      <c r="B13" s="2871" t="s">
        <v>478</v>
      </c>
      <c r="C13" s="450">
        <f ca="1">IF(B1="",'数据-取费表'!P16,INDIRECT("'数据-取费表'!p"&amp;$K$1)+INDIRECT("'数据-取费表'!t"&amp;$K$1))</f>
        <v>398350</v>
      </c>
      <c r="D13" s="2872"/>
      <c r="E13" s="2873"/>
      <c r="F13" s="2874"/>
      <c r="G13" s="2840"/>
      <c r="H13" s="2841"/>
      <c r="I13" s="2841"/>
      <c r="J13" s="2841"/>
      <c r="K13" s="2842"/>
    </row>
    <row r="14" spans="1:31" s="2118" customFormat="1" ht="13.5" customHeight="1">
      <c r="A14" s="2870" t="s">
        <v>1850</v>
      </c>
      <c r="B14" s="2871" t="s">
        <v>479</v>
      </c>
      <c r="C14" s="53">
        <f ca="1">ROUND(C13*F14,0)</f>
        <v>11951</v>
      </c>
      <c r="D14" s="2872"/>
      <c r="E14" s="2873"/>
      <c r="F14" s="2875">
        <f>'数据-取费表'!B33</f>
        <v>0.03</v>
      </c>
      <c r="G14" s="2840" t="s">
        <v>480</v>
      </c>
      <c r="H14" s="2841"/>
      <c r="I14" s="2841"/>
      <c r="J14" s="2841"/>
      <c r="K14" s="2842"/>
    </row>
    <row r="15" spans="1:31" s="2118" customFormat="1" ht="13.5" customHeight="1">
      <c r="A15" s="2870" t="s">
        <v>1851</v>
      </c>
      <c r="B15" s="2871" t="s">
        <v>481</v>
      </c>
      <c r="C15" s="53">
        <f ca="1">ROUND(IF(B1="",SUMIF('数据-取费表'!C:C,"住宅",'数据-取费表'!P:P)*F15,IF(INDIRECT("'数据-取费表'!c"&amp;$K$1)="住宅",INDIRECT("'数据-取费表'!P"&amp;$K$1)*F15,0)),0)</f>
        <v>29892</v>
      </c>
      <c r="D15" s="2872"/>
      <c r="E15" s="2873"/>
      <c r="F15" s="2875">
        <f>'数据-取费表'!B34</f>
        <v>0.1</v>
      </c>
      <c r="G15" s="2840" t="s">
        <v>482</v>
      </c>
      <c r="H15" s="2841"/>
      <c r="I15" s="2841"/>
      <c r="J15" s="2841"/>
      <c r="K15" s="2842"/>
    </row>
    <row r="16" spans="1:31" s="2119" customFormat="1" ht="13.5" customHeight="1">
      <c r="A16" s="2870" t="s">
        <v>1852</v>
      </c>
      <c r="B16" s="2871" t="s">
        <v>483</v>
      </c>
      <c r="C16" s="53">
        <f ca="1">ROUND(D16*E16/10000,0)</f>
        <v>36912</v>
      </c>
      <c r="D16" s="2872">
        <f ca="1">IF(B1="",'数据-汇总表'!E3,INDIRECT("'数据-取费表'!K"&amp;$K$1)+INDIRECT("'数据-取费表'!S"&amp;$K$1))</f>
        <v>1845613.3399999999</v>
      </c>
      <c r="E16" s="53">
        <f>'数据-取费表'!B35</f>
        <v>200</v>
      </c>
      <c r="F16" s="2875"/>
      <c r="G16" s="2840"/>
      <c r="H16" s="2841"/>
      <c r="I16" s="2841"/>
      <c r="J16" s="2841"/>
      <c r="K16" s="2842"/>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70" t="s">
        <v>1853</v>
      </c>
      <c r="B17" s="2871" t="s">
        <v>484</v>
      </c>
      <c r="C17" s="2876">
        <f ca="1">ROUND(C13*F17,0)</f>
        <v>5975</v>
      </c>
      <c r="D17" s="475"/>
      <c r="E17" s="2876"/>
      <c r="F17" s="2877">
        <f>'数据-取费表'!B36</f>
        <v>1.4999999999999999E-2</v>
      </c>
      <c r="G17" s="261" t="s">
        <v>485</v>
      </c>
      <c r="H17" s="2843"/>
      <c r="I17" s="2843"/>
      <c r="J17" s="2843"/>
      <c r="K17" s="279"/>
    </row>
    <row r="18" spans="1:14" s="2118" customFormat="1" ht="13.5" customHeight="1">
      <c r="A18" s="2878" t="s">
        <v>1854</v>
      </c>
      <c r="B18" s="2879" t="s">
        <v>486</v>
      </c>
      <c r="C18" s="2880">
        <f ca="1">SUM(C13:C17)</f>
        <v>483080</v>
      </c>
      <c r="D18" s="2881"/>
      <c r="E18" s="468"/>
      <c r="F18" s="468"/>
      <c r="G18" s="2844" t="s">
        <v>2434</v>
      </c>
      <c r="H18" s="2845"/>
      <c r="I18" s="2845"/>
      <c r="J18" s="2845"/>
      <c r="K18" s="2846"/>
    </row>
    <row r="19" spans="1:14" s="2118" customFormat="1" ht="13.5" customHeight="1">
      <c r="A19" s="2878" t="s">
        <v>1855</v>
      </c>
      <c r="B19" s="2879" t="s">
        <v>487</v>
      </c>
      <c r="C19" s="2836">
        <f ca="1">ROUND(D19*E19/10000,0)</f>
        <v>0</v>
      </c>
      <c r="D19" s="2882">
        <f ca="1">D16</f>
        <v>1845613.3399999999</v>
      </c>
      <c r="E19" s="2836">
        <f>'数据-取费表'!B32</f>
        <v>0</v>
      </c>
      <c r="F19" s="468"/>
      <c r="G19" s="2840" t="s">
        <v>488</v>
      </c>
      <c r="H19" s="2841"/>
      <c r="I19" s="2845"/>
      <c r="J19" s="2845"/>
      <c r="K19" s="2846"/>
    </row>
    <row r="20" spans="1:14" s="2118" customFormat="1" ht="13.5" customHeight="1">
      <c r="A20" s="2878" t="s">
        <v>1856</v>
      </c>
      <c r="B20" s="2879" t="s">
        <v>489</v>
      </c>
      <c r="C20" s="2836">
        <f ca="1">C21+C22-IF(B1="",'数据-取费表'!B29,IF(G20="已全部缴纳",C21+C22,H20))</f>
        <v>31375</v>
      </c>
      <c r="D20" s="2882"/>
      <c r="E20" s="2836"/>
      <c r="F20" s="2883"/>
      <c r="G20" s="3117"/>
      <c r="H20" s="2838"/>
      <c r="I20" s="2839" t="s">
        <v>2659</v>
      </c>
      <c r="J20" s="2845"/>
      <c r="K20" s="2846"/>
    </row>
    <row r="21" spans="1:14" s="2118" customFormat="1" ht="13.5" customHeight="1">
      <c r="A21" s="2870" t="s">
        <v>1857</v>
      </c>
      <c r="B21" s="2871" t="s">
        <v>490</v>
      </c>
      <c r="C21" s="53">
        <f ca="1">ROUND(D21*E21/10000,0)</f>
        <v>22094</v>
      </c>
      <c r="D21" s="2872">
        <f ca="1">IF(B1="",'数据-汇总表'!E5,IF(INDIRECT("'数据-取费表'!c"&amp;$K$1)="住宅",INDIRECT("'数据-取费表'!k"&amp;$K$1),0))</f>
        <v>1299666.67</v>
      </c>
      <c r="E21" s="53">
        <f>'数据-取费表'!B27</f>
        <v>170</v>
      </c>
      <c r="F21" s="2875"/>
      <c r="G21" s="26"/>
      <c r="H21" s="51"/>
      <c r="I21" s="51"/>
      <c r="J21" s="51"/>
      <c r="K21" s="2847"/>
    </row>
    <row r="22" spans="1:14" s="2118" customFormat="1" ht="13.5" customHeight="1">
      <c r="A22" s="2870" t="s">
        <v>1858</v>
      </c>
      <c r="B22" s="2871" t="s">
        <v>491</v>
      </c>
      <c r="C22" s="53">
        <f ca="1">ROUND(D22*E22/10000,0)</f>
        <v>9281</v>
      </c>
      <c r="D22" s="2872">
        <f ca="1">IF(B1="",'数据-汇总表'!E6,IF(INDIRECT("'数据-取费表'!c"&amp;$K$1)="住宅",INDIRECT("'数据-取费表'!s"&amp;$K$1),INDIRECT("'数据-取费表'!k"&amp;$K$1)+INDIRECT("'数据-取费表'!s"&amp;$K$1)))</f>
        <v>545946.66999999993</v>
      </c>
      <c r="E22" s="53">
        <f>'数据-取费表'!B28</f>
        <v>170</v>
      </c>
      <c r="F22" s="2875"/>
      <c r="G22" s="26"/>
      <c r="H22" s="51"/>
      <c r="I22" s="51"/>
      <c r="J22" s="51"/>
      <c r="K22" s="2847"/>
    </row>
    <row r="23" spans="1:14" s="2118" customFormat="1" ht="13.5" customHeight="1">
      <c r="A23" s="2878" t="s">
        <v>1859</v>
      </c>
      <c r="B23" s="3063" t="s">
        <v>2842</v>
      </c>
      <c r="C23" s="2880">
        <f ca="1">ROUND((C18+C19+C20)*F23,0)</f>
        <v>15434</v>
      </c>
      <c r="D23" s="468"/>
      <c r="E23" s="468"/>
      <c r="F23" s="2884">
        <f>'数据-取费表'!B37</f>
        <v>0.03</v>
      </c>
      <c r="G23" s="2840" t="s">
        <v>2435</v>
      </c>
      <c r="H23" s="2841"/>
      <c r="I23" s="2841"/>
      <c r="J23" s="2841"/>
      <c r="K23" s="2842"/>
      <c r="L23" s="2120"/>
      <c r="M23" s="2120"/>
      <c r="N23" s="2120"/>
    </row>
    <row r="24" spans="1:14" s="2118" customFormat="1" ht="13.5" customHeight="1">
      <c r="A24" s="2878" t="s">
        <v>1860</v>
      </c>
      <c r="B24" s="3063" t="s">
        <v>2845</v>
      </c>
      <c r="C24" s="2880">
        <f>ROUND(C6*F24,0)</f>
        <v>35168</v>
      </c>
      <c r="D24" s="475"/>
      <c r="E24" s="473"/>
      <c r="F24" s="2884">
        <f>'数据-取费表'!B38</f>
        <v>0.03</v>
      </c>
      <c r="G24" s="2849" t="s">
        <v>498</v>
      </c>
      <c r="H24" s="2843"/>
      <c r="I24" s="2843"/>
      <c r="J24" s="2843"/>
      <c r="K24" s="279"/>
      <c r="L24" s="2120"/>
      <c r="M24" s="2120"/>
      <c r="N24" s="2120"/>
    </row>
    <row r="25" spans="1:14" s="2121" customFormat="1" ht="13.5" customHeight="1">
      <c r="A25" s="2878" t="s">
        <v>1861</v>
      </c>
      <c r="B25" s="3063" t="s">
        <v>2843</v>
      </c>
      <c r="C25" s="467">
        <f>ROUND(F25/(1+'数据-取费表'!C42),4)</f>
        <v>3.8600000000000002E-2</v>
      </c>
      <c r="D25" s="462" t="s">
        <v>2837</v>
      </c>
      <c r="E25" s="469"/>
      <c r="F25" s="2884">
        <f>'数据-取费表'!B48+'数据-取费表'!B49</f>
        <v>4.0500000000000001E-2</v>
      </c>
      <c r="G25" s="2848" t="s">
        <v>2292</v>
      </c>
      <c r="H25" s="2841"/>
      <c r="I25" s="2841"/>
      <c r="J25" s="2841"/>
      <c r="K25" s="2842"/>
    </row>
    <row r="26" spans="1:14" s="2120" customFormat="1" ht="13.5" customHeight="1">
      <c r="A26" s="2878" t="s">
        <v>1862</v>
      </c>
      <c r="B26" s="3064" t="s">
        <v>2844</v>
      </c>
      <c r="C26" s="2885">
        <f ca="1">C28</f>
        <v>40735</v>
      </c>
      <c r="D26" s="467">
        <f ca="1">C27</f>
        <v>0.15509999999999999</v>
      </c>
      <c r="E26" s="469" t="s">
        <v>494</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5"/>
      <c r="I26" s="2845"/>
      <c r="J26" s="2845"/>
      <c r="K26" s="2846"/>
    </row>
    <row r="27" spans="1:14" s="2122" customFormat="1" ht="13.5" customHeight="1">
      <c r="A27" s="803" t="s">
        <v>1857</v>
      </c>
      <c r="B27" s="2886" t="s">
        <v>495</v>
      </c>
      <c r="C27" s="2887">
        <f ca="1">ROUND(IF('数据-取费表'!B22&lt;=1,(1+C25)*F26*'数据-取费表'!B24,(1+C25)*(POWER((1+F26),'数据-取费表'!B24)-1)),4)</f>
        <v>0.15509999999999999</v>
      </c>
      <c r="D27" s="472"/>
      <c r="E27" s="473"/>
      <c r="F27" s="474"/>
      <c r="G27" s="2598" t="str">
        <f>IF('数据-取费表'!B22&lt;=1,"（1+取得税费率/(1+5%)）×年利率×建设期","（1+取得税费率）/(1+5%)×((1+年利率)^建设期-1)")</f>
        <v>（1+取得税费率）/(1+5%)×((1+年利率)^建设期-1)</v>
      </c>
      <c r="H27" s="2843"/>
      <c r="I27" s="2843"/>
      <c r="J27" s="2843"/>
      <c r="K27" s="279"/>
    </row>
    <row r="28" spans="1:14" s="2122" customFormat="1" ht="13.5" customHeight="1">
      <c r="A28" s="803" t="s">
        <v>1858</v>
      </c>
      <c r="B28" s="2886" t="s">
        <v>2846</v>
      </c>
      <c r="C28" s="2888">
        <f ca="1">ROUND(IF('数据-取费表'!B22&lt;=1,(C18+C19+C20+C23+C24)*F26*'数据-取费表'!B24/2,(C18+C19+C20+C23+C24)*(POWER((1+F26),'数据-取费表'!B24/2)-1)),0)</f>
        <v>40735</v>
      </c>
      <c r="D28" s="472"/>
      <c r="E28" s="473"/>
      <c r="F28" s="474"/>
      <c r="G28" s="2598" t="str">
        <f>IF('数据-取费表'!B22&lt;=1,"（1）-（4）项×年利率×建设期÷2","（1）-（4）项×((1+年利率)^(建设期÷2)-1)")</f>
        <v>（1）-（4）项×((1+年利率)^(建设期÷2)-1)</v>
      </c>
      <c r="H28" s="2843"/>
      <c r="I28" s="2843"/>
      <c r="J28" s="2843"/>
      <c r="K28" s="279"/>
    </row>
    <row r="29" spans="1:14" s="2122" customFormat="1" ht="13.5" customHeight="1">
      <c r="A29" s="2889" t="s">
        <v>1863</v>
      </c>
      <c r="B29" s="2879" t="s">
        <v>496</v>
      </c>
      <c r="C29" s="2880">
        <f>ROUND(C6*F29/(1+'数据-取费表'!C42),0)</f>
        <v>62520</v>
      </c>
      <c r="D29" s="468"/>
      <c r="E29" s="468"/>
      <c r="F29" s="3065">
        <f>'数据-取费表'!B41</f>
        <v>5.6000000000000001E-2</v>
      </c>
      <c r="G29" s="2849" t="s">
        <v>497</v>
      </c>
      <c r="H29" s="2841"/>
      <c r="I29" s="2841"/>
      <c r="J29" s="2841"/>
      <c r="K29" s="2842"/>
    </row>
    <row r="30" spans="1:14" s="2123" customFormat="1" ht="13.5" customHeight="1">
      <c r="A30" s="1636" t="s">
        <v>1864</v>
      </c>
      <c r="B30" s="2890" t="s">
        <v>499</v>
      </c>
      <c r="C30" s="2885">
        <f ca="1">C31</f>
        <v>668312</v>
      </c>
      <c r="D30" s="477">
        <f ca="1">C32</f>
        <v>0.19370000000000001</v>
      </c>
      <c r="E30" s="469" t="s">
        <v>494</v>
      </c>
      <c r="F30" s="471"/>
      <c r="G30" s="2840" t="s">
        <v>500</v>
      </c>
      <c r="H30" s="2841"/>
      <c r="I30" s="2841"/>
      <c r="J30" s="2841"/>
      <c r="K30" s="2842"/>
    </row>
    <row r="31" spans="1:14" s="2122" customFormat="1" ht="13.5" customHeight="1">
      <c r="A31" s="803" t="s">
        <v>1857</v>
      </c>
      <c r="B31" s="2886"/>
      <c r="C31" s="450">
        <f ca="1">C18+C19+C20+C23+C24+C26+C29</f>
        <v>668312</v>
      </c>
      <c r="D31" s="472"/>
      <c r="E31" s="473"/>
      <c r="F31" s="474"/>
      <c r="G31" s="261"/>
      <c r="H31" s="2843"/>
      <c r="I31" s="2843"/>
      <c r="J31" s="2843"/>
      <c r="K31" s="279"/>
    </row>
    <row r="32" spans="1:14" s="2122" customFormat="1" ht="13.5" customHeight="1">
      <c r="A32" s="803" t="s">
        <v>1858</v>
      </c>
      <c r="B32" s="2886"/>
      <c r="C32" s="53">
        <f ca="1">ROUND(C25+D26,4)</f>
        <v>0.19370000000000001</v>
      </c>
      <c r="D32" s="472"/>
      <c r="E32" s="473"/>
      <c r="F32" s="474"/>
      <c r="G32" s="261"/>
      <c r="H32" s="2843"/>
      <c r="I32" s="2843"/>
      <c r="J32" s="2843"/>
      <c r="K32" s="279"/>
    </row>
    <row r="33" spans="1:11" s="2124" customFormat="1" ht="13.5" customHeight="1">
      <c r="A33" s="3062" t="s">
        <v>2841</v>
      </c>
      <c r="B33" s="3060" t="s">
        <v>2839</v>
      </c>
      <c r="C33" s="478">
        <f ca="1">C35</f>
        <v>113011</v>
      </c>
      <c r="D33" s="467">
        <f ca="1">C34</f>
        <v>0.2077</v>
      </c>
      <c r="E33" s="469" t="s">
        <v>494</v>
      </c>
      <c r="F33" s="479">
        <f ca="1">IF(B1="",'数据-取费表'!Q16,INDIRECT("'数据-取费表'!q"&amp;$K$1))</f>
        <v>0.2</v>
      </c>
      <c r="G33" s="2844"/>
      <c r="H33" s="2845"/>
      <c r="I33" s="2845"/>
      <c r="J33" s="2845"/>
      <c r="K33" s="2846"/>
    </row>
    <row r="34" spans="1:11" s="2125" customFormat="1" ht="13.5" customHeight="1">
      <c r="A34" s="375" t="s">
        <v>1857</v>
      </c>
      <c r="B34" s="2891" t="s">
        <v>501</v>
      </c>
      <c r="C34" s="472">
        <f ca="1">ROUND((1+C25)*F33,4)</f>
        <v>0.2077</v>
      </c>
      <c r="D34" s="472"/>
      <c r="E34" s="473"/>
      <c r="F34" s="480"/>
      <c r="G34" s="261" t="s">
        <v>2293</v>
      </c>
      <c r="H34" s="2843"/>
      <c r="I34" s="2843"/>
      <c r="J34" s="2843"/>
      <c r="K34" s="279"/>
    </row>
    <row r="35" spans="1:11" s="2125" customFormat="1" ht="13.5" customHeight="1" thickBot="1">
      <c r="A35" s="1637" t="s">
        <v>1858</v>
      </c>
      <c r="B35" s="3061" t="s">
        <v>2847</v>
      </c>
      <c r="C35" s="1629">
        <f ca="1">ROUND((C18+C19+C20+C23+C24)*F33,0)</f>
        <v>113011</v>
      </c>
      <c r="D35" s="1630"/>
      <c r="E35" s="2892"/>
      <c r="F35" s="1631"/>
      <c r="G35" s="2850"/>
      <c r="H35" s="2851"/>
      <c r="I35" s="2851"/>
      <c r="J35" s="2851"/>
      <c r="K35" s="2852"/>
    </row>
    <row r="36" spans="1:11" s="2087" customFormat="1" ht="13.5" customHeight="1" thickBot="1">
      <c r="A36" s="284" t="s">
        <v>1845</v>
      </c>
      <c r="B36" s="2854"/>
      <c r="C36" s="2893">
        <f ca="1">ROUND((C6-C30-C33)/(1+D30+D33),0)</f>
        <v>278955</v>
      </c>
      <c r="D36" s="2854"/>
      <c r="E36" s="2854"/>
      <c r="F36" s="2854"/>
      <c r="G36" s="2853" t="s">
        <v>2848</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5" t="str">
        <f>项目基本情况!B1</f>
        <v>郑州市荥阳市出让国有建设用地使用权抵押价格预评估</v>
      </c>
      <c r="C37" s="3185"/>
      <c r="D37" s="3185"/>
      <c r="E37" s="3185"/>
      <c r="F37" s="3185"/>
      <c r="G37" s="3185"/>
      <c r="H37" s="3185"/>
      <c r="I37" s="3185"/>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37"/>
      <c r="C1" s="2106"/>
      <c r="D1" s="2106"/>
      <c r="E1" s="2106"/>
      <c r="F1" s="2106"/>
      <c r="G1" s="2106"/>
      <c r="H1" s="2106"/>
      <c r="I1" s="2106"/>
      <c r="J1" s="2106"/>
      <c r="K1" s="422">
        <f>MATCH(B1,'数据-取费表'!A6:A16,0)+5</f>
        <v>9</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2660</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1849</v>
      </c>
      <c r="B13" s="449" t="s">
        <v>478</v>
      </c>
      <c r="C13" s="450">
        <f ca="1">IF(B1="",'数据-取费表'!M16,INDIRECT("'数据-取费表'!M"&amp;$K$1)+INDIRECT("'数据-取费表'!t"&amp;$K$1))</f>
        <v>398350</v>
      </c>
      <c r="D13" s="451"/>
      <c r="E13" s="365"/>
      <c r="F13" s="452"/>
      <c r="G13" s="444"/>
      <c r="H13" s="447"/>
      <c r="I13" s="447"/>
      <c r="J13" s="447"/>
      <c r="K13" s="448"/>
    </row>
    <row r="14" spans="1:41" s="2118" customFormat="1" ht="13.5" customHeight="1">
      <c r="A14" s="1634" t="s">
        <v>1850</v>
      </c>
      <c r="B14" s="449" t="s">
        <v>479</v>
      </c>
      <c r="C14" s="53">
        <f ca="1">ROUND(C13*F14,0)</f>
        <v>11951</v>
      </c>
      <c r="D14" s="451"/>
      <c r="E14" s="365"/>
      <c r="F14" s="453">
        <f>'数据-取费表'!B33</f>
        <v>0.03</v>
      </c>
      <c r="G14" s="444" t="s">
        <v>502</v>
      </c>
      <c r="H14" s="447"/>
      <c r="I14" s="447"/>
      <c r="J14" s="447"/>
      <c r="K14" s="448"/>
    </row>
    <row r="15" spans="1:41" s="2118" customFormat="1" ht="13.5" customHeight="1">
      <c r="A15" s="1634" t="s">
        <v>1851</v>
      </c>
      <c r="B15" s="449" t="s">
        <v>481</v>
      </c>
      <c r="C15" s="53">
        <f ca="1">ROUND(IF(B1="",SUMIF('数据-取费表'!C:C,"住宅",'数据-取费表'!M:M)*F15,IF(INDIRECT("'数据-取费表'!c"&amp;$K$1)="住宅",INDIRECT("'数据-取费表'!M"&amp;$K$1)*F15,0)),0)</f>
        <v>29892</v>
      </c>
      <c r="D15" s="451"/>
      <c r="E15" s="365"/>
      <c r="F15" s="453">
        <f>'数据-取费表'!B34</f>
        <v>0.1</v>
      </c>
      <c r="G15" s="444" t="s">
        <v>502</v>
      </c>
      <c r="H15" s="447"/>
      <c r="I15" s="447"/>
      <c r="J15" s="447"/>
      <c r="K15" s="448"/>
    </row>
    <row r="16" spans="1:41" s="2119" customFormat="1" ht="13.5" customHeight="1">
      <c r="A16" s="1634" t="s">
        <v>1852</v>
      </c>
      <c r="B16" s="449" t="s">
        <v>483</v>
      </c>
      <c r="C16" s="53">
        <f ca="1">ROUND(D16*E16/10000,0)</f>
        <v>36912</v>
      </c>
      <c r="D16" s="451">
        <f ca="1">IF(B1="",'数据-汇总表'!E3,INDIRECT("'数据-取费表'!K"&amp;$K$1)+INDIRECT("'数据-取费表'!S"&amp;$K$1))</f>
        <v>1845613.3399999999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484</v>
      </c>
      <c r="C17" s="454">
        <f ca="1">ROUND(C13*F17,0)</f>
        <v>5975</v>
      </c>
      <c r="D17" s="455"/>
      <c r="E17" s="454"/>
      <c r="F17" s="456">
        <f>'数据-取费表'!B36</f>
        <v>1.4999999999999999E-2</v>
      </c>
      <c r="G17" s="444" t="s">
        <v>502</v>
      </c>
      <c r="H17" s="457"/>
      <c r="I17" s="457"/>
      <c r="J17" s="457"/>
      <c r="K17" s="458"/>
    </row>
    <row r="18" spans="1:14" s="2121" customFormat="1" ht="13.5" customHeight="1">
      <c r="A18" s="1635" t="s">
        <v>1854</v>
      </c>
      <c r="B18" s="459" t="s">
        <v>486</v>
      </c>
      <c r="C18" s="460">
        <f ca="1">SUM(C13:C17)</f>
        <v>483080</v>
      </c>
      <c r="D18" s="461"/>
      <c r="E18" s="462"/>
      <c r="F18" s="462"/>
      <c r="G18" s="1327" t="s">
        <v>2436</v>
      </c>
      <c r="H18" s="447"/>
      <c r="I18" s="447"/>
      <c r="J18" s="447"/>
      <c r="K18" s="448"/>
    </row>
    <row r="19" spans="1:14" s="2121" customFormat="1" ht="13.5" customHeight="1">
      <c r="A19" s="1635" t="s">
        <v>1855</v>
      </c>
      <c r="B19" s="459" t="s">
        <v>492</v>
      </c>
      <c r="C19" s="460">
        <f ca="1">ROUND(C18*F19,0)</f>
        <v>14492</v>
      </c>
      <c r="D19" s="462"/>
      <c r="E19" s="462"/>
      <c r="F19" s="466">
        <f>'数据-取费表'!B37</f>
        <v>0.03</v>
      </c>
      <c r="G19" s="444" t="s">
        <v>503</v>
      </c>
      <c r="H19" s="447"/>
      <c r="I19" s="447"/>
      <c r="J19" s="447"/>
      <c r="K19" s="448"/>
      <c r="L19" s="2123"/>
      <c r="M19" s="2123"/>
      <c r="N19" s="2123"/>
    </row>
    <row r="20" spans="1:14" s="2121" customFormat="1" ht="13.5" customHeight="1">
      <c r="A20" s="1635" t="s">
        <v>1856</v>
      </c>
      <c r="B20" s="459" t="s">
        <v>504</v>
      </c>
      <c r="C20" s="3058">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493</v>
      </c>
      <c r="C21" s="470">
        <f ca="1">C22</f>
        <v>35870</v>
      </c>
      <c r="D21" s="467">
        <f ca="1">C23</f>
        <v>2.2000000000000001E-3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2458</v>
      </c>
    </row>
    <row r="22" spans="1:14" s="2122" customFormat="1" ht="13.5" customHeight="1">
      <c r="A22" s="1634" t="s">
        <v>1849</v>
      </c>
      <c r="B22" s="1328" t="s">
        <v>2439</v>
      </c>
      <c r="C22" s="487">
        <f ca="1">ROUND(IF('数据-取费表'!B22&lt;=1,(C18+C19)*F21*'数据-取费表'!B20/2,(C18+C19)*(POWER((1+F21),'数据-取费表'!B20/2)-1)),0)</f>
        <v>35870</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2.2000000000000001E-3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60" t="s">
        <v>2840</v>
      </c>
      <c r="C24" s="478">
        <f ca="1">C25</f>
        <v>99514</v>
      </c>
      <c r="D24" s="489">
        <f ca="1">C26</f>
        <v>6.0000000000000001E-3</v>
      </c>
      <c r="E24" s="469" t="s">
        <v>507</v>
      </c>
      <c r="F24" s="479">
        <f ca="1">IF(B1="",'数据-取费表'!Q16,INDIRECT("'数据-取费表'!q"&amp;$K$1))</f>
        <v>0.2</v>
      </c>
      <c r="G24" s="444"/>
      <c r="H24" s="447"/>
      <c r="I24" s="447"/>
      <c r="J24" s="447"/>
      <c r="K24" s="448"/>
    </row>
    <row r="25" spans="1:14" s="2122" customFormat="1" ht="13.5" customHeight="1">
      <c r="A25" s="1634" t="s">
        <v>1849</v>
      </c>
      <c r="B25" s="1328" t="s">
        <v>2440</v>
      </c>
      <c r="C25" s="490">
        <f ca="1">ROUND((C18+C19)*F24,0)</f>
        <v>99514</v>
      </c>
      <c r="D25" s="472"/>
      <c r="E25" s="473"/>
      <c r="F25" s="480"/>
      <c r="G25" s="1326" t="s">
        <v>2437</v>
      </c>
      <c r="H25" s="457"/>
      <c r="I25" s="457"/>
      <c r="J25" s="457"/>
      <c r="K25" s="458"/>
    </row>
    <row r="26" spans="1:14" s="2122" customFormat="1" ht="13.5" customHeight="1">
      <c r="A26" s="1634" t="s">
        <v>1850</v>
      </c>
      <c r="B26" s="1328" t="s">
        <v>509</v>
      </c>
      <c r="C26" s="491">
        <f ca="1">ROUND(F20*F24,4)</f>
        <v>6.0000000000000001E-3</v>
      </c>
      <c r="D26" s="472"/>
      <c r="E26" s="481"/>
      <c r="F26" s="480"/>
      <c r="G26" s="1326" t="s">
        <v>510</v>
      </c>
      <c r="H26" s="457"/>
      <c r="I26" s="457"/>
      <c r="J26" s="457"/>
      <c r="K26" s="458"/>
    </row>
    <row r="27" spans="1:14" s="2122" customFormat="1" ht="13.5" customHeight="1">
      <c r="A27" s="1638" t="s">
        <v>1868</v>
      </c>
      <c r="B27" s="459" t="s">
        <v>511</v>
      </c>
      <c r="C27" s="3059">
        <f>ROUND(F27/(1+'数据-取费表'!C42),4)</f>
        <v>5.33E-2</v>
      </c>
      <c r="D27" s="462" t="s">
        <v>2838</v>
      </c>
      <c r="E27" s="462"/>
      <c r="F27" s="466">
        <f>'数据-取费表'!B41</f>
        <v>5.6000000000000001E-2</v>
      </c>
      <c r="G27" s="1962" t="s">
        <v>2294</v>
      </c>
      <c r="H27" s="447"/>
      <c r="I27" s="447"/>
      <c r="J27" s="447"/>
      <c r="K27" s="448"/>
    </row>
    <row r="28" spans="1:14" s="2123" customFormat="1" ht="13.5" customHeight="1">
      <c r="A28" s="1638" t="s">
        <v>1869</v>
      </c>
      <c r="B28" s="476" t="s">
        <v>512</v>
      </c>
      <c r="C28" s="470">
        <f ca="1">ROUND((C18+C19+C21+C24)/(1-C20-D21-D24-C27),0)</f>
        <v>696704</v>
      </c>
      <c r="D28" s="477"/>
      <c r="E28" s="469"/>
      <c r="F28" s="471"/>
      <c r="G28" s="1327" t="s">
        <v>2438</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2459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31" zoomScale="80" zoomScaleNormal="95" zoomScaleSheetLayoutView="80" workbookViewId="0">
      <selection activeCell="E48" sqref="E4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154467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837</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2317</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154</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73" t="s">
        <v>522</v>
      </c>
      <c r="D6" s="3374"/>
      <c r="E6" s="3373" t="s">
        <v>523</v>
      </c>
      <c r="F6" s="3374"/>
      <c r="G6" s="3373" t="s">
        <v>524</v>
      </c>
      <c r="H6" s="3374"/>
      <c r="I6" s="3373" t="s">
        <v>525</v>
      </c>
      <c r="J6" s="3374"/>
      <c r="K6" s="514" t="s">
        <v>526</v>
      </c>
      <c r="L6" s="2135"/>
      <c r="M6" s="2134"/>
      <c r="N6" s="2134"/>
      <c r="O6" s="2136"/>
      <c r="P6" s="3375" t="s">
        <v>527</v>
      </c>
      <c r="Q6" s="3376"/>
      <c r="R6" s="3361" t="s">
        <v>523</v>
      </c>
      <c r="S6" s="3362"/>
      <c r="T6" s="3361" t="s">
        <v>524</v>
      </c>
      <c r="U6" s="3362"/>
      <c r="V6" s="3381" t="s">
        <v>525</v>
      </c>
      <c r="W6" s="3381"/>
      <c r="X6" s="1568"/>
      <c r="Y6" s="3361" t="s">
        <v>527</v>
      </c>
      <c r="Z6" s="3362"/>
      <c r="AA6" s="3356" t="s">
        <v>523</v>
      </c>
      <c r="AB6" s="3357" t="s">
        <v>524</v>
      </c>
      <c r="AC6" s="3356" t="s">
        <v>525</v>
      </c>
    </row>
    <row r="7" spans="1:30" ht="20.25">
      <c r="A7" s="515"/>
      <c r="B7" s="516"/>
      <c r="C7" s="3384" t="s">
        <v>2939</v>
      </c>
      <c r="D7" s="3385"/>
      <c r="E7" s="3384" t="s">
        <v>2940</v>
      </c>
      <c r="F7" s="3385"/>
      <c r="G7" s="3384" t="s">
        <v>2941</v>
      </c>
      <c r="H7" s="3385"/>
      <c r="I7" s="3384" t="s">
        <v>2942</v>
      </c>
      <c r="J7" s="3385"/>
      <c r="K7" s="514"/>
      <c r="L7" s="2135"/>
      <c r="M7" s="2134"/>
      <c r="N7" s="2134"/>
      <c r="O7" s="2136"/>
      <c r="P7" s="3377"/>
      <c r="Q7" s="3378"/>
      <c r="R7" s="3363"/>
      <c r="S7" s="3364"/>
      <c r="T7" s="3363"/>
      <c r="U7" s="3364"/>
      <c r="V7" s="3381"/>
      <c r="W7" s="3381"/>
      <c r="X7" s="1568"/>
      <c r="Y7" s="3363"/>
      <c r="Z7" s="3364"/>
      <c r="AA7" s="3357"/>
      <c r="AB7" s="3357"/>
      <c r="AC7" s="3357"/>
    </row>
    <row r="8" spans="1:30" ht="21" thickBot="1">
      <c r="A8" s="515"/>
      <c r="B8" s="516"/>
      <c r="C8" s="3386" t="s">
        <v>2943</v>
      </c>
      <c r="D8" s="3387"/>
      <c r="E8" s="3388" t="s">
        <v>3108</v>
      </c>
      <c r="F8" s="3387"/>
      <c r="G8" s="3382" t="s">
        <v>3109</v>
      </c>
      <c r="H8" s="3383"/>
      <c r="I8" s="3382" t="s">
        <v>3110</v>
      </c>
      <c r="J8" s="3383"/>
      <c r="K8" s="514" t="s">
        <v>528</v>
      </c>
      <c r="L8" s="2135"/>
      <c r="M8" s="2134"/>
      <c r="N8" s="2134"/>
      <c r="O8" s="2136"/>
      <c r="P8" s="3379"/>
      <c r="Q8" s="3380"/>
      <c r="R8" s="3363"/>
      <c r="S8" s="3364"/>
      <c r="T8" s="3365"/>
      <c r="U8" s="3366"/>
      <c r="V8" s="3381"/>
      <c r="W8" s="3381"/>
      <c r="X8" s="1568"/>
      <c r="Y8" s="3365"/>
      <c r="Z8" s="3366"/>
      <c r="AA8" s="3358"/>
      <c r="AB8" s="3358"/>
      <c r="AC8" s="3358"/>
    </row>
    <row r="9" spans="1:30" s="1220" customFormat="1" ht="21" thickBot="1">
      <c r="A9" s="2940"/>
      <c r="B9" s="2947" t="s">
        <v>529</v>
      </c>
      <c r="C9" s="2939">
        <f>'数据-取费表'!B2</f>
        <v>43077</v>
      </c>
      <c r="D9" s="520">
        <v>100</v>
      </c>
      <c r="E9" s="521">
        <v>42856</v>
      </c>
      <c r="F9" s="522">
        <f>SUMIF(72:72,YEAR(E9)&amp;"-"&amp;INT((MONTH(E9)+2)/3),73:73)</f>
        <v>99</v>
      </c>
      <c r="G9" s="523">
        <v>42795</v>
      </c>
      <c r="H9" s="520">
        <f>SUMIF(72:72,YEAR(G9)&amp;"-"&amp;INT((MONTH(G9)+2)/3),73:73)</f>
        <v>98.5</v>
      </c>
      <c r="I9" s="523">
        <v>42736</v>
      </c>
      <c r="J9" s="520">
        <f>SUMIF(72:72,YEAR(I9)&amp;"-"&amp;INT((MONTH(I9)+2)/3),73:73)</f>
        <v>98.5</v>
      </c>
      <c r="K9" s="524"/>
      <c r="L9" s="2137"/>
      <c r="M9" s="2134"/>
      <c r="N9" s="2134"/>
      <c r="O9" s="2138"/>
      <c r="P9" s="3359" t="s">
        <v>530</v>
      </c>
      <c r="Q9" s="3368"/>
      <c r="R9" s="1569" t="s">
        <v>8</v>
      </c>
      <c r="S9" s="1570">
        <f t="shared" ref="S9:S17" si="0">F9</f>
        <v>99</v>
      </c>
      <c r="T9" s="1569" t="s">
        <v>8</v>
      </c>
      <c r="U9" s="1570">
        <f t="shared" ref="U9:U17" si="1">H9</f>
        <v>98.5</v>
      </c>
      <c r="V9" s="1569" t="s">
        <v>8</v>
      </c>
      <c r="W9" s="1570">
        <f t="shared" ref="W9:W17" si="2">J9</f>
        <v>98.5</v>
      </c>
      <c r="X9" s="1571"/>
      <c r="Y9" s="3359" t="s">
        <v>530</v>
      </c>
      <c r="Z9" s="3360"/>
      <c r="AA9" s="1572">
        <f>D9/F9</f>
        <v>1.0101010101010102</v>
      </c>
      <c r="AB9" s="1572">
        <f>D9/H9</f>
        <v>1.015228426395939</v>
      </c>
      <c r="AC9" s="1572">
        <f>D9/J9</f>
        <v>1.015228426395939</v>
      </c>
    </row>
    <row r="10" spans="1:30" s="1220" customFormat="1" ht="21" thickBot="1">
      <c r="A10" s="2941"/>
      <c r="B10" s="2948" t="s">
        <v>531</v>
      </c>
      <c r="C10" s="856" t="s">
        <v>532</v>
      </c>
      <c r="D10" s="520">
        <v>100</v>
      </c>
      <c r="E10" s="525" t="s">
        <v>2992</v>
      </c>
      <c r="F10" s="522">
        <f>SUMIF(75:75,E10,76:76)-SUMIF(75:75,C10,76:76)+100</f>
        <v>100</v>
      </c>
      <c r="G10" s="525" t="s">
        <v>2992</v>
      </c>
      <c r="H10" s="520">
        <f>SUMIF(75:75,G10,76:76)-SUMIF(75:75,C10,76:76)+100</f>
        <v>100</v>
      </c>
      <c r="I10" s="525" t="s">
        <v>2992</v>
      </c>
      <c r="J10" s="520">
        <f>SUMIF(75:75,I10,76:76)-SUMIF(75:75,C10,76:76)+100</f>
        <v>100</v>
      </c>
      <c r="K10" s="524"/>
      <c r="L10" s="2137"/>
      <c r="M10" s="2134"/>
      <c r="N10" s="2134"/>
      <c r="O10" s="2138"/>
      <c r="P10" s="3359" t="s">
        <v>533</v>
      </c>
      <c r="Q10" s="3360"/>
      <c r="R10" s="1569" t="s">
        <v>8</v>
      </c>
      <c r="S10" s="1570">
        <f t="shared" si="0"/>
        <v>100</v>
      </c>
      <c r="T10" s="1569" t="s">
        <v>8</v>
      </c>
      <c r="U10" s="1570">
        <f t="shared" si="1"/>
        <v>100</v>
      </c>
      <c r="V10" s="1569" t="s">
        <v>8</v>
      </c>
      <c r="W10" s="1570">
        <f t="shared" si="2"/>
        <v>100</v>
      </c>
      <c r="X10" s="1571"/>
      <c r="Y10" s="3359" t="s">
        <v>533</v>
      </c>
      <c r="Z10" s="3360"/>
      <c r="AA10" s="1572">
        <f t="shared" ref="AA10:AA47" si="3">D10/F10</f>
        <v>1</v>
      </c>
      <c r="AB10" s="1572">
        <f t="shared" ref="AB10:AB47" si="4">D10/H10</f>
        <v>1</v>
      </c>
      <c r="AC10" s="1572">
        <f t="shared" ref="AC10:AC47" si="5">D10/J10</f>
        <v>1</v>
      </c>
    </row>
    <row r="11" spans="1:30" s="1220" customFormat="1" ht="20.25">
      <c r="A11" s="2942"/>
      <c r="B11" s="2949" t="s">
        <v>2764</v>
      </c>
      <c r="C11" s="2936"/>
      <c r="D11" s="254">
        <v>100</v>
      </c>
      <c r="E11" s="526"/>
      <c r="F11" s="254">
        <f>SUMIF(77:77,E11,78:78)-SUMIF(77:77,C11,78:78)+100</f>
        <v>100</v>
      </c>
      <c r="G11" s="526"/>
      <c r="H11" s="254">
        <f>SUMIF(77:77,G11,78:78)-SUMIF(77:77,C11,78:78)+100</f>
        <v>100</v>
      </c>
      <c r="I11" s="526"/>
      <c r="J11" s="254">
        <f>SUMIF(77:77,I11,78:78)-SUMIF(77:77,C11,78:78)+100</f>
        <v>100</v>
      </c>
      <c r="K11" s="524"/>
      <c r="L11" s="2137"/>
      <c r="M11" s="2134"/>
      <c r="N11" s="2134"/>
      <c r="O11" s="2139"/>
      <c r="P11" s="3367" t="s">
        <v>535</v>
      </c>
      <c r="Q11" s="1151" t="str">
        <f t="shared" ref="Q11:Q17" si="6">B11</f>
        <v>用途</v>
      </c>
      <c r="R11" s="1569" t="s">
        <v>8</v>
      </c>
      <c r="S11" s="1570">
        <f t="shared" si="0"/>
        <v>100</v>
      </c>
      <c r="T11" s="1569" t="s">
        <v>8</v>
      </c>
      <c r="U11" s="1570">
        <f t="shared" si="1"/>
        <v>100</v>
      </c>
      <c r="V11" s="1569" t="s">
        <v>8</v>
      </c>
      <c r="W11" s="1570">
        <f t="shared" si="2"/>
        <v>100</v>
      </c>
      <c r="X11" s="1571"/>
      <c r="Y11" s="3324" t="s">
        <v>536</v>
      </c>
      <c r="Z11" s="1150" t="str">
        <f t="shared" ref="Z11:Z17" si="7">Q11</f>
        <v>用途</v>
      </c>
      <c r="AA11" s="1572">
        <f t="shared" si="3"/>
        <v>1</v>
      </c>
      <c r="AB11" s="1572">
        <f t="shared" si="4"/>
        <v>1</v>
      </c>
      <c r="AC11" s="1572">
        <f t="shared" si="5"/>
        <v>1</v>
      </c>
    </row>
    <row r="12" spans="1:30" s="1338" customFormat="1" ht="27">
      <c r="A12" s="2943"/>
      <c r="B12" s="2948" t="s">
        <v>2765</v>
      </c>
      <c r="C12" s="910"/>
      <c r="D12" s="255">
        <v>100</v>
      </c>
      <c r="E12" s="529"/>
      <c r="F12" s="255">
        <f>ROUND(100/'数据-取费表'!G16,0)</f>
        <v>100</v>
      </c>
      <c r="G12" s="530"/>
      <c r="H12" s="255">
        <f>ROUND(100/'数据-取费表'!G16,0)</f>
        <v>100</v>
      </c>
      <c r="I12" s="530"/>
      <c r="J12" s="255">
        <f>ROUND(100/'数据-取费表'!G16,0)</f>
        <v>100</v>
      </c>
      <c r="K12" s="531"/>
      <c r="L12" s="2140"/>
      <c r="M12" s="2134"/>
      <c r="N12" s="2134"/>
      <c r="O12" s="2141"/>
      <c r="P12" s="3367"/>
      <c r="Q12" s="1151" t="str">
        <f t="shared" si="6"/>
        <v>土地使用年限（年）</v>
      </c>
      <c r="R12" s="1569" t="s">
        <v>8</v>
      </c>
      <c r="S12" s="1570">
        <f t="shared" si="0"/>
        <v>100</v>
      </c>
      <c r="T12" s="1569" t="s">
        <v>8</v>
      </c>
      <c r="U12" s="1570">
        <f t="shared" si="1"/>
        <v>100</v>
      </c>
      <c r="V12" s="1569" t="s">
        <v>8</v>
      </c>
      <c r="W12" s="1570">
        <f t="shared" si="2"/>
        <v>100</v>
      </c>
      <c r="X12" s="1571"/>
      <c r="Y12" s="3324"/>
      <c r="Z12" s="1150" t="str">
        <f t="shared" si="7"/>
        <v>土地使用年限（年）</v>
      </c>
      <c r="AA12" s="1572">
        <f t="shared" si="3"/>
        <v>1</v>
      </c>
      <c r="AB12" s="1572">
        <f t="shared" si="4"/>
        <v>1</v>
      </c>
      <c r="AC12" s="1572">
        <f t="shared" si="5"/>
        <v>1</v>
      </c>
    </row>
    <row r="13" spans="1:30" ht="20.25">
      <c r="A13" s="2944"/>
      <c r="B13" s="2948" t="s">
        <v>2766</v>
      </c>
      <c r="C13" s="534">
        <v>2.06</v>
      </c>
      <c r="D13" s="255">
        <v>100</v>
      </c>
      <c r="E13" s="533">
        <v>1.5</v>
      </c>
      <c r="F13" s="255">
        <f>LOOKUP(E13,82:82,83:83)-LOOKUP(C13,82:82,83:83)+100</f>
        <v>98</v>
      </c>
      <c r="G13" s="534">
        <v>3</v>
      </c>
      <c r="H13" s="255">
        <f>LOOKUP(G13,82:82,83:83)-LOOKUP(C13,82:82,83:83)+100</f>
        <v>100</v>
      </c>
      <c r="I13" s="533">
        <v>2.5</v>
      </c>
      <c r="J13" s="255">
        <f>LOOKUP(I13,82:82,83:83)-LOOKUP(C13,82:82,83:83)+100</f>
        <v>100</v>
      </c>
      <c r="K13" s="535">
        <v>2</v>
      </c>
      <c r="L13" s="2142"/>
      <c r="M13" s="2134"/>
      <c r="N13" s="2134"/>
      <c r="O13" s="2143"/>
      <c r="P13" s="3367"/>
      <c r="Q13" s="1151" t="str">
        <f t="shared" si="6"/>
        <v>容积率</v>
      </c>
      <c r="R13" s="1569" t="s">
        <v>8</v>
      </c>
      <c r="S13" s="1570">
        <f t="shared" si="0"/>
        <v>98</v>
      </c>
      <c r="T13" s="1569" t="s">
        <v>8</v>
      </c>
      <c r="U13" s="1570">
        <f t="shared" si="1"/>
        <v>100</v>
      </c>
      <c r="V13" s="1569" t="s">
        <v>8</v>
      </c>
      <c r="W13" s="1570">
        <f t="shared" si="2"/>
        <v>100</v>
      </c>
      <c r="X13" s="1571"/>
      <c r="Y13" s="3324"/>
      <c r="Z13" s="1150" t="str">
        <f t="shared" si="7"/>
        <v>容积率</v>
      </c>
      <c r="AA13" s="1572">
        <f t="shared" si="3"/>
        <v>1.0204081632653061</v>
      </c>
      <c r="AB13" s="1572">
        <f t="shared" si="4"/>
        <v>1</v>
      </c>
      <c r="AC13" s="1572">
        <f t="shared" si="5"/>
        <v>1</v>
      </c>
    </row>
    <row r="14" spans="1:30" s="1220" customFormat="1" ht="20.25">
      <c r="A14" s="2941"/>
      <c r="B14" s="2950" t="s">
        <v>2767</v>
      </c>
      <c r="C14" s="2937"/>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67"/>
      <c r="Q14" s="1151" t="str">
        <f t="shared" si="6"/>
        <v>配建</v>
      </c>
      <c r="R14" s="1569" t="s">
        <v>8</v>
      </c>
      <c r="S14" s="1570">
        <f t="shared" si="0"/>
        <v>100</v>
      </c>
      <c r="T14" s="1569" t="s">
        <v>8</v>
      </c>
      <c r="U14" s="1570">
        <f t="shared" si="1"/>
        <v>100</v>
      </c>
      <c r="V14" s="1569" t="s">
        <v>8</v>
      </c>
      <c r="W14" s="1570">
        <f t="shared" si="2"/>
        <v>100</v>
      </c>
      <c r="X14" s="1571"/>
      <c r="Y14" s="3324"/>
      <c r="Z14" s="1150" t="str">
        <f t="shared" si="7"/>
        <v>配建</v>
      </c>
      <c r="AA14" s="1572">
        <f>D14/F14</f>
        <v>1</v>
      </c>
      <c r="AB14" s="1572">
        <f>D14/H14</f>
        <v>1</v>
      </c>
      <c r="AC14" s="1572">
        <f>D14/J14</f>
        <v>1</v>
      </c>
    </row>
    <row r="15" spans="1:30" ht="20.25">
      <c r="A15" s="2945"/>
      <c r="B15" s="2951">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67"/>
      <c r="Q15" s="1151">
        <f t="shared" si="6"/>
        <v>111</v>
      </c>
      <c r="R15" s="1569" t="s">
        <v>8</v>
      </c>
      <c r="S15" s="1570">
        <f t="shared" si="0"/>
        <v>100</v>
      </c>
      <c r="T15" s="1569" t="s">
        <v>8</v>
      </c>
      <c r="U15" s="1570">
        <f t="shared" si="1"/>
        <v>100</v>
      </c>
      <c r="V15" s="1569" t="s">
        <v>8</v>
      </c>
      <c r="W15" s="1570">
        <f t="shared" si="2"/>
        <v>100</v>
      </c>
      <c r="X15" s="1571"/>
      <c r="Y15" s="3324"/>
      <c r="Z15" s="1150">
        <f t="shared" si="7"/>
        <v>111</v>
      </c>
      <c r="AA15" s="1572">
        <f>D15/F15</f>
        <v>1</v>
      </c>
      <c r="AB15" s="1572">
        <f>D15/H15</f>
        <v>1</v>
      </c>
      <c r="AC15" s="1572">
        <f>D15/J15</f>
        <v>1</v>
      </c>
    </row>
    <row r="16" spans="1:30" ht="21" thickBot="1">
      <c r="A16" s="2946"/>
      <c r="B16" s="2952">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67"/>
      <c r="Q16" s="1151">
        <f t="shared" si="6"/>
        <v>111</v>
      </c>
      <c r="R16" s="1569" t="s">
        <v>8</v>
      </c>
      <c r="S16" s="1570">
        <f t="shared" si="0"/>
        <v>100</v>
      </c>
      <c r="T16" s="1569" t="s">
        <v>8</v>
      </c>
      <c r="U16" s="1570">
        <f t="shared" si="1"/>
        <v>100</v>
      </c>
      <c r="V16" s="1569" t="s">
        <v>8</v>
      </c>
      <c r="W16" s="1570">
        <f t="shared" si="2"/>
        <v>100</v>
      </c>
      <c r="X16" s="1571"/>
      <c r="Y16" s="3324"/>
      <c r="Z16" s="1150">
        <f t="shared" si="7"/>
        <v>111</v>
      </c>
      <c r="AA16" s="1572">
        <f>D16/F16</f>
        <v>1</v>
      </c>
      <c r="AB16" s="1572">
        <f>D16/H16</f>
        <v>1</v>
      </c>
      <c r="AC16" s="1572">
        <f>D16/J16</f>
        <v>1</v>
      </c>
    </row>
    <row r="17" spans="1:29" ht="99.75">
      <c r="A17" s="2938" t="s">
        <v>2762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0"/>
      <c r="H17" s="549">
        <f>SUMIF(90:90,G18,91:91)-SUMIF(90:90,C18,91:91)+100</f>
        <v>106</v>
      </c>
      <c r="I17" s="552"/>
      <c r="J17" s="549">
        <f>SUMIF(90:90,I18,91:91)-SUMIF(90:90,C18,91:91)+100</f>
        <v>103</v>
      </c>
      <c r="K17" s="535">
        <v>3</v>
      </c>
      <c r="L17" s="2144"/>
      <c r="M17" s="2134"/>
      <c r="N17" s="2134"/>
      <c r="O17" s="2143"/>
      <c r="P17" s="3369" t="s">
        <v>540</v>
      </c>
      <c r="Q17" s="1573" t="str">
        <f t="shared" si="6"/>
        <v>居住社区成熟度</v>
      </c>
      <c r="R17" s="1574" t="s">
        <v>8</v>
      </c>
      <c r="S17" s="1575">
        <f t="shared" si="0"/>
        <v>103</v>
      </c>
      <c r="T17" s="1574" t="s">
        <v>8</v>
      </c>
      <c r="U17" s="1575">
        <f t="shared" si="1"/>
        <v>106</v>
      </c>
      <c r="V17" s="1574" t="s">
        <v>8</v>
      </c>
      <c r="W17" s="1575">
        <f t="shared" si="2"/>
        <v>103</v>
      </c>
      <c r="X17" s="1568"/>
      <c r="Y17" s="3369" t="s">
        <v>540</v>
      </c>
      <c r="Z17" s="1576" t="str">
        <f t="shared" si="7"/>
        <v>居住社区成熟度</v>
      </c>
      <c r="AA17" s="1577">
        <f t="shared" si="3"/>
        <v>0.970873786407767</v>
      </c>
      <c r="AB17" s="1577">
        <f t="shared" si="4"/>
        <v>0.94339622641509435</v>
      </c>
      <c r="AC17" s="1577">
        <f t="shared" si="5"/>
        <v>0.970873786407767</v>
      </c>
    </row>
    <row r="18" spans="1:29" ht="20.25">
      <c r="A18" s="532"/>
      <c r="B18" s="553"/>
      <c r="C18" s="554" t="s">
        <v>2994</v>
      </c>
      <c r="D18" s="557"/>
      <c r="E18" s="558" t="s">
        <v>2996</v>
      </c>
      <c r="F18" s="555"/>
      <c r="G18" s="556" t="s">
        <v>2995</v>
      </c>
      <c r="H18" s="559"/>
      <c r="I18" s="558" t="s">
        <v>2996</v>
      </c>
      <c r="J18" s="555"/>
      <c r="K18" s="531"/>
      <c r="L18" s="2144"/>
      <c r="M18" s="2134"/>
      <c r="N18" s="2134"/>
      <c r="O18" s="2143"/>
      <c r="P18" s="3370"/>
      <c r="Q18" s="1573"/>
      <c r="R18" s="1574"/>
      <c r="S18" s="1575"/>
      <c r="T18" s="1574"/>
      <c r="U18" s="1575"/>
      <c r="V18" s="1574"/>
      <c r="W18" s="1575"/>
      <c r="X18" s="1568"/>
      <c r="Y18" s="337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104</v>
      </c>
      <c r="G19" s="562"/>
      <c r="H19" s="565">
        <f>SUMIF(92:92,G20,93:93)-SUMIF(92:92,C20,93:93)+100</f>
        <v>104</v>
      </c>
      <c r="I19" s="564"/>
      <c r="J19" s="565">
        <f>SUMIF(92:92,I20,93:93)-SUMIF(92:92,C20,93:93)+100</f>
        <v>104</v>
      </c>
      <c r="K19" s="535">
        <v>2</v>
      </c>
      <c r="L19" s="2144"/>
      <c r="M19" s="2134"/>
      <c r="N19" s="2134"/>
      <c r="O19" s="2143"/>
      <c r="P19" s="3370"/>
      <c r="Q19" s="1573" t="str">
        <f>B19</f>
        <v>商业繁华度</v>
      </c>
      <c r="R19" s="1574" t="s">
        <v>8</v>
      </c>
      <c r="S19" s="1575">
        <f>F19</f>
        <v>104</v>
      </c>
      <c r="T19" s="1574" t="s">
        <v>8</v>
      </c>
      <c r="U19" s="1575">
        <f>H19</f>
        <v>104</v>
      </c>
      <c r="V19" s="1574" t="s">
        <v>8</v>
      </c>
      <c r="W19" s="1575">
        <f>J19</f>
        <v>104</v>
      </c>
      <c r="X19" s="1568"/>
      <c r="Y19" s="3370"/>
      <c r="Z19" s="1576" t="str">
        <f>Q19</f>
        <v>商业繁华度</v>
      </c>
      <c r="AA19" s="1577">
        <f t="shared" si="3"/>
        <v>0.96153846153846156</v>
      </c>
      <c r="AB19" s="1577">
        <f t="shared" si="4"/>
        <v>0.96153846153846156</v>
      </c>
      <c r="AC19" s="1577">
        <f t="shared" si="5"/>
        <v>0.96153846153846156</v>
      </c>
    </row>
    <row r="20" spans="1:29" ht="20.25">
      <c r="A20" s="532"/>
      <c r="B20" s="566"/>
      <c r="C20" s="567" t="s">
        <v>2994</v>
      </c>
      <c r="D20" s="563"/>
      <c r="E20" s="569" t="s">
        <v>2995</v>
      </c>
      <c r="F20" s="559"/>
      <c r="G20" s="568" t="s">
        <v>2995</v>
      </c>
      <c r="H20" s="555"/>
      <c r="I20" s="569" t="s">
        <v>2995</v>
      </c>
      <c r="J20" s="555"/>
      <c r="K20" s="531"/>
      <c r="L20" s="2144"/>
      <c r="M20" s="2134"/>
      <c r="N20" s="2134"/>
      <c r="O20" s="2143"/>
      <c r="P20" s="3370"/>
      <c r="Q20" s="1573"/>
      <c r="R20" s="1574"/>
      <c r="S20" s="1575"/>
      <c r="T20" s="1574"/>
      <c r="U20" s="1575"/>
      <c r="V20" s="1574"/>
      <c r="W20" s="1575"/>
      <c r="X20" s="1568"/>
      <c r="Y20" s="3370"/>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70"/>
      <c r="Q21" s="1573" t="str">
        <f>B21</f>
        <v>办公集聚程度</v>
      </c>
      <c r="R21" s="1574" t="s">
        <v>8</v>
      </c>
      <c r="S21" s="1575">
        <f>F21</f>
        <v>100</v>
      </c>
      <c r="T21" s="1574" t="s">
        <v>8</v>
      </c>
      <c r="U21" s="1575">
        <f>H21</f>
        <v>100</v>
      </c>
      <c r="V21" s="1574" t="s">
        <v>8</v>
      </c>
      <c r="W21" s="1575">
        <f>J21</f>
        <v>100</v>
      </c>
      <c r="X21" s="1568"/>
      <c r="Y21" s="337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4"/>
      <c r="M22" s="2134"/>
      <c r="N22" s="2134"/>
      <c r="O22" s="2143"/>
      <c r="P22" s="3370"/>
      <c r="Q22" s="1573"/>
      <c r="R22" s="1574"/>
      <c r="S22" s="1575"/>
      <c r="T22" s="1574"/>
      <c r="U22" s="1575"/>
      <c r="V22" s="1574"/>
      <c r="W22" s="1575"/>
      <c r="X22" s="1568"/>
      <c r="Y22" s="337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102</v>
      </c>
      <c r="G23" s="562"/>
      <c r="H23" s="559">
        <f>SUMIF(96:96,G24,97:97)-SUMIF(96:96,C24,97:97)+100</f>
        <v>102</v>
      </c>
      <c r="I23" s="564"/>
      <c r="J23" s="559">
        <f>SUMIF(96:96,I24,97:97)-SUMIF(96:96,C24,97:97)+100</f>
        <v>102</v>
      </c>
      <c r="K23" s="535">
        <v>2</v>
      </c>
      <c r="L23" s="2144"/>
      <c r="M23" s="2134"/>
      <c r="N23" s="2134"/>
      <c r="O23" s="2143"/>
      <c r="P23" s="3370"/>
      <c r="Q23" s="1573" t="str">
        <f>B23</f>
        <v>交通便捷度</v>
      </c>
      <c r="R23" s="1574" t="s">
        <v>8</v>
      </c>
      <c r="S23" s="1575">
        <f>F23</f>
        <v>102</v>
      </c>
      <c r="T23" s="1574" t="s">
        <v>8</v>
      </c>
      <c r="U23" s="1575">
        <f>H23</f>
        <v>102</v>
      </c>
      <c r="V23" s="1574" t="s">
        <v>8</v>
      </c>
      <c r="W23" s="1575">
        <f>J23</f>
        <v>102</v>
      </c>
      <c r="X23" s="1568"/>
      <c r="Y23" s="3370"/>
      <c r="Z23" s="1576" t="str">
        <f>Q23</f>
        <v>交通便捷度</v>
      </c>
      <c r="AA23" s="1577">
        <f t="shared" si="3"/>
        <v>0.98039215686274506</v>
      </c>
      <c r="AB23" s="1577">
        <f t="shared" si="4"/>
        <v>0.98039215686274506</v>
      </c>
      <c r="AC23" s="1577">
        <f t="shared" si="5"/>
        <v>0.98039215686274506</v>
      </c>
    </row>
    <row r="24" spans="1:29" ht="20.25">
      <c r="A24" s="532"/>
      <c r="B24" s="578"/>
      <c r="C24" s="554" t="s">
        <v>2994</v>
      </c>
      <c r="D24" s="557"/>
      <c r="E24" s="558" t="s">
        <v>2996</v>
      </c>
      <c r="F24" s="555"/>
      <c r="G24" s="556" t="s">
        <v>2996</v>
      </c>
      <c r="H24" s="555"/>
      <c r="I24" s="558" t="s">
        <v>2996</v>
      </c>
      <c r="J24" s="555"/>
      <c r="K24" s="531"/>
      <c r="L24" s="2144"/>
      <c r="M24" s="2134"/>
      <c r="N24" s="2134"/>
      <c r="O24" s="2143"/>
      <c r="P24" s="3370"/>
      <c r="Q24" s="1573"/>
      <c r="R24" s="1574"/>
      <c r="S24" s="1575"/>
      <c r="T24" s="1574"/>
      <c r="U24" s="1575"/>
      <c r="V24" s="1574"/>
      <c r="W24" s="1575"/>
      <c r="X24" s="1568"/>
      <c r="Y24" s="337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70"/>
      <c r="Q25" s="1573" t="str">
        <f t="shared" ref="Q25:Q39" si="8">B25</f>
        <v>区域土地利用方向</v>
      </c>
      <c r="R25" s="1574" t="s">
        <v>8</v>
      </c>
      <c r="S25" s="1575">
        <f>F25</f>
        <v>100</v>
      </c>
      <c r="T25" s="1574" t="s">
        <v>8</v>
      </c>
      <c r="U25" s="1575">
        <f>H25</f>
        <v>100</v>
      </c>
      <c r="V25" s="1574" t="s">
        <v>8</v>
      </c>
      <c r="W25" s="1575">
        <f>J25</f>
        <v>100</v>
      </c>
      <c r="X25" s="1568"/>
      <c r="Y25" s="3370"/>
      <c r="Z25" s="1576" t="str">
        <f>Q25</f>
        <v>区域土地利用方向</v>
      </c>
      <c r="AA25" s="1577">
        <f t="shared" si="3"/>
        <v>1</v>
      </c>
      <c r="AB25" s="1577">
        <f t="shared" si="4"/>
        <v>1</v>
      </c>
      <c r="AC25" s="1577">
        <f t="shared" si="5"/>
        <v>1</v>
      </c>
    </row>
    <row r="26" spans="1:29" ht="20.25">
      <c r="A26" s="515"/>
      <c r="B26" s="1007"/>
      <c r="C26" s="554" t="s">
        <v>2995</v>
      </c>
      <c r="D26" s="557"/>
      <c r="E26" s="558" t="s">
        <v>2995</v>
      </c>
      <c r="F26" s="555"/>
      <c r="G26" s="556" t="s">
        <v>2995</v>
      </c>
      <c r="H26" s="555"/>
      <c r="I26" s="558" t="s">
        <v>2995</v>
      </c>
      <c r="J26" s="555"/>
      <c r="K26" s="531"/>
      <c r="L26" s="2144"/>
      <c r="M26" s="2134"/>
      <c r="N26" s="2134"/>
      <c r="O26" s="2143"/>
      <c r="P26" s="3370"/>
      <c r="Q26" s="1573"/>
      <c r="R26" s="1574"/>
      <c r="S26" s="1575"/>
      <c r="T26" s="1574"/>
      <c r="U26" s="1575"/>
      <c r="V26" s="1574"/>
      <c r="W26" s="1575"/>
      <c r="X26" s="1568"/>
      <c r="Y26" s="337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98</v>
      </c>
      <c r="G27" s="562"/>
      <c r="H27" s="559">
        <f>SUMIF(100:100,G28,101:101)-SUMIF(100:100,C28,101:101)+100</f>
        <v>98</v>
      </c>
      <c r="I27" s="564"/>
      <c r="J27" s="559">
        <f>SUMIF(100:100,I28,101:101)-SUMIF(100:100,C28,101:101)+100</f>
        <v>98</v>
      </c>
      <c r="K27" s="535">
        <v>2</v>
      </c>
      <c r="L27" s="2144"/>
      <c r="M27" s="2134"/>
      <c r="N27" s="2134"/>
      <c r="O27" s="2143"/>
      <c r="P27" s="3370"/>
      <c r="Q27" s="1573" t="str">
        <f t="shared" si="8"/>
        <v>自然及人文环境状况</v>
      </c>
      <c r="R27" s="1574" t="s">
        <v>8</v>
      </c>
      <c r="S27" s="1575">
        <f>F27</f>
        <v>98</v>
      </c>
      <c r="T27" s="1574" t="s">
        <v>8</v>
      </c>
      <c r="U27" s="1575">
        <f>H27</f>
        <v>98</v>
      </c>
      <c r="V27" s="1574" t="s">
        <v>8</v>
      </c>
      <c r="W27" s="1575">
        <f>J27</f>
        <v>98</v>
      </c>
      <c r="X27" s="1568"/>
      <c r="Y27" s="3370"/>
      <c r="Z27" s="1576" t="str">
        <f>Q27</f>
        <v>自然及人文环境状况</v>
      </c>
      <c r="AA27" s="1577">
        <f t="shared" si="3"/>
        <v>1.0204081632653061</v>
      </c>
      <c r="AB27" s="1577">
        <f t="shared" si="4"/>
        <v>1.0204081632653061</v>
      </c>
      <c r="AC27" s="1577">
        <f t="shared" si="5"/>
        <v>1.0204081632653061</v>
      </c>
    </row>
    <row r="28" spans="1:29" ht="20.25">
      <c r="A28" s="515"/>
      <c r="B28" s="566"/>
      <c r="C28" s="554" t="s">
        <v>2995</v>
      </c>
      <c r="D28" s="557"/>
      <c r="E28" s="576" t="s">
        <v>2996</v>
      </c>
      <c r="F28" s="555"/>
      <c r="G28" s="554" t="s">
        <v>2996</v>
      </c>
      <c r="H28" s="555"/>
      <c r="I28" s="576" t="s">
        <v>2996</v>
      </c>
      <c r="J28" s="555"/>
      <c r="K28" s="531"/>
      <c r="L28" s="2144"/>
      <c r="M28" s="2134"/>
      <c r="N28" s="2134"/>
      <c r="O28" s="2143"/>
      <c r="P28" s="3370"/>
      <c r="Q28" s="1573"/>
      <c r="R28" s="1574"/>
      <c r="S28" s="1575"/>
      <c r="T28" s="1574"/>
      <c r="U28" s="1575"/>
      <c r="V28" s="1574"/>
      <c r="W28" s="1575"/>
      <c r="X28" s="1568"/>
      <c r="Y28" s="3370"/>
      <c r="Z28" s="1576"/>
      <c r="AA28" s="1577">
        <v>1</v>
      </c>
      <c r="AB28" s="1577">
        <v>1</v>
      </c>
      <c r="AC28" s="1577">
        <v>1</v>
      </c>
    </row>
    <row r="29" spans="1:29" s="1220" customFormat="1" ht="42.75">
      <c r="A29" s="577"/>
      <c r="B29" s="2617" t="s">
        <v>2554</v>
      </c>
      <c r="C29" s="573" t="str">
        <f>估价对象房地状况!C21</f>
        <v>估价对象所在区域公共配套设施齐备情况</v>
      </c>
      <c r="D29" s="563">
        <v>100</v>
      </c>
      <c r="E29" s="564"/>
      <c r="F29" s="559">
        <f>SUMIF(102:102,E30,103:103)-SUMIF(102:102,C30,103:103)+100</f>
        <v>102</v>
      </c>
      <c r="G29" s="562"/>
      <c r="H29" s="559">
        <f>SUMIF(102:102,G30,103:103)-SUMIF(102:102,C30,103:103)+100</f>
        <v>102</v>
      </c>
      <c r="I29" s="564"/>
      <c r="J29" s="559">
        <f>SUMIF(102:102,I30,103:103)-SUMIF(102:102,C30,103:103)+100</f>
        <v>102</v>
      </c>
      <c r="K29" s="535">
        <v>2</v>
      </c>
      <c r="L29" s="2137"/>
      <c r="M29" s="2134"/>
      <c r="N29" s="2134"/>
      <c r="O29" s="2139"/>
      <c r="P29" s="3370"/>
      <c r="Q29" s="1151" t="str">
        <f t="shared" si="8"/>
        <v>公共配套设施</v>
      </c>
      <c r="R29" s="1569" t="s">
        <v>8</v>
      </c>
      <c r="S29" s="1570">
        <f>F29</f>
        <v>102</v>
      </c>
      <c r="T29" s="1569" t="s">
        <v>8</v>
      </c>
      <c r="U29" s="1570">
        <f>H29</f>
        <v>102</v>
      </c>
      <c r="V29" s="1569" t="s">
        <v>8</v>
      </c>
      <c r="W29" s="1570">
        <f>J29</f>
        <v>102</v>
      </c>
      <c r="X29" s="1571"/>
      <c r="Y29" s="3370"/>
      <c r="Z29" s="1150" t="str">
        <f>Q29</f>
        <v>公共配套设施</v>
      </c>
      <c r="AA29" s="1577">
        <f>D29/F29</f>
        <v>0.98039215686274506</v>
      </c>
      <c r="AB29" s="1577">
        <f>D29/H29</f>
        <v>0.98039215686274506</v>
      </c>
      <c r="AC29" s="1577">
        <f>D29/J29</f>
        <v>0.98039215686274506</v>
      </c>
    </row>
    <row r="30" spans="1:29" s="1220" customFormat="1" ht="20.25">
      <c r="A30" s="577"/>
      <c r="B30" s="566"/>
      <c r="C30" s="579" t="s">
        <v>2996</v>
      </c>
      <c r="D30" s="557"/>
      <c r="E30" s="576" t="s">
        <v>2995</v>
      </c>
      <c r="F30" s="555"/>
      <c r="G30" s="554" t="s">
        <v>2995</v>
      </c>
      <c r="H30" s="555"/>
      <c r="I30" s="576" t="s">
        <v>2995</v>
      </c>
      <c r="J30" s="555"/>
      <c r="K30" s="531"/>
      <c r="L30" s="2137"/>
      <c r="M30" s="2134"/>
      <c r="N30" s="2134"/>
      <c r="O30" s="2139"/>
      <c r="P30" s="3370"/>
      <c r="Q30" s="1151"/>
      <c r="R30" s="1569"/>
      <c r="S30" s="1570"/>
      <c r="T30" s="1569"/>
      <c r="U30" s="1570"/>
      <c r="V30" s="1569"/>
      <c r="W30" s="1570"/>
      <c r="X30" s="1571"/>
      <c r="Y30" s="3370"/>
      <c r="Z30" s="1150"/>
      <c r="AA30" s="1577">
        <v>1</v>
      </c>
      <c r="AB30" s="1577">
        <v>1</v>
      </c>
      <c r="AC30" s="1577">
        <v>1</v>
      </c>
    </row>
    <row r="31" spans="1:29" s="1220" customFormat="1" ht="28.5">
      <c r="A31" s="577"/>
      <c r="B31" s="2617" t="s">
        <v>2555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370"/>
      <c r="Q31" s="2604" t="str">
        <f t="shared" ref="Q31" si="9">B31</f>
        <v>基础设施水平</v>
      </c>
      <c r="R31" s="1569" t="s">
        <v>8</v>
      </c>
      <c r="S31" s="1570">
        <f>F31</f>
        <v>100</v>
      </c>
      <c r="T31" s="1569" t="s">
        <v>8</v>
      </c>
      <c r="U31" s="1570">
        <f>H31</f>
        <v>100</v>
      </c>
      <c r="V31" s="1569" t="s">
        <v>8</v>
      </c>
      <c r="W31" s="1570">
        <f>J31</f>
        <v>100</v>
      </c>
      <c r="X31" s="1571"/>
      <c r="Y31" s="3370"/>
      <c r="Z31" s="2601" t="str">
        <f>Q31</f>
        <v>基础设施水平</v>
      </c>
      <c r="AA31" s="1577">
        <f>D31/F31</f>
        <v>1</v>
      </c>
      <c r="AB31" s="1577">
        <f>D31/H31</f>
        <v>1</v>
      </c>
      <c r="AC31" s="1577">
        <f>D31/J31</f>
        <v>1</v>
      </c>
    </row>
    <row r="32" spans="1:29" s="1220" customFormat="1" ht="20.25">
      <c r="A32" s="577"/>
      <c r="B32" s="566"/>
      <c r="C32" s="579" t="s">
        <v>3111</v>
      </c>
      <c r="D32" s="557"/>
      <c r="E32" s="2618" t="s">
        <v>3111</v>
      </c>
      <c r="F32" s="555"/>
      <c r="G32" s="579" t="s">
        <v>3111</v>
      </c>
      <c r="H32" s="555"/>
      <c r="I32" s="579" t="s">
        <v>3111</v>
      </c>
      <c r="J32" s="555"/>
      <c r="K32" s="531"/>
      <c r="L32" s="2137"/>
      <c r="M32" s="2134"/>
      <c r="N32" s="2134"/>
      <c r="O32" s="2139"/>
      <c r="P32" s="3370"/>
      <c r="Q32" s="2604"/>
      <c r="R32" s="1569"/>
      <c r="S32" s="1570"/>
      <c r="T32" s="1569"/>
      <c r="U32" s="1570"/>
      <c r="V32" s="1569"/>
      <c r="W32" s="1570"/>
      <c r="X32" s="1571"/>
      <c r="Y32" s="3370"/>
      <c r="Z32" s="2601"/>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37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7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4"/>
      <c r="M34" s="2134"/>
      <c r="N34" s="2134"/>
      <c r="O34" s="2143"/>
      <c r="P34" s="3370"/>
      <c r="Q34" s="1573" t="str">
        <f t="shared" si="8"/>
        <v>毗邻道路的类型与等级</v>
      </c>
      <c r="R34" s="1574" t="s">
        <v>8</v>
      </c>
      <c r="S34" s="1575">
        <f t="shared" si="10"/>
        <v>100</v>
      </c>
      <c r="T34" s="1574" t="s">
        <v>8</v>
      </c>
      <c r="U34" s="1575">
        <f t="shared" si="11"/>
        <v>100</v>
      </c>
      <c r="V34" s="1574" t="s">
        <v>8</v>
      </c>
      <c r="W34" s="1575">
        <f t="shared" si="12"/>
        <v>100</v>
      </c>
      <c r="X34" s="1568"/>
      <c r="Y34" s="3370"/>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4"/>
      <c r="M35" s="2134"/>
      <c r="N35" s="2134"/>
      <c r="O35" s="2143"/>
      <c r="P35" s="3370"/>
      <c r="Q35" s="1573"/>
      <c r="R35" s="1574"/>
      <c r="S35" s="1575"/>
      <c r="T35" s="1574"/>
      <c r="U35" s="1575"/>
      <c r="V35" s="1574"/>
      <c r="W35" s="1575"/>
      <c r="X35" s="1568"/>
      <c r="Y35" s="337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70"/>
      <c r="Q36" s="1573" t="str">
        <f t="shared" si="8"/>
        <v>土地级别</v>
      </c>
      <c r="R36" s="1574" t="s">
        <v>8</v>
      </c>
      <c r="S36" s="1575">
        <f t="shared" si="10"/>
        <v>100</v>
      </c>
      <c r="T36" s="1574" t="s">
        <v>8</v>
      </c>
      <c r="U36" s="1575">
        <f t="shared" si="11"/>
        <v>100</v>
      </c>
      <c r="V36" s="1574" t="s">
        <v>8</v>
      </c>
      <c r="W36" s="1575">
        <f t="shared" si="12"/>
        <v>100</v>
      </c>
      <c r="X36" s="1568"/>
      <c r="Y36" s="337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70"/>
      <c r="Q37" s="1573">
        <f t="shared" si="8"/>
        <v>111</v>
      </c>
      <c r="R37" s="1574" t="s">
        <v>8</v>
      </c>
      <c r="S37" s="1575">
        <f t="shared" si="10"/>
        <v>100</v>
      </c>
      <c r="T37" s="1574" t="s">
        <v>8</v>
      </c>
      <c r="U37" s="1575">
        <f t="shared" si="11"/>
        <v>100</v>
      </c>
      <c r="V37" s="1574" t="s">
        <v>8</v>
      </c>
      <c r="W37" s="1575">
        <f t="shared" si="12"/>
        <v>100</v>
      </c>
      <c r="X37" s="1568"/>
      <c r="Y37" s="337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71" t="s">
        <v>550</v>
      </c>
      <c r="Q38" s="1573">
        <f t="shared" si="8"/>
        <v>111</v>
      </c>
      <c r="R38" s="1574" t="s">
        <v>8</v>
      </c>
      <c r="S38" s="1575">
        <f t="shared" si="10"/>
        <v>100</v>
      </c>
      <c r="T38" s="1574" t="s">
        <v>8</v>
      </c>
      <c r="U38" s="1575">
        <f t="shared" si="11"/>
        <v>100</v>
      </c>
      <c r="V38" s="1574" t="s">
        <v>8</v>
      </c>
      <c r="W38" s="1575">
        <f t="shared" si="12"/>
        <v>100</v>
      </c>
      <c r="X38" s="1568"/>
      <c r="Y38" s="337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72"/>
      <c r="Q39" s="1573">
        <f t="shared" si="8"/>
        <v>111</v>
      </c>
      <c r="R39" s="1578" t="s">
        <v>8</v>
      </c>
      <c r="S39" s="1579">
        <f t="shared" si="10"/>
        <v>100</v>
      </c>
      <c r="T39" s="1578" t="s">
        <v>8</v>
      </c>
      <c r="U39" s="1579">
        <f t="shared" si="11"/>
        <v>100</v>
      </c>
      <c r="V39" s="1578" t="s">
        <v>8</v>
      </c>
      <c r="W39" s="1579">
        <f t="shared" si="12"/>
        <v>100</v>
      </c>
      <c r="X39" s="1580"/>
      <c r="Y39" s="3372"/>
      <c r="Z39" s="1581">
        <f t="shared" si="13"/>
        <v>111</v>
      </c>
      <c r="AA39" s="1577">
        <f t="shared" si="3"/>
        <v>1</v>
      </c>
      <c r="AB39" s="1577">
        <f t="shared" si="4"/>
        <v>1</v>
      </c>
      <c r="AC39" s="1577">
        <f t="shared" si="5"/>
        <v>1</v>
      </c>
    </row>
    <row r="40" spans="1:29" ht="20.25">
      <c r="A40" s="2935" t="s">
        <v>2763</v>
      </c>
      <c r="B40" s="595" t="s">
        <v>552</v>
      </c>
      <c r="C40" s="596">
        <f>面积!E2/11</f>
        <v>60606.063636363629</v>
      </c>
      <c r="D40" s="597">
        <v>100</v>
      </c>
      <c r="E40" s="596">
        <f>Sheet4!G15</f>
        <v>5867.08</v>
      </c>
      <c r="F40" s="597">
        <f>LOOKUP(E40,119:119,120:120)-LOOKUP(C40,119:119,120:120)+100</f>
        <v>99</v>
      </c>
      <c r="G40" s="596">
        <f>Sheet4!G22</f>
        <v>43383.41</v>
      </c>
      <c r="H40" s="597">
        <f>LOOKUP(G40,119:119,120:120)-LOOKUP(C40,119:119,120:120)+100</f>
        <v>99</v>
      </c>
      <c r="I40" s="598">
        <f>Sheet4!G28</f>
        <v>44159.57</v>
      </c>
      <c r="J40" s="597">
        <f>LOOKUP(I40,119:119,120:120)-LOOKUP(C40,119:119,120:120)+100</f>
        <v>99</v>
      </c>
      <c r="K40" s="581"/>
      <c r="L40" s="2144"/>
      <c r="M40" s="2134"/>
      <c r="N40" s="2134"/>
      <c r="O40" s="2143"/>
      <c r="P40" s="3372"/>
      <c r="Q40" s="1573" t="str">
        <f>B40</f>
        <v>宗地面积</v>
      </c>
      <c r="R40" s="1574" t="s">
        <v>8</v>
      </c>
      <c r="S40" s="1575">
        <f t="shared" si="10"/>
        <v>99</v>
      </c>
      <c r="T40" s="1574" t="s">
        <v>8</v>
      </c>
      <c r="U40" s="1575">
        <f t="shared" si="11"/>
        <v>99</v>
      </c>
      <c r="V40" s="1574" t="s">
        <v>8</v>
      </c>
      <c r="W40" s="1575">
        <f t="shared" si="12"/>
        <v>99</v>
      </c>
      <c r="X40" s="1568"/>
      <c r="Y40" s="3372"/>
      <c r="Z40" s="1576" t="str">
        <f t="shared" si="13"/>
        <v>宗地面积</v>
      </c>
      <c r="AA40" s="1577">
        <f t="shared" si="3"/>
        <v>1.0101010101010102</v>
      </c>
      <c r="AB40" s="1577">
        <f t="shared" si="4"/>
        <v>1.0101010101010102</v>
      </c>
      <c r="AC40" s="1577">
        <f t="shared" si="5"/>
        <v>1.0101010101010102</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4"/>
      <c r="M41" s="2134"/>
      <c r="N41" s="2134"/>
      <c r="O41" s="2143"/>
      <c r="P41" s="3372"/>
      <c r="Q41" s="1573" t="str">
        <f t="shared" ref="Q41:Q47" si="14">B41</f>
        <v>宗地形状</v>
      </c>
      <c r="R41" s="1574" t="s">
        <v>8</v>
      </c>
      <c r="S41" s="1575">
        <f t="shared" si="10"/>
        <v>100</v>
      </c>
      <c r="T41" s="1574" t="s">
        <v>8</v>
      </c>
      <c r="U41" s="1575">
        <f t="shared" si="11"/>
        <v>100</v>
      </c>
      <c r="V41" s="1574" t="s">
        <v>8</v>
      </c>
      <c r="W41" s="1575">
        <f t="shared" si="12"/>
        <v>100</v>
      </c>
      <c r="X41" s="1568"/>
      <c r="Y41" s="3372"/>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372"/>
      <c r="Q42" s="1573" t="str">
        <f t="shared" si="14"/>
        <v>临街宽度及深度</v>
      </c>
      <c r="R42" s="1574" t="s">
        <v>8</v>
      </c>
      <c r="S42" s="1575">
        <f t="shared" si="10"/>
        <v>100</v>
      </c>
      <c r="T42" s="1574" t="s">
        <v>8</v>
      </c>
      <c r="U42" s="1575">
        <f t="shared" si="11"/>
        <v>100</v>
      </c>
      <c r="V42" s="1574" t="s">
        <v>8</v>
      </c>
      <c r="W42" s="1575">
        <f t="shared" si="12"/>
        <v>100</v>
      </c>
      <c r="X42" s="1568"/>
      <c r="Y42" s="3372"/>
      <c r="Z42" s="1576" t="str">
        <f t="shared" si="13"/>
        <v>临街宽度及深度</v>
      </c>
      <c r="AA42" s="1577">
        <f t="shared" si="3"/>
        <v>1</v>
      </c>
      <c r="AB42" s="1577">
        <f t="shared" si="4"/>
        <v>1</v>
      </c>
      <c r="AC42" s="1577">
        <f t="shared" si="5"/>
        <v>1</v>
      </c>
    </row>
    <row r="43" spans="1:29" s="1220" customFormat="1" ht="20.25">
      <c r="A43" s="600"/>
      <c r="B43" s="1897" t="s">
        <v>2428</v>
      </c>
      <c r="C43" s="601" t="s">
        <v>3115</v>
      </c>
      <c r="D43" s="255">
        <v>100</v>
      </c>
      <c r="E43" s="601" t="s">
        <v>3115</v>
      </c>
      <c r="F43" s="540">
        <f>SUMIF(125:125,E43,126:126)-SUMIF(125:125,C43,126:126)+100</f>
        <v>100</v>
      </c>
      <c r="G43" s="601" t="s">
        <v>3115</v>
      </c>
      <c r="H43" s="540">
        <f>SUMIF(125:125,G43,126:126)-SUMIF(125:125,C43,126:126)+100</f>
        <v>100</v>
      </c>
      <c r="I43" s="601" t="s">
        <v>3115</v>
      </c>
      <c r="J43" s="540">
        <f>SUMIF(125:125,I43,126:126)-SUMIF(125:125,C43,126:126)+100</f>
        <v>100</v>
      </c>
      <c r="K43" s="584">
        <v>2</v>
      </c>
      <c r="L43" s="2137"/>
      <c r="M43" s="2134"/>
      <c r="N43" s="2134"/>
      <c r="O43" s="2139"/>
      <c r="P43" s="3372"/>
      <c r="Q43" s="1573" t="str">
        <f t="shared" si="14"/>
        <v>宗地开发程度</v>
      </c>
      <c r="R43" s="1569" t="s">
        <v>8</v>
      </c>
      <c r="S43" s="1570">
        <f t="shared" si="10"/>
        <v>100</v>
      </c>
      <c r="T43" s="1569" t="s">
        <v>8</v>
      </c>
      <c r="U43" s="1570">
        <f t="shared" si="11"/>
        <v>100</v>
      </c>
      <c r="V43" s="1569" t="s">
        <v>8</v>
      </c>
      <c r="W43" s="1570">
        <f t="shared" si="12"/>
        <v>100</v>
      </c>
      <c r="X43" s="1571"/>
      <c r="Y43" s="3372"/>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4"/>
      <c r="M44" s="2134"/>
      <c r="N44" s="2134"/>
      <c r="O44" s="2143"/>
      <c r="P44" s="3372" t="s">
        <v>550</v>
      </c>
      <c r="Q44" s="1573" t="str">
        <f t="shared" si="14"/>
        <v>工程地质条件</v>
      </c>
      <c r="R44" s="1574" t="s">
        <v>8</v>
      </c>
      <c r="S44" s="1575">
        <f t="shared" si="10"/>
        <v>100</v>
      </c>
      <c r="T44" s="1574" t="s">
        <v>8</v>
      </c>
      <c r="U44" s="1575">
        <f t="shared" si="11"/>
        <v>100</v>
      </c>
      <c r="V44" s="1574" t="s">
        <v>8</v>
      </c>
      <c r="W44" s="1575">
        <f t="shared" si="12"/>
        <v>100</v>
      </c>
      <c r="X44" s="1568"/>
      <c r="Y44" s="337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372"/>
      <c r="Q45" s="1573">
        <f t="shared" si="14"/>
        <v>111</v>
      </c>
      <c r="R45" s="1574" t="s">
        <v>8</v>
      </c>
      <c r="S45" s="1575">
        <f t="shared" si="10"/>
        <v>100</v>
      </c>
      <c r="T45" s="1574" t="s">
        <v>8</v>
      </c>
      <c r="U45" s="1575">
        <f t="shared" si="11"/>
        <v>100</v>
      </c>
      <c r="V45" s="1574" t="s">
        <v>8</v>
      </c>
      <c r="W45" s="1575">
        <f t="shared" si="12"/>
        <v>100</v>
      </c>
      <c r="X45" s="1568"/>
      <c r="Y45" s="337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72"/>
      <c r="Q46" s="1573">
        <f t="shared" si="14"/>
        <v>111</v>
      </c>
      <c r="R46" s="1574" t="s">
        <v>8</v>
      </c>
      <c r="S46" s="1575">
        <f t="shared" si="10"/>
        <v>100</v>
      </c>
      <c r="T46" s="1574" t="s">
        <v>8</v>
      </c>
      <c r="U46" s="1575">
        <f t="shared" si="11"/>
        <v>100</v>
      </c>
      <c r="V46" s="1574" t="s">
        <v>8</v>
      </c>
      <c r="W46" s="1575">
        <f t="shared" si="12"/>
        <v>100</v>
      </c>
      <c r="X46" s="1568"/>
      <c r="Y46" s="337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72"/>
      <c r="Q47" s="1573">
        <f t="shared" si="14"/>
        <v>111</v>
      </c>
      <c r="R47" s="1578" t="s">
        <v>8</v>
      </c>
      <c r="S47" s="1579">
        <f t="shared" si="10"/>
        <v>100</v>
      </c>
      <c r="T47" s="1578" t="s">
        <v>8</v>
      </c>
      <c r="U47" s="1579">
        <f t="shared" si="11"/>
        <v>100</v>
      </c>
      <c r="V47" s="1578" t="s">
        <v>8</v>
      </c>
      <c r="W47" s="1579">
        <f t="shared" si="12"/>
        <v>100</v>
      </c>
      <c r="X47" s="1580"/>
      <c r="Y47" s="3372"/>
      <c r="Z47" s="1581">
        <f t="shared" si="13"/>
        <v>111</v>
      </c>
      <c r="AA47" s="1577">
        <f t="shared" si="3"/>
        <v>1</v>
      </c>
      <c r="AB47" s="1577">
        <f t="shared" si="4"/>
        <v>1</v>
      </c>
      <c r="AC47" s="1577">
        <f t="shared" si="5"/>
        <v>1</v>
      </c>
    </row>
    <row r="48" spans="1:29" ht="20.25">
      <c r="A48" s="607" t="s">
        <v>556</v>
      </c>
      <c r="B48" s="608" t="s">
        <v>2993</v>
      </c>
      <c r="C48" s="609" t="s">
        <v>1</v>
      </c>
      <c r="D48" s="610"/>
      <c r="E48" s="611">
        <f>ROUND(Sheet4!P15,0)</f>
        <v>2429</v>
      </c>
      <c r="F48" s="612"/>
      <c r="G48" s="613">
        <f>ROUND(Sheet4!P22,0)</f>
        <v>2457</v>
      </c>
      <c r="H48" s="614"/>
      <c r="I48" s="611">
        <f>ROUND(Sheet4!P28,0)</f>
        <v>2551</v>
      </c>
      <c r="J48" s="614"/>
      <c r="K48" s="1340"/>
      <c r="L48" s="2146"/>
      <c r="M48" s="2134"/>
      <c r="N48" s="2134"/>
      <c r="O48" s="2147"/>
      <c r="P48" s="3367" t="str">
        <f>A48</f>
        <v>成交单价</v>
      </c>
      <c r="Q48" s="3367"/>
      <c r="R48" s="3381">
        <f>E48</f>
        <v>2429</v>
      </c>
      <c r="S48" s="3381"/>
      <c r="T48" s="3381">
        <f>G48</f>
        <v>2457</v>
      </c>
      <c r="U48" s="3381"/>
      <c r="V48" s="3381">
        <f>I48</f>
        <v>2551</v>
      </c>
      <c r="W48" s="3381"/>
      <c r="X48" s="1560"/>
      <c r="Y48" s="1582"/>
      <c r="Z48" s="1560"/>
      <c r="AA48" s="1560"/>
      <c r="AB48" s="1560"/>
      <c r="AC48" s="1560"/>
    </row>
    <row r="49" spans="1:29" ht="21" thickBot="1">
      <c r="A49" s="615" t="s">
        <v>2701</v>
      </c>
      <c r="B49" s="616"/>
      <c r="C49" s="617">
        <f>R50</f>
        <v>2317</v>
      </c>
      <c r="D49" s="618"/>
      <c r="E49" s="617">
        <f>R49</f>
        <v>2315</v>
      </c>
      <c r="F49" s="619"/>
      <c r="G49" s="620">
        <f>T49</f>
        <v>2242</v>
      </c>
      <c r="H49" s="618"/>
      <c r="I49" s="617">
        <f>V49</f>
        <v>2395</v>
      </c>
      <c r="J49" s="618"/>
      <c r="K49" s="1341"/>
      <c r="L49" s="2146"/>
      <c r="M49" s="2134"/>
      <c r="N49" s="2134"/>
      <c r="O49" s="2147"/>
      <c r="P49" s="3367" t="str">
        <f>A49</f>
        <v>比较价格（元/平方米）</v>
      </c>
      <c r="Q49" s="3367"/>
      <c r="R49" s="3392">
        <f>ROUND(PRODUCT(R48,AA9:AA47),0)</f>
        <v>2315</v>
      </c>
      <c r="S49" s="3392"/>
      <c r="T49" s="3392">
        <f>ROUND(PRODUCT(T48,AB9:AB47),0)</f>
        <v>2242</v>
      </c>
      <c r="U49" s="3392"/>
      <c r="V49" s="3392">
        <f>ROUND(PRODUCT(V48,AC9:AC47),0)</f>
        <v>2395</v>
      </c>
      <c r="W49" s="3392"/>
      <c r="X49" s="1560"/>
      <c r="Y49" s="1560"/>
      <c r="Z49" s="1560"/>
      <c r="AA49" s="1560"/>
      <c r="AB49" s="1560"/>
      <c r="AC49" s="1560"/>
    </row>
    <row r="50" spans="1:29" ht="21" thickBot="1">
      <c r="A50" s="621" t="s">
        <v>2945</v>
      </c>
      <c r="B50" s="622"/>
      <c r="C50" s="623">
        <f>R50</f>
        <v>2317</v>
      </c>
      <c r="D50" s="623"/>
      <c r="E50" s="623"/>
      <c r="F50" s="623"/>
      <c r="G50" s="623"/>
      <c r="H50" s="623"/>
      <c r="I50" s="623"/>
      <c r="J50" s="623"/>
      <c r="K50" s="1342"/>
      <c r="L50" s="2146"/>
      <c r="M50" s="2134"/>
      <c r="N50" s="2134"/>
      <c r="O50" s="2147"/>
      <c r="P50" s="3389" t="str">
        <f>A50</f>
        <v>估价对象XX用房的比较价格（楼面单价，元/平方米）</v>
      </c>
      <c r="Q50" s="3390"/>
      <c r="R50" s="3391">
        <f>ROUND(AVERAGE(R49:V49),0)</f>
        <v>2317</v>
      </c>
      <c r="S50" s="3391"/>
      <c r="T50" s="3391"/>
      <c r="U50" s="3391"/>
      <c r="V50" s="3391"/>
      <c r="W50" s="339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4.9244060475162055E-2</v>
      </c>
      <c r="F53" s="627" t="str">
        <f>IF(OR(E53&gt;=0.3,E53&lt;=-0.3),"超过30%","")</f>
        <v/>
      </c>
      <c r="G53" s="626">
        <f>IF(G48&lt;G49,G49/G48-1,G48/G49-1)</f>
        <v>9.5896520963425491E-2</v>
      </c>
      <c r="H53" s="627" t="str">
        <f>IF(OR(G53&gt;=0.3,G53&lt;=-0.3),"超过30%","")</f>
        <v/>
      </c>
      <c r="I53" s="626">
        <f>IF(I48&lt;I49,I49/I48-1,I48/I49-1)</f>
        <v>6.5135699373695122E-2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3.2560214094558448E-2</v>
      </c>
      <c r="F54" s="627" t="str">
        <f>IF(OR(E54&gt;=0.2,E54&lt;=-0.2),"超过20%","")</f>
        <v/>
      </c>
      <c r="G54" s="626">
        <f>IF(G49&lt;I49,I49/G49-1,G49/I49-1)</f>
        <v>6.8242640499553975E-2</v>
      </c>
      <c r="H54" s="627" t="str">
        <f>IF(OR(G54&gt;=0.2,G54&lt;=-0.2),"超过20%","")</f>
        <v/>
      </c>
      <c r="I54" s="626">
        <f>IF(I49&lt;E49,E49/I49-1,I49/E49-1)</f>
        <v>3.4557235421166288E-2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1.1527377521613813E-2</v>
      </c>
      <c r="F55" s="627" t="str">
        <f>IF(OR(E55&gt;=0.3,E55&lt;=-0.3),"超过30%","")</f>
        <v/>
      </c>
      <c r="G55" s="626">
        <f>IF(G48&lt;I48,I48/G48-1,G48/I48-1)</f>
        <v>3.8258038258038196E-2</v>
      </c>
      <c r="H55" s="627" t="str">
        <f>IF(OR(G55&gt;=0.3,G55&lt;=-0.3),"超过30%","")</f>
        <v/>
      </c>
      <c r="I55" s="626">
        <f>IF(I48&lt;E48,E48/I48-1,I48/E48-1)</f>
        <v>5.0226430629888741E-2</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2296</v>
      </c>
      <c r="E57" s="631" t="s">
        <v>562</v>
      </c>
      <c r="F57" s="632" t="s">
        <v>563</v>
      </c>
      <c r="G57" s="3351" t="s">
        <v>2284</v>
      </c>
      <c r="H57" s="3352"/>
      <c r="I57" s="1556" t="s">
        <v>1723</v>
      </c>
      <c r="J57" s="1556" t="str">
        <f>项目基本情况!F41</f>
        <v>郑州市荥阳市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2317</v>
      </c>
      <c r="C58" s="635">
        <v>1</v>
      </c>
      <c r="D58" s="2230">
        <v>1</v>
      </c>
      <c r="E58" s="635">
        <f>'数据-汇总表'!E8+'数据-汇总表'!E9</f>
        <v>1357333.3399999999</v>
      </c>
      <c r="F58" s="636">
        <f t="shared" ref="F58:F67" si="15">ROUND(B58*E58/10000,0)</f>
        <v>314494</v>
      </c>
      <c r="G58" s="3353"/>
      <c r="H58" s="3354"/>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55" t="s">
        <v>2285</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55"/>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55"/>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55"/>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2331</v>
      </c>
      <c r="B63" s="638">
        <f t="shared" si="17"/>
        <v>0</v>
      </c>
      <c r="C63" s="378">
        <f t="shared" si="16"/>
        <v>0</v>
      </c>
      <c r="D63" s="2231">
        <v>0.25</v>
      </c>
      <c r="E63" s="641">
        <f>'数据-汇总表'!E11</f>
        <v>0</v>
      </c>
      <c r="F63" s="636">
        <f t="shared" si="15"/>
        <v>0</v>
      </c>
      <c r="G63" s="1947" t="s">
        <v>2286</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11041</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2285</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2286</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2297</v>
      </c>
      <c r="E68" s="643">
        <f>IF(B48="楼面地价",SUM(E58:E67),'数据-汇总表'!D3)</f>
        <v>666666.69999999995</v>
      </c>
      <c r="F68" s="644">
        <f>IF(B48="楼面地价",SUM(F58:F67),ROUND(C50*E68/10000,0))</f>
        <v>154467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7" t="str">
        <f>YEAR(C9)&amp;"-"&amp;MONTH(C9)&amp;"-1"</f>
        <v>2017-12-1</v>
      </c>
      <c r="D70" s="2827">
        <f>EDATE(C70,-3)</f>
        <v>42979</v>
      </c>
      <c r="E70" s="2827">
        <f t="shared" ref="E70:N70" si="18">EDATE(D70,-3)</f>
        <v>42887</v>
      </c>
      <c r="F70" s="2827">
        <f t="shared" si="18"/>
        <v>42795</v>
      </c>
      <c r="G70" s="2827">
        <f t="shared" si="18"/>
        <v>42705</v>
      </c>
      <c r="H70" s="2827">
        <f t="shared" si="18"/>
        <v>42614</v>
      </c>
      <c r="I70" s="2827">
        <f t="shared" si="18"/>
        <v>42522</v>
      </c>
      <c r="J70" s="2827">
        <f t="shared" si="18"/>
        <v>42430</v>
      </c>
      <c r="K70" s="2827">
        <f t="shared" si="18"/>
        <v>42339</v>
      </c>
      <c r="L70" s="2827">
        <f t="shared" si="18"/>
        <v>42248</v>
      </c>
      <c r="M70" s="2827">
        <f t="shared" si="18"/>
        <v>42156</v>
      </c>
      <c r="N70" s="2827">
        <f t="shared" si="18"/>
        <v>42064</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2538</v>
      </c>
      <c r="B72" s="2595"/>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61"/>
      <c r="P72" s="2162"/>
      <c r="Q72" s="2163"/>
      <c r="R72" s="2163"/>
      <c r="S72" s="2163"/>
      <c r="T72" s="2163"/>
      <c r="U72" s="2163"/>
      <c r="V72" s="2163"/>
      <c r="W72" s="2163"/>
      <c r="X72" s="2163"/>
      <c r="Y72" s="2163"/>
      <c r="Z72" s="2163"/>
      <c r="AA72" s="2163"/>
      <c r="AB72" s="2163"/>
      <c r="AC72" s="2163"/>
    </row>
    <row r="73" spans="1:29" s="1220" customFormat="1" ht="27" customHeight="1">
      <c r="A73" s="2834" t="s">
        <v>2655</v>
      </c>
      <c r="B73" s="479" t="str">
        <f>"北京市平均增长率"&amp;TEXT(SUMIF(基准地价!N21:N25,A73,基准地价!P21:P25),"0.00%")</f>
        <v>北京市平均增长率2.49%</v>
      </c>
      <c r="C73" s="894">
        <v>100</v>
      </c>
      <c r="D73" s="730">
        <v>99.5</v>
      </c>
      <c r="E73" s="730">
        <v>99</v>
      </c>
      <c r="F73" s="730">
        <v>98.5</v>
      </c>
      <c r="G73" s="730"/>
      <c r="H73" s="730"/>
      <c r="I73" s="730"/>
      <c r="J73" s="730"/>
      <c r="K73" s="730"/>
      <c r="L73" s="730"/>
      <c r="M73" s="2820"/>
      <c r="N73" s="2821"/>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4" t="s">
        <v>2654</v>
      </c>
      <c r="B74" s="2833"/>
      <c r="C74" s="2818"/>
      <c r="D74" s="2819"/>
      <c r="E74" s="2819"/>
      <c r="F74" s="2819"/>
      <c r="G74" s="2819"/>
      <c r="H74" s="2819"/>
      <c r="I74" s="2819"/>
      <c r="J74" s="2819"/>
      <c r="K74" s="2819"/>
      <c r="L74" s="2819"/>
      <c r="M74" s="2819"/>
      <c r="N74" s="2819"/>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598"/>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0（含）-2</v>
      </c>
      <c r="D81" s="682" t="str">
        <f t="shared" ref="D81:L81" si="20">D82&amp;"（含）"&amp;"-"&amp;E82</f>
        <v>2（含）-4</v>
      </c>
      <c r="E81" s="682" t="str">
        <f t="shared" si="20"/>
        <v>4（含）-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2</v>
      </c>
      <c r="E82" s="541">
        <v>4</v>
      </c>
      <c r="F82" s="541"/>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102</v>
      </c>
      <c r="E83" s="679">
        <f t="shared" ref="E83:M83" si="21">IF($B$48="单位面积地价",D83+$K13,D83-$K13)</f>
        <v>104</v>
      </c>
      <c r="F83" s="679">
        <f t="shared" si="21"/>
        <v>106</v>
      </c>
      <c r="G83" s="679">
        <f t="shared" si="21"/>
        <v>108</v>
      </c>
      <c r="H83" s="679">
        <f t="shared" si="21"/>
        <v>110</v>
      </c>
      <c r="I83" s="679">
        <f t="shared" si="21"/>
        <v>112</v>
      </c>
      <c r="J83" s="679">
        <f t="shared" si="21"/>
        <v>114</v>
      </c>
      <c r="K83" s="679">
        <f t="shared" si="21"/>
        <v>116</v>
      </c>
      <c r="L83" s="679">
        <f t="shared" si="21"/>
        <v>118</v>
      </c>
      <c r="M83" s="679">
        <f t="shared" si="21"/>
        <v>120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2554</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2556</v>
      </c>
      <c r="C104" s="2624" t="s">
        <v>2557</v>
      </c>
      <c r="D104" s="2624" t="s">
        <v>2558</v>
      </c>
      <c r="E104" s="2624" t="s">
        <v>2559</v>
      </c>
      <c r="F104" s="2624" t="s">
        <v>2560</v>
      </c>
      <c r="G104" s="2624" t="s">
        <v>2561</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688"/>
      <c r="E108" s="688"/>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v>
      </c>
      <c r="G118" s="704" t="str">
        <f t="shared" si="25"/>
        <v>(含)-</v>
      </c>
      <c r="H118" s="704" t="str">
        <f t="shared" si="25"/>
        <v>(含)-</v>
      </c>
      <c r="I118" s="704" t="str">
        <f t="shared" si="25"/>
        <v>(含)-</v>
      </c>
      <c r="J118" s="3121" t="str">
        <f t="shared" si="25"/>
        <v>(含)-</v>
      </c>
      <c r="K118" s="3121" t="str">
        <f t="shared" si="25"/>
        <v>(含)-</v>
      </c>
      <c r="L118" s="3122" t="str">
        <f t="shared" si="25"/>
        <v>(含)-</v>
      </c>
      <c r="M118" s="3123"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2429</v>
      </c>
      <c r="C125" s="1376" t="s">
        <v>3112</v>
      </c>
      <c r="D125" s="1376" t="s">
        <v>3113</v>
      </c>
      <c r="E125" s="1376" t="s">
        <v>3114</v>
      </c>
      <c r="F125" s="1376" t="s">
        <v>3116</v>
      </c>
      <c r="G125" s="1376" t="s">
        <v>3117</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73" t="s">
        <v>522</v>
      </c>
      <c r="D6" s="3374"/>
      <c r="E6" s="3398" t="s">
        <v>523</v>
      </c>
      <c r="F6" s="3399"/>
      <c r="G6" s="3373" t="s">
        <v>524</v>
      </c>
      <c r="H6" s="3374"/>
      <c r="I6" s="3373" t="s">
        <v>525</v>
      </c>
      <c r="J6" s="3374"/>
      <c r="K6" s="514" t="s">
        <v>526</v>
      </c>
      <c r="L6" s="2135"/>
      <c r="M6" s="2136"/>
      <c r="N6" s="2136"/>
      <c r="O6" s="2136"/>
      <c r="P6" s="3375" t="s">
        <v>527</v>
      </c>
      <c r="Q6" s="3376"/>
      <c r="R6" s="3361" t="s">
        <v>523</v>
      </c>
      <c r="S6" s="3362"/>
      <c r="T6" s="3361" t="s">
        <v>524</v>
      </c>
      <c r="U6" s="3362"/>
      <c r="V6" s="3381" t="s">
        <v>525</v>
      </c>
      <c r="W6" s="3381"/>
      <c r="X6" s="1568"/>
      <c r="Y6" s="3361" t="s">
        <v>527</v>
      </c>
      <c r="Z6" s="3362"/>
      <c r="AA6" s="3356" t="s">
        <v>523</v>
      </c>
      <c r="AB6" s="3357" t="s">
        <v>524</v>
      </c>
      <c r="AC6" s="3356" t="s">
        <v>525</v>
      </c>
    </row>
    <row r="7" spans="1:29" ht="15">
      <c r="A7" s="515"/>
      <c r="B7" s="516"/>
      <c r="C7" s="3384" t="s">
        <v>2939</v>
      </c>
      <c r="D7" s="3385"/>
      <c r="E7" s="3400" t="s">
        <v>2940</v>
      </c>
      <c r="F7" s="3401"/>
      <c r="G7" s="3384" t="s">
        <v>2941</v>
      </c>
      <c r="H7" s="3385"/>
      <c r="I7" s="3384" t="s">
        <v>2942</v>
      </c>
      <c r="J7" s="3385"/>
      <c r="K7" s="514"/>
      <c r="L7" s="2135"/>
      <c r="M7" s="2136"/>
      <c r="N7" s="2136"/>
      <c r="O7" s="2136"/>
      <c r="P7" s="3377"/>
      <c r="Q7" s="3378"/>
      <c r="R7" s="3363"/>
      <c r="S7" s="3364"/>
      <c r="T7" s="3363"/>
      <c r="U7" s="3364"/>
      <c r="V7" s="3381"/>
      <c r="W7" s="3381"/>
      <c r="X7" s="1568"/>
      <c r="Y7" s="3363"/>
      <c r="Z7" s="3364"/>
      <c r="AA7" s="3357"/>
      <c r="AB7" s="3357"/>
      <c r="AC7" s="3357"/>
    </row>
    <row r="8" spans="1:29" ht="15.75" thickBot="1">
      <c r="A8" s="517"/>
      <c r="B8" s="518"/>
      <c r="C8" s="3402" t="s">
        <v>2943</v>
      </c>
      <c r="D8" s="3383"/>
      <c r="E8" s="3403" t="s">
        <v>2943</v>
      </c>
      <c r="F8" s="3404"/>
      <c r="G8" s="3402" t="s">
        <v>2943</v>
      </c>
      <c r="H8" s="3383"/>
      <c r="I8" s="3402" t="s">
        <v>2943</v>
      </c>
      <c r="J8" s="3383"/>
      <c r="K8" s="514" t="s">
        <v>528</v>
      </c>
      <c r="L8" s="2135"/>
      <c r="M8" s="2136"/>
      <c r="N8" s="2136"/>
      <c r="O8" s="2136"/>
      <c r="P8" s="3379"/>
      <c r="Q8" s="3380"/>
      <c r="R8" s="3363"/>
      <c r="S8" s="3364"/>
      <c r="T8" s="3365"/>
      <c r="U8" s="3366"/>
      <c r="V8" s="3381"/>
      <c r="W8" s="3381"/>
      <c r="X8" s="1568"/>
      <c r="Y8" s="3365"/>
      <c r="Z8" s="3366"/>
      <c r="AA8" s="3358"/>
      <c r="AB8" s="3358"/>
      <c r="AC8" s="3358"/>
    </row>
    <row r="9" spans="1:29" s="1220" customFormat="1" ht="15.75" thickBot="1">
      <c r="A9" s="2940"/>
      <c r="B9" s="2947" t="s">
        <v>529</v>
      </c>
      <c r="C9" s="519">
        <f>'数据-取费表'!B2</f>
        <v>43077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59" t="s">
        <v>530</v>
      </c>
      <c r="Q9" s="3368"/>
      <c r="R9" s="1569" t="s">
        <v>8</v>
      </c>
      <c r="S9" s="1570">
        <f t="shared" ref="S9:S17" si="0">F9</f>
        <v>0</v>
      </c>
      <c r="T9" s="1569" t="s">
        <v>8</v>
      </c>
      <c r="U9" s="1570">
        <f t="shared" ref="U9:U17" si="1">H9</f>
        <v>0</v>
      </c>
      <c r="V9" s="1569" t="s">
        <v>8</v>
      </c>
      <c r="W9" s="1570">
        <f t="shared" ref="W9:W17" si="2">J9</f>
        <v>0</v>
      </c>
      <c r="X9" s="1571"/>
      <c r="Y9" s="3359" t="s">
        <v>530</v>
      </c>
      <c r="Z9" s="3360"/>
      <c r="AA9" s="1572" t="e">
        <f>D9/F9</f>
        <v>#DIV/0!</v>
      </c>
      <c r="AB9" s="1572" t="e">
        <f>D9/H9</f>
        <v>#DIV/0!</v>
      </c>
      <c r="AC9" s="1572" t="e">
        <f>D9/J9</f>
        <v>#DIV/0!</v>
      </c>
    </row>
    <row r="10" spans="1:29" s="1220" customFormat="1" ht="15.75" thickBot="1">
      <c r="A10" s="2941"/>
      <c r="B10" s="294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59" t="s">
        <v>533</v>
      </c>
      <c r="Q10" s="3360"/>
      <c r="R10" s="1569" t="s">
        <v>8</v>
      </c>
      <c r="S10" s="1570">
        <f t="shared" si="0"/>
        <v>0</v>
      </c>
      <c r="T10" s="1569" t="s">
        <v>8</v>
      </c>
      <c r="U10" s="1570">
        <f t="shared" si="1"/>
        <v>0</v>
      </c>
      <c r="V10" s="1569" t="s">
        <v>8</v>
      </c>
      <c r="W10" s="1570">
        <f t="shared" si="2"/>
        <v>0</v>
      </c>
      <c r="X10" s="1571"/>
      <c r="Y10" s="3359" t="s">
        <v>533</v>
      </c>
      <c r="Z10" s="3360"/>
      <c r="AA10" s="1572" t="e">
        <f t="shared" ref="AA10:AA42" si="3">D10/F10</f>
        <v>#DIV/0!</v>
      </c>
      <c r="AB10" s="1572" t="e">
        <f t="shared" ref="AB10:AB42" si="4">D10/H10</f>
        <v>#DIV/0!</v>
      </c>
      <c r="AC10" s="1572" t="e">
        <f t="shared" ref="AC10:AC42" si="5">D10/J10</f>
        <v>#DIV/0!</v>
      </c>
    </row>
    <row r="11" spans="1:29" s="1220" customFormat="1" ht="15">
      <c r="A11" s="2942"/>
      <c r="B11" s="2949" t="s">
        <v>2764</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67" t="s">
        <v>535</v>
      </c>
      <c r="Q11" s="1151" t="str">
        <f t="shared" ref="Q11:Q17" si="6">B11</f>
        <v>用途</v>
      </c>
      <c r="R11" s="1569" t="s">
        <v>8</v>
      </c>
      <c r="S11" s="1570">
        <f t="shared" si="0"/>
        <v>100</v>
      </c>
      <c r="T11" s="1569" t="s">
        <v>8</v>
      </c>
      <c r="U11" s="1570">
        <f t="shared" si="1"/>
        <v>100</v>
      </c>
      <c r="V11" s="1569" t="s">
        <v>8</v>
      </c>
      <c r="W11" s="1570">
        <f t="shared" si="2"/>
        <v>100</v>
      </c>
      <c r="X11" s="1571"/>
      <c r="Y11" s="3324" t="s">
        <v>536</v>
      </c>
      <c r="Z11" s="1150" t="str">
        <f t="shared" ref="Z11:Z17" si="7">Q11</f>
        <v>用途</v>
      </c>
      <c r="AA11" s="1572">
        <f t="shared" si="3"/>
        <v>1</v>
      </c>
      <c r="AB11" s="1572">
        <f t="shared" si="4"/>
        <v>1</v>
      </c>
      <c r="AC11" s="1572">
        <f t="shared" si="5"/>
        <v>1</v>
      </c>
    </row>
    <row r="12" spans="1:29" s="1338" customFormat="1" ht="27">
      <c r="A12" s="2943"/>
      <c r="B12" s="2948" t="s">
        <v>2765</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67"/>
      <c r="Q12" s="1151" t="str">
        <f t="shared" si="6"/>
        <v>土地使用年限（年）</v>
      </c>
      <c r="R12" s="1569" t="s">
        <v>8</v>
      </c>
      <c r="S12" s="1570">
        <f t="shared" si="0"/>
        <v>100</v>
      </c>
      <c r="T12" s="1569" t="s">
        <v>8</v>
      </c>
      <c r="U12" s="1570">
        <f t="shared" si="1"/>
        <v>100</v>
      </c>
      <c r="V12" s="1569" t="s">
        <v>8</v>
      </c>
      <c r="W12" s="1570">
        <f t="shared" si="2"/>
        <v>100</v>
      </c>
      <c r="X12" s="1571"/>
      <c r="Y12" s="3324"/>
      <c r="Z12" s="1150" t="str">
        <f t="shared" si="7"/>
        <v>土地使用年限（年）</v>
      </c>
      <c r="AA12" s="1572">
        <f t="shared" si="3"/>
        <v>1</v>
      </c>
      <c r="AB12" s="1572">
        <f t="shared" si="4"/>
        <v>1</v>
      </c>
      <c r="AC12" s="1572">
        <f t="shared" si="5"/>
        <v>1</v>
      </c>
    </row>
    <row r="13" spans="1:29" ht="15">
      <c r="A13" s="2944"/>
      <c r="B13" s="2948" t="s">
        <v>2766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67"/>
      <c r="Q13" s="1151" t="str">
        <f t="shared" si="6"/>
        <v>容积率</v>
      </c>
      <c r="R13" s="1569" t="s">
        <v>8</v>
      </c>
      <c r="S13" s="1570" t="e">
        <f t="shared" si="0"/>
        <v>#N/A</v>
      </c>
      <c r="T13" s="1569" t="s">
        <v>8</v>
      </c>
      <c r="U13" s="1570" t="e">
        <f t="shared" si="1"/>
        <v>#N/A</v>
      </c>
      <c r="V13" s="1569" t="s">
        <v>8</v>
      </c>
      <c r="W13" s="1570" t="e">
        <f t="shared" si="2"/>
        <v>#N/A</v>
      </c>
      <c r="X13" s="1571"/>
      <c r="Y13" s="3324"/>
      <c r="Z13" s="1150" t="str">
        <f t="shared" si="7"/>
        <v>容积率</v>
      </c>
      <c r="AA13" s="1572" t="e">
        <f t="shared" si="3"/>
        <v>#N/A</v>
      </c>
      <c r="AB13" s="1572" t="e">
        <f t="shared" si="4"/>
        <v>#N/A</v>
      </c>
      <c r="AC13" s="1572" t="e">
        <f t="shared" si="5"/>
        <v>#N/A</v>
      </c>
    </row>
    <row r="14" spans="1:29" s="1220" customFormat="1" ht="15">
      <c r="A14" s="2945"/>
      <c r="B14" s="2951">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67"/>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D14/F14</f>
        <v>1</v>
      </c>
      <c r="AB14" s="1572">
        <f>D14/H14</f>
        <v>1</v>
      </c>
      <c r="AC14" s="1572">
        <f>D14/J14</f>
        <v>1</v>
      </c>
    </row>
    <row r="15" spans="1:29" ht="15">
      <c r="A15" s="2945"/>
      <c r="B15" s="2951">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67"/>
      <c r="Q15" s="1151">
        <f t="shared" si="6"/>
        <v>111</v>
      </c>
      <c r="R15" s="1569" t="s">
        <v>8</v>
      </c>
      <c r="S15" s="1570">
        <f t="shared" si="0"/>
        <v>100</v>
      </c>
      <c r="T15" s="1569" t="s">
        <v>8</v>
      </c>
      <c r="U15" s="1570">
        <f t="shared" si="1"/>
        <v>100</v>
      </c>
      <c r="V15" s="1569" t="s">
        <v>8</v>
      </c>
      <c r="W15" s="1570">
        <f t="shared" si="2"/>
        <v>100</v>
      </c>
      <c r="X15" s="1571"/>
      <c r="Y15" s="3324"/>
      <c r="Z15" s="1150">
        <f t="shared" si="7"/>
        <v>111</v>
      </c>
      <c r="AA15" s="1572">
        <f t="shared" si="3"/>
        <v>1</v>
      </c>
      <c r="AB15" s="1572">
        <f t="shared" si="4"/>
        <v>1</v>
      </c>
      <c r="AC15" s="1572">
        <f t="shared" si="5"/>
        <v>1</v>
      </c>
    </row>
    <row r="16" spans="1:29" ht="15.75" thickBot="1">
      <c r="A16" s="2946"/>
      <c r="B16" s="2952">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67"/>
      <c r="Q16" s="1151">
        <f t="shared" si="6"/>
        <v>111</v>
      </c>
      <c r="R16" s="1569" t="s">
        <v>8</v>
      </c>
      <c r="S16" s="1570">
        <f t="shared" si="0"/>
        <v>100</v>
      </c>
      <c r="T16" s="1569" t="s">
        <v>8</v>
      </c>
      <c r="U16" s="1570">
        <f t="shared" si="1"/>
        <v>100</v>
      </c>
      <c r="V16" s="1569" t="s">
        <v>8</v>
      </c>
      <c r="W16" s="1570">
        <f t="shared" si="2"/>
        <v>100</v>
      </c>
      <c r="X16" s="1571"/>
      <c r="Y16" s="3324"/>
      <c r="Z16" s="1150">
        <f t="shared" si="7"/>
        <v>111</v>
      </c>
      <c r="AA16" s="1572">
        <f t="shared" si="3"/>
        <v>1</v>
      </c>
      <c r="AB16" s="1572">
        <f t="shared" si="4"/>
        <v>1</v>
      </c>
      <c r="AC16" s="1572">
        <f t="shared" si="5"/>
        <v>1</v>
      </c>
    </row>
    <row r="17" spans="1:29" ht="57">
      <c r="A17" s="2938" t="s">
        <v>2762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69" t="s">
        <v>540</v>
      </c>
      <c r="Q17" s="1573" t="str">
        <f t="shared" si="6"/>
        <v>产业集聚程度</v>
      </c>
      <c r="R17" s="1574" t="s">
        <v>8</v>
      </c>
      <c r="S17" s="1575">
        <f t="shared" si="0"/>
        <v>100</v>
      </c>
      <c r="T17" s="1574" t="s">
        <v>8</v>
      </c>
      <c r="U17" s="1575">
        <f t="shared" si="1"/>
        <v>100</v>
      </c>
      <c r="V17" s="1574" t="s">
        <v>8</v>
      </c>
      <c r="W17" s="1575">
        <f t="shared" si="2"/>
        <v>100</v>
      </c>
      <c r="X17" s="1568"/>
      <c r="Y17" s="336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70"/>
      <c r="Q18" s="1573"/>
      <c r="R18" s="1574"/>
      <c r="S18" s="1575"/>
      <c r="T18" s="1574"/>
      <c r="U18" s="1575"/>
      <c r="V18" s="1574"/>
      <c r="W18" s="1575"/>
      <c r="X18" s="1568"/>
      <c r="Y18" s="337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70"/>
      <c r="Q19" s="1573" t="str">
        <f>B19</f>
        <v>交通便捷度</v>
      </c>
      <c r="R19" s="1574" t="s">
        <v>8</v>
      </c>
      <c r="S19" s="1575">
        <f>F19</f>
        <v>100</v>
      </c>
      <c r="T19" s="1574" t="s">
        <v>8</v>
      </c>
      <c r="U19" s="1575">
        <f>H19</f>
        <v>100</v>
      </c>
      <c r="V19" s="1574" t="s">
        <v>8</v>
      </c>
      <c r="W19" s="1575">
        <f>J19</f>
        <v>100</v>
      </c>
      <c r="X19" s="1568"/>
      <c r="Y19" s="337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70"/>
      <c r="Q20" s="1573"/>
      <c r="R20" s="1574"/>
      <c r="S20" s="1575"/>
      <c r="T20" s="1574"/>
      <c r="U20" s="1575"/>
      <c r="V20" s="1574"/>
      <c r="W20" s="1575"/>
      <c r="X20" s="1568"/>
      <c r="Y20" s="337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70"/>
      <c r="Q21" s="1573" t="str">
        <f t="shared" ref="Q21:Q35" si="8">B21</f>
        <v>区域土地利用方向</v>
      </c>
      <c r="R21" s="1574" t="s">
        <v>8</v>
      </c>
      <c r="S21" s="1575">
        <f>F21</f>
        <v>100</v>
      </c>
      <c r="T21" s="1574" t="s">
        <v>8</v>
      </c>
      <c r="U21" s="1575">
        <f>H21</f>
        <v>100</v>
      </c>
      <c r="V21" s="1574" t="s">
        <v>8</v>
      </c>
      <c r="W21" s="1575">
        <f>J21</f>
        <v>100</v>
      </c>
      <c r="X21" s="1568"/>
      <c r="Y21" s="337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70"/>
      <c r="Q22" s="1573"/>
      <c r="R22" s="1574"/>
      <c r="S22" s="1575"/>
      <c r="T22" s="1574"/>
      <c r="U22" s="1575"/>
      <c r="V22" s="1574"/>
      <c r="W22" s="1575"/>
      <c r="X22" s="1568"/>
      <c r="Y22" s="337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70"/>
      <c r="Q23" s="1573" t="str">
        <f t="shared" si="8"/>
        <v>环境状况</v>
      </c>
      <c r="R23" s="1574" t="s">
        <v>8</v>
      </c>
      <c r="S23" s="1575">
        <f>F23</f>
        <v>100</v>
      </c>
      <c r="T23" s="1574" t="s">
        <v>8</v>
      </c>
      <c r="U23" s="1575">
        <f>H23</f>
        <v>100</v>
      </c>
      <c r="V23" s="1574" t="s">
        <v>8</v>
      </c>
      <c r="W23" s="1575">
        <f>J23</f>
        <v>100</v>
      </c>
      <c r="X23" s="1568"/>
      <c r="Y23" s="337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70"/>
      <c r="Q24" s="1573"/>
      <c r="R24" s="1574"/>
      <c r="S24" s="1575"/>
      <c r="T24" s="1574"/>
      <c r="U24" s="1575"/>
      <c r="V24" s="1574"/>
      <c r="W24" s="1575"/>
      <c r="X24" s="1568"/>
      <c r="Y24" s="3370"/>
      <c r="Z24" s="1576"/>
      <c r="AA24" s="1577">
        <v>1</v>
      </c>
      <c r="AB24" s="1577">
        <v>1</v>
      </c>
      <c r="AC24" s="1577">
        <v>1</v>
      </c>
    </row>
    <row r="25" spans="1:29" s="1220" customFormat="1" ht="42.75">
      <c r="A25" s="577"/>
      <c r="B25" s="2619" t="s">
        <v>2554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70"/>
      <c r="Q25" s="1151" t="str">
        <f t="shared" si="8"/>
        <v>公共配套设施</v>
      </c>
      <c r="R25" s="1569" t="s">
        <v>8</v>
      </c>
      <c r="S25" s="1570">
        <f>F25</f>
        <v>100</v>
      </c>
      <c r="T25" s="1569" t="s">
        <v>8</v>
      </c>
      <c r="U25" s="1570">
        <f>H25</f>
        <v>100</v>
      </c>
      <c r="V25" s="1569" t="s">
        <v>8</v>
      </c>
      <c r="W25" s="1570">
        <f>J25</f>
        <v>100</v>
      </c>
      <c r="X25" s="1571"/>
      <c r="Y25" s="3370"/>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370"/>
      <c r="Q26" s="1151"/>
      <c r="R26" s="1569"/>
      <c r="S26" s="1570"/>
      <c r="T26" s="1569"/>
      <c r="U26" s="1570"/>
      <c r="V26" s="1569"/>
      <c r="W26" s="1570"/>
      <c r="X26" s="1571"/>
      <c r="Y26" s="3370"/>
      <c r="Z26" s="1150"/>
      <c r="AA26" s="1572">
        <v>1</v>
      </c>
      <c r="AB26" s="1572">
        <v>1</v>
      </c>
      <c r="AC26" s="1572">
        <v>1</v>
      </c>
    </row>
    <row r="27" spans="1:29" s="1220" customFormat="1" ht="28.5">
      <c r="A27" s="577"/>
      <c r="B27" s="2619" t="s">
        <v>2555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70"/>
      <c r="Q27" s="2604" t="str">
        <f t="shared" ref="Q27" si="9">B27</f>
        <v>基础设施水平</v>
      </c>
      <c r="R27" s="1569" t="s">
        <v>8</v>
      </c>
      <c r="S27" s="1570">
        <f>F27</f>
        <v>100</v>
      </c>
      <c r="T27" s="1569" t="s">
        <v>8</v>
      </c>
      <c r="U27" s="1570">
        <f>H27</f>
        <v>100</v>
      </c>
      <c r="V27" s="1569" t="s">
        <v>8</v>
      </c>
      <c r="W27" s="1570">
        <f>J27</f>
        <v>100</v>
      </c>
      <c r="X27" s="1571"/>
      <c r="Y27" s="3370"/>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370"/>
      <c r="Q28" s="2604"/>
      <c r="R28" s="1569"/>
      <c r="S28" s="1570"/>
      <c r="T28" s="1569"/>
      <c r="U28" s="1570"/>
      <c r="V28" s="1569"/>
      <c r="W28" s="1570"/>
      <c r="X28" s="1571"/>
      <c r="Y28" s="3370"/>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7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70"/>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70"/>
      <c r="Q30" s="1573" t="str">
        <f t="shared" si="8"/>
        <v>毗邻道路的类型与等级</v>
      </c>
      <c r="R30" s="1574" t="s">
        <v>8</v>
      </c>
      <c r="S30" s="1575">
        <f t="shared" si="10"/>
        <v>100</v>
      </c>
      <c r="T30" s="1574" t="s">
        <v>8</v>
      </c>
      <c r="U30" s="1575">
        <f t="shared" si="11"/>
        <v>100</v>
      </c>
      <c r="V30" s="1574" t="s">
        <v>8</v>
      </c>
      <c r="W30" s="1575">
        <f t="shared" si="12"/>
        <v>100</v>
      </c>
      <c r="X30" s="1568"/>
      <c r="Y30" s="3370"/>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370"/>
      <c r="Q31" s="1573"/>
      <c r="R31" s="1574"/>
      <c r="S31" s="1575"/>
      <c r="T31" s="1574"/>
      <c r="U31" s="1575"/>
      <c r="V31" s="1574"/>
      <c r="W31" s="1575"/>
      <c r="X31" s="1568"/>
      <c r="Y31" s="3370"/>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70"/>
      <c r="Q32" s="1573" t="str">
        <f t="shared" si="8"/>
        <v>土地级别</v>
      </c>
      <c r="R32" s="1574" t="s">
        <v>8</v>
      </c>
      <c r="S32" s="1575">
        <f t="shared" si="10"/>
        <v>100</v>
      </c>
      <c r="T32" s="1574" t="s">
        <v>8</v>
      </c>
      <c r="U32" s="1575">
        <f t="shared" si="11"/>
        <v>100</v>
      </c>
      <c r="V32" s="1574" t="s">
        <v>8</v>
      </c>
      <c r="W32" s="1575">
        <f t="shared" si="12"/>
        <v>100</v>
      </c>
      <c r="X32" s="1568"/>
      <c r="Y32" s="337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70"/>
      <c r="Q33" s="1573">
        <f t="shared" si="8"/>
        <v>111</v>
      </c>
      <c r="R33" s="1574" t="s">
        <v>8</v>
      </c>
      <c r="S33" s="1575">
        <f t="shared" si="10"/>
        <v>100</v>
      </c>
      <c r="T33" s="1574" t="s">
        <v>8</v>
      </c>
      <c r="U33" s="1575">
        <f t="shared" si="11"/>
        <v>100</v>
      </c>
      <c r="V33" s="1574" t="s">
        <v>8</v>
      </c>
      <c r="W33" s="1575">
        <f t="shared" si="12"/>
        <v>100</v>
      </c>
      <c r="X33" s="1568"/>
      <c r="Y33" s="337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71" t="s">
        <v>550</v>
      </c>
      <c r="Q34" s="1573">
        <f t="shared" si="8"/>
        <v>111</v>
      </c>
      <c r="R34" s="1574" t="s">
        <v>8</v>
      </c>
      <c r="S34" s="1575">
        <f t="shared" si="10"/>
        <v>100</v>
      </c>
      <c r="T34" s="1574" t="s">
        <v>8</v>
      </c>
      <c r="U34" s="1575">
        <f t="shared" si="11"/>
        <v>100</v>
      </c>
      <c r="V34" s="1574" t="s">
        <v>8</v>
      </c>
      <c r="W34" s="1575">
        <f t="shared" si="12"/>
        <v>100</v>
      </c>
      <c r="X34" s="1568"/>
      <c r="Y34" s="3372"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72"/>
      <c r="Q35" s="1573">
        <f t="shared" si="8"/>
        <v>111</v>
      </c>
      <c r="R35" s="1578" t="s">
        <v>8</v>
      </c>
      <c r="S35" s="1579">
        <f t="shared" si="10"/>
        <v>100</v>
      </c>
      <c r="T35" s="1578" t="s">
        <v>8</v>
      </c>
      <c r="U35" s="1579">
        <f t="shared" si="11"/>
        <v>100</v>
      </c>
      <c r="V35" s="1578" t="s">
        <v>8</v>
      </c>
      <c r="W35" s="1579">
        <f t="shared" si="12"/>
        <v>100</v>
      </c>
      <c r="X35" s="1580"/>
      <c r="Y35" s="3372"/>
      <c r="Z35" s="1581">
        <f t="shared" si="13"/>
        <v>111</v>
      </c>
      <c r="AA35" s="1577">
        <f t="shared" si="3"/>
        <v>1</v>
      </c>
      <c r="AB35" s="1577">
        <f t="shared" si="4"/>
        <v>1</v>
      </c>
      <c r="AC35" s="1577">
        <f t="shared" si="5"/>
        <v>1</v>
      </c>
    </row>
    <row r="36" spans="1:29" ht="15">
      <c r="A36" s="2935" t="s">
        <v>2763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72"/>
      <c r="Q36" s="1573" t="str">
        <f>B36</f>
        <v>宗地面积</v>
      </c>
      <c r="R36" s="1574" t="s">
        <v>8</v>
      </c>
      <c r="S36" s="1575" t="e">
        <f t="shared" si="10"/>
        <v>#N/A</v>
      </c>
      <c r="T36" s="1574" t="s">
        <v>8</v>
      </c>
      <c r="U36" s="1575" t="e">
        <f t="shared" si="11"/>
        <v>#N/A</v>
      </c>
      <c r="V36" s="1574" t="s">
        <v>8</v>
      </c>
      <c r="W36" s="1575" t="e">
        <f t="shared" si="12"/>
        <v>#N/A</v>
      </c>
      <c r="X36" s="1568"/>
      <c r="Y36" s="337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72"/>
      <c r="Q37" s="1573" t="str">
        <f t="shared" ref="Q37:Q42" si="14">B37</f>
        <v>宗地形状</v>
      </c>
      <c r="R37" s="1574" t="s">
        <v>8</v>
      </c>
      <c r="S37" s="1575">
        <f t="shared" si="10"/>
        <v>100</v>
      </c>
      <c r="T37" s="1574" t="s">
        <v>8</v>
      </c>
      <c r="U37" s="1575">
        <f t="shared" si="11"/>
        <v>100</v>
      </c>
      <c r="V37" s="1574" t="s">
        <v>8</v>
      </c>
      <c r="W37" s="1575">
        <f t="shared" si="12"/>
        <v>100</v>
      </c>
      <c r="X37" s="1568"/>
      <c r="Y37" s="3372"/>
      <c r="Z37" s="1576" t="str">
        <f t="shared" si="13"/>
        <v>宗地形状</v>
      </c>
      <c r="AA37" s="1577">
        <f t="shared" si="3"/>
        <v>1</v>
      </c>
      <c r="AB37" s="1577">
        <f t="shared" si="4"/>
        <v>1</v>
      </c>
      <c r="AC37" s="1577">
        <f t="shared" si="5"/>
        <v>1</v>
      </c>
    </row>
    <row r="38" spans="1:29" s="1220" customFormat="1" ht="15">
      <c r="A38" s="600"/>
      <c r="B38" s="1897" t="s">
        <v>2428</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72"/>
      <c r="Q38" s="1573" t="str">
        <f t="shared" si="14"/>
        <v>宗地开发程度</v>
      </c>
      <c r="R38" s="1569" t="s">
        <v>8</v>
      </c>
      <c r="S38" s="1570">
        <f t="shared" si="10"/>
        <v>100</v>
      </c>
      <c r="T38" s="1569" t="s">
        <v>8</v>
      </c>
      <c r="U38" s="1570">
        <f t="shared" si="11"/>
        <v>100</v>
      </c>
      <c r="V38" s="1569" t="s">
        <v>8</v>
      </c>
      <c r="W38" s="1570">
        <f t="shared" si="12"/>
        <v>100</v>
      </c>
      <c r="X38" s="1571"/>
      <c r="Y38" s="337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72" t="s">
        <v>601</v>
      </c>
      <c r="Q39" s="1573" t="str">
        <f t="shared" si="14"/>
        <v>工程地质条件</v>
      </c>
      <c r="R39" s="1574" t="s">
        <v>8</v>
      </c>
      <c r="S39" s="1575">
        <f t="shared" si="10"/>
        <v>100</v>
      </c>
      <c r="T39" s="1574" t="s">
        <v>8</v>
      </c>
      <c r="U39" s="1575">
        <f t="shared" si="11"/>
        <v>100</v>
      </c>
      <c r="V39" s="1574" t="s">
        <v>8</v>
      </c>
      <c r="W39" s="1575">
        <f t="shared" si="12"/>
        <v>100</v>
      </c>
      <c r="X39" s="1568"/>
      <c r="Y39" s="337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72"/>
      <c r="Q40" s="1573">
        <f t="shared" si="14"/>
        <v>111</v>
      </c>
      <c r="R40" s="1574" t="s">
        <v>8</v>
      </c>
      <c r="S40" s="1575">
        <f t="shared" si="10"/>
        <v>100</v>
      </c>
      <c r="T40" s="1574" t="s">
        <v>8</v>
      </c>
      <c r="U40" s="1575">
        <f t="shared" si="11"/>
        <v>100</v>
      </c>
      <c r="V40" s="1574" t="s">
        <v>8</v>
      </c>
      <c r="W40" s="1575">
        <f t="shared" si="12"/>
        <v>100</v>
      </c>
      <c r="X40" s="1568"/>
      <c r="Y40" s="337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72"/>
      <c r="Q41" s="1573">
        <f t="shared" si="14"/>
        <v>111</v>
      </c>
      <c r="R41" s="1574" t="s">
        <v>8</v>
      </c>
      <c r="S41" s="1575">
        <f t="shared" si="10"/>
        <v>100</v>
      </c>
      <c r="T41" s="1574" t="s">
        <v>8</v>
      </c>
      <c r="U41" s="1575">
        <f t="shared" si="11"/>
        <v>100</v>
      </c>
      <c r="V41" s="1574" t="s">
        <v>8</v>
      </c>
      <c r="W41" s="1575">
        <f t="shared" si="12"/>
        <v>100</v>
      </c>
      <c r="X41" s="1568"/>
      <c r="Y41" s="337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72"/>
      <c r="Q42" s="1573">
        <f t="shared" si="14"/>
        <v>111</v>
      </c>
      <c r="R42" s="1578" t="s">
        <v>8</v>
      </c>
      <c r="S42" s="1579">
        <f t="shared" si="10"/>
        <v>100</v>
      </c>
      <c r="T42" s="1578" t="s">
        <v>8</v>
      </c>
      <c r="U42" s="1579">
        <f t="shared" si="11"/>
        <v>100</v>
      </c>
      <c r="V42" s="1578" t="s">
        <v>8</v>
      </c>
      <c r="W42" s="1579">
        <f t="shared" si="12"/>
        <v>100</v>
      </c>
      <c r="X42" s="1580"/>
      <c r="Y42" s="3372"/>
      <c r="Z42" s="1581">
        <f t="shared" si="13"/>
        <v>111</v>
      </c>
      <c r="AA42" s="1577">
        <f t="shared" si="3"/>
        <v>1</v>
      </c>
      <c r="AB42" s="1577">
        <f t="shared" si="4"/>
        <v>1</v>
      </c>
      <c r="AC42" s="1577">
        <f t="shared" si="5"/>
        <v>1</v>
      </c>
    </row>
    <row r="43" spans="1:29" ht="15">
      <c r="A43" s="607" t="s">
        <v>556</v>
      </c>
      <c r="B43" s="608" t="s">
        <v>2944</v>
      </c>
      <c r="C43" s="609" t="s">
        <v>1</v>
      </c>
      <c r="D43" s="610"/>
      <c r="E43" s="611"/>
      <c r="F43" s="612"/>
      <c r="G43" s="613"/>
      <c r="H43" s="614"/>
      <c r="I43" s="611"/>
      <c r="J43" s="614"/>
      <c r="K43" s="1340"/>
      <c r="L43" s="2146"/>
      <c r="M43" s="2136"/>
      <c r="N43" s="2136"/>
      <c r="O43" s="2147"/>
      <c r="P43" s="3367" t="str">
        <f>A43</f>
        <v>成交单价</v>
      </c>
      <c r="Q43" s="3367"/>
      <c r="R43" s="3381">
        <f>E43</f>
        <v>0</v>
      </c>
      <c r="S43" s="3381"/>
      <c r="T43" s="3381">
        <f>G43</f>
        <v>0</v>
      </c>
      <c r="U43" s="3381"/>
      <c r="V43" s="3381">
        <f>I43</f>
        <v>0</v>
      </c>
      <c r="W43" s="3381"/>
      <c r="X43" s="1560"/>
      <c r="Y43" s="1582"/>
      <c r="Z43" s="1560"/>
      <c r="AA43" s="1560"/>
      <c r="AB43" s="1560"/>
      <c r="AC43" s="1560"/>
    </row>
    <row r="44" spans="1:29" ht="15.75" thickBot="1">
      <c r="A44" s="615" t="s">
        <v>2701</v>
      </c>
      <c r="B44" s="616"/>
      <c r="C44" s="617" t="e">
        <f>R45</f>
        <v>#DIV/0!</v>
      </c>
      <c r="D44" s="618"/>
      <c r="E44" s="617" t="e">
        <f>R44</f>
        <v>#DIV/0!</v>
      </c>
      <c r="F44" s="619"/>
      <c r="G44" s="620" t="e">
        <f>T44</f>
        <v>#DIV/0!</v>
      </c>
      <c r="H44" s="618"/>
      <c r="I44" s="617" t="e">
        <f>V44</f>
        <v>#DIV/0!</v>
      </c>
      <c r="J44" s="618"/>
      <c r="K44" s="1341"/>
      <c r="L44" s="2146"/>
      <c r="M44" s="2136"/>
      <c r="N44" s="2136"/>
      <c r="O44" s="2147"/>
      <c r="P44" s="3367" t="str">
        <f>A44</f>
        <v>比较价格（元/平方米）</v>
      </c>
      <c r="Q44" s="3367"/>
      <c r="R44" s="3392" t="e">
        <f>ROUND(PRODUCT(R43,AA9:AA42),0)</f>
        <v>#DIV/0!</v>
      </c>
      <c r="S44" s="3392"/>
      <c r="T44" s="3392" t="e">
        <f>ROUND(PRODUCT(T43,AB9:AB42),0)</f>
        <v>#DIV/0!</v>
      </c>
      <c r="U44" s="3392"/>
      <c r="V44" s="3392" t="e">
        <f>ROUND(PRODUCT(V43,AC9:AC42),0)</f>
        <v>#DIV/0!</v>
      </c>
      <c r="W44" s="3392"/>
      <c r="X44" s="1560"/>
      <c r="Y44" s="1560"/>
      <c r="Z44" s="1560"/>
      <c r="AA44" s="1560"/>
      <c r="AB44" s="1560"/>
      <c r="AC44" s="1560"/>
    </row>
    <row r="45" spans="1:29" ht="15.75" thickBot="1">
      <c r="A45" s="621" t="s">
        <v>2945</v>
      </c>
      <c r="B45" s="622"/>
      <c r="C45" s="623" t="e">
        <f>R45</f>
        <v>#DIV/0!</v>
      </c>
      <c r="D45" s="623"/>
      <c r="E45" s="623"/>
      <c r="F45" s="623"/>
      <c r="G45" s="623"/>
      <c r="H45" s="623"/>
      <c r="I45" s="623"/>
      <c r="J45" s="623"/>
      <c r="K45" s="1342"/>
      <c r="L45" s="2146"/>
      <c r="M45" s="2136"/>
      <c r="N45" s="2136"/>
      <c r="O45" s="2147"/>
      <c r="P45" s="3389" t="str">
        <f>A45</f>
        <v>估价对象XX用房的比较价格（楼面单价，元/平方米）</v>
      </c>
      <c r="Q45" s="3390"/>
      <c r="R45" s="3391" t="e">
        <f>ROUND(AVERAGE(R44:V44),0)</f>
        <v>#DIV/0!</v>
      </c>
      <c r="S45" s="3391"/>
      <c r="T45" s="3391"/>
      <c r="U45" s="3391"/>
      <c r="V45" s="3391"/>
      <c r="W45" s="339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2296</v>
      </c>
      <c r="E52" s="631" t="s">
        <v>562</v>
      </c>
      <c r="F52" s="1953" t="s">
        <v>563</v>
      </c>
      <c r="G52" s="3393" t="s">
        <v>2287</v>
      </c>
      <c r="H52" s="3394"/>
      <c r="I52" s="1954" t="s">
        <v>1948</v>
      </c>
      <c r="J52" s="1556" t="str">
        <f>项目基本情况!F41</f>
        <v>郑州市荥阳市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1357333.3399999999</v>
      </c>
      <c r="F53" s="1952" t="e">
        <f t="shared" ref="F53:F62" si="15">ROUND(B53*E53/10000,0)</f>
        <v>#DIV/0!</v>
      </c>
      <c r="G53" s="3395"/>
      <c r="H53" s="3396"/>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397" t="s">
        <v>2288</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397"/>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397"/>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397"/>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2331</v>
      </c>
      <c r="B58" s="638" t="e">
        <f t="shared" si="17"/>
        <v>#DIV/0!</v>
      </c>
      <c r="C58" s="378">
        <f t="shared" si="16"/>
        <v>0</v>
      </c>
      <c r="D58" s="2231">
        <v>0.25</v>
      </c>
      <c r="E58" s="641">
        <f>'数据-汇总表'!E11</f>
        <v>0</v>
      </c>
      <c r="F58" s="1952" t="e">
        <f t="shared" si="15"/>
        <v>#DIV/0!</v>
      </c>
      <c r="G58" s="1958" t="s">
        <v>2289</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11041</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2288</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2289</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2297</v>
      </c>
      <c r="E63" s="643">
        <f>IF(B43="楼面地价",SUM(E53:E62),'数据-汇总表'!D3)</f>
        <v>666666.69999999995</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8" t="str">
        <f>YEAR(C9)&amp;"-"&amp;MONTH(C9)&amp;"-1"</f>
        <v>2017-12-1</v>
      </c>
      <c r="D65" s="2827">
        <f>EDATE(C65,-3)</f>
        <v>42979</v>
      </c>
      <c r="E65" s="2827">
        <f t="shared" ref="E65:N65" si="18">EDATE(D65,-3)</f>
        <v>42887</v>
      </c>
      <c r="F65" s="2827">
        <f t="shared" si="18"/>
        <v>42795</v>
      </c>
      <c r="G65" s="2827">
        <f t="shared" si="18"/>
        <v>42705</v>
      </c>
      <c r="H65" s="2827">
        <f t="shared" si="18"/>
        <v>42614</v>
      </c>
      <c r="I65" s="2827">
        <f t="shared" si="18"/>
        <v>42522</v>
      </c>
      <c r="J65" s="2827">
        <f t="shared" si="18"/>
        <v>42430</v>
      </c>
      <c r="K65" s="2827">
        <f t="shared" si="18"/>
        <v>42339</v>
      </c>
      <c r="L65" s="2827">
        <f t="shared" si="18"/>
        <v>42248</v>
      </c>
      <c r="M65" s="2827">
        <f t="shared" si="18"/>
        <v>42156</v>
      </c>
      <c r="N65" s="2827">
        <f t="shared" si="18"/>
        <v>42064</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2539</v>
      </c>
      <c r="B67" s="646"/>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61"/>
      <c r="P67" s="2162"/>
      <c r="Q67" s="2163"/>
      <c r="R67" s="2163"/>
      <c r="S67" s="2163"/>
      <c r="T67" s="2163"/>
      <c r="U67" s="2163"/>
      <c r="V67" s="2163"/>
      <c r="W67" s="2163"/>
      <c r="X67" s="2163"/>
      <c r="Y67" s="2163"/>
      <c r="Z67" s="2163"/>
      <c r="AA67" s="2163"/>
      <c r="AB67" s="2163"/>
      <c r="AC67" s="2163"/>
    </row>
    <row r="68" spans="1:29" s="1220" customFormat="1" ht="27.75" customHeight="1">
      <c r="A68" s="2826" t="s">
        <v>2657</v>
      </c>
      <c r="B68" s="479" t="str">
        <f>"北京市平均增长率"&amp;TEXT(基准地价!P24,"0.00%")</f>
        <v>北京市平均增长率1.39%</v>
      </c>
      <c r="C68" s="894">
        <v>100</v>
      </c>
      <c r="D68" s="730"/>
      <c r="E68" s="730"/>
      <c r="F68" s="730"/>
      <c r="G68" s="730"/>
      <c r="H68" s="730"/>
      <c r="I68" s="730"/>
      <c r="J68" s="730"/>
      <c r="K68" s="730"/>
      <c r="L68" s="730"/>
      <c r="M68" s="2820"/>
      <c r="N68" s="2821"/>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8"/>
      <c r="D69" s="2819"/>
      <c r="E69" s="2819"/>
      <c r="F69" s="2819"/>
      <c r="G69" s="2819"/>
      <c r="H69" s="2819"/>
      <c r="I69" s="2819"/>
      <c r="J69" s="2819"/>
      <c r="K69" s="2819"/>
      <c r="L69" s="2819"/>
      <c r="M69" s="2819"/>
      <c r="N69" s="2819"/>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2554</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2556</v>
      </c>
      <c r="C95" s="2624" t="s">
        <v>2557</v>
      </c>
      <c r="D95" s="2624" t="s">
        <v>2558</v>
      </c>
      <c r="E95" s="2624" t="s">
        <v>2559</v>
      </c>
      <c r="F95" s="2624" t="s">
        <v>2560</v>
      </c>
      <c r="G95" s="2624" t="s">
        <v>2561</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1" t="str">
        <f t="shared" si="25"/>
        <v>(含)-</v>
      </c>
      <c r="L109" s="3122" t="str">
        <f t="shared" si="25"/>
        <v>(含)-</v>
      </c>
      <c r="M109" s="3123"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2429</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2430</v>
      </c>
      <c r="D1" s="1522">
        <f>SUM(D29:D30,D33:D39)</f>
        <v>0</v>
      </c>
      <c r="E1" s="1407" t="s">
        <v>2431</v>
      </c>
      <c r="F1" s="2478"/>
      <c r="G1" s="1402"/>
      <c r="H1" s="1402"/>
      <c r="I1" s="1402"/>
      <c r="J1" s="1402"/>
      <c r="K1" s="1402"/>
      <c r="L1" s="1884" t="s">
        <v>2241</v>
      </c>
      <c r="M1" s="1885">
        <f>SUMPRODUCT((区片价!B5:B9=I2)*(区片价!C3:F3=E2)*(区片价!C5:F9))</f>
        <v>0</v>
      </c>
      <c r="N1" s="1886">
        <f>SUMPRODUCT((因素修正幅度!B5:B9=I2)*(因素修正幅度!C3:F3=E2)*(因素修正幅度!C5:F9))</f>
        <v>0</v>
      </c>
      <c r="O1" s="2191"/>
      <c r="P1" s="2191"/>
      <c r="Q1" s="2191"/>
      <c r="R1" s="2964" t="s">
        <v>2770</v>
      </c>
      <c r="S1" s="2964" t="s">
        <v>2771</v>
      </c>
      <c r="T1" s="2964" t="s">
        <v>2792</v>
      </c>
      <c r="U1" s="2964" t="s">
        <v>2793</v>
      </c>
      <c r="V1" s="2964" t="s">
        <v>2794</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91"/>
      <c r="P2" s="2191"/>
      <c r="Q2" s="2191"/>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2946</v>
      </c>
      <c r="G3" s="1039">
        <f>IF(F3="宗地容积率",'数据-汇总表'!I4,IF(F3="估价对象容积率",'数据-汇总表'!I6,'数据-汇总表'!I7))</f>
        <v>2.75</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91"/>
      <c r="P3" s="2191"/>
      <c r="Q3" s="2191"/>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91"/>
      <c r="X3" s="2191"/>
      <c r="Y3" s="2191"/>
      <c r="Z3" s="2191"/>
      <c r="AA3" s="2191"/>
      <c r="AB3" s="2191"/>
      <c r="AC3" s="2192"/>
    </row>
    <row r="4" spans="1:39" ht="28.5">
      <c r="A4" s="1893" t="s">
        <v>2283</v>
      </c>
      <c r="B4" s="2479"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91"/>
      <c r="P4" s="2191"/>
      <c r="Q4" s="2191"/>
      <c r="R4" s="2965">
        <v>3</v>
      </c>
      <c r="S4" s="2965">
        <f>ROUND(IF(G3&gt;1,IF(R4&lt;7,SUMPRODUCT((B93:B98=R4)*(C92:N92=G2)*(C93:N98)),SUMIF(C92:N92,G2,C100:N100)),IF(R4&lt;7,SUMPRODUCT((B102:B107=R4)*(C92:N92=G2)*(C102:N107)),SUMIF(C92:N92,G2,C109:N109))),4)</f>
        <v>0</v>
      </c>
      <c r="T4" s="2965" t="e">
        <f t="shared" si="0"/>
        <v>#DIV/0!</v>
      </c>
      <c r="U4" s="2954"/>
      <c r="V4" s="2965"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3">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91"/>
      <c r="P5" s="2191"/>
      <c r="Q5" s="2191"/>
      <c r="R5" s="2965">
        <v>4</v>
      </c>
      <c r="S5" s="2965">
        <f>ROUND(IF(G3&gt;1,IF(R5&lt;7,SUMPRODUCT((B93:B98=R5)*(C92:N92=G2)*(C93:N98)),SUMIF(C92:N92,G2,C100:N100)),IF(R5&lt;7,SUMPRODUCT((B102:B107=R5)*(C92:N92=G2)*(C102:N107)),SUMIF(C92:N92,G2,C109:N109))),4)</f>
        <v>0</v>
      </c>
      <c r="T5" s="2965" t="e">
        <f t="shared" si="0"/>
        <v>#DIV/0!</v>
      </c>
      <c r="U5" s="2954"/>
      <c r="V5" s="2965"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91"/>
      <c r="P6" s="2191"/>
      <c r="Q6" s="2191"/>
      <c r="R6" s="2965">
        <v>5</v>
      </c>
      <c r="S6" s="2965">
        <f>ROUND(IF(G3&gt;1,IF(R6&lt;7,SUMPRODUCT((B93:B98=R6)*(C92:N92=G2)*(C93:N98)),SUMIF(C92:N92,G2,C100:N100)),IF(R6&lt;7,SUMPRODUCT((B102:B107=R6)*(C92:N92=G2)*(C102:N107)),SUMIF(C92:N92,G2,C109:N109))),4)</f>
        <v>0</v>
      </c>
      <c r="T6" s="2965" t="e">
        <f t="shared" si="0"/>
        <v>#DIV/0!</v>
      </c>
      <c r="U6" s="2954"/>
      <c r="V6" s="2965" t="e">
        <f t="shared" si="1"/>
        <v>#DIV/0!</v>
      </c>
      <c r="W6" s="2191"/>
      <c r="X6" s="2191"/>
      <c r="Y6" s="2191"/>
      <c r="Z6" s="2191"/>
      <c r="AA6" s="2191"/>
      <c r="AB6" s="2191"/>
      <c r="AC6" s="2193"/>
      <c r="AD6" s="1420"/>
      <c r="AE6" s="1420"/>
      <c r="AF6" s="1420"/>
      <c r="AG6" s="1420"/>
      <c r="AH6" s="1420"/>
      <c r="AI6" s="1420"/>
      <c r="AJ6" s="1421"/>
    </row>
    <row r="7" spans="1:39" ht="24">
      <c r="A7" s="3406"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91"/>
      <c r="P7" s="2191"/>
      <c r="Q7" s="2191"/>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2773</v>
      </c>
      <c r="X7" s="2955">
        <f>G2</f>
        <v>0</v>
      </c>
      <c r="Y7" s="2955" t="s">
        <v>2774</v>
      </c>
      <c r="Z7" s="2956">
        <f>G3</f>
        <v>2.75</v>
      </c>
      <c r="AA7" s="2194"/>
      <c r="AB7" s="2194"/>
      <c r="AC7" s="2195"/>
      <c r="AD7" s="2957"/>
      <c r="AE7" s="2957"/>
      <c r="AF7" s="2957"/>
      <c r="AG7" s="2957"/>
      <c r="AH7" s="2957"/>
      <c r="AI7" s="2957"/>
      <c r="AJ7" s="2958"/>
    </row>
    <row r="8" spans="1:39" ht="15">
      <c r="A8" s="3407"/>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91"/>
      <c r="P8" s="2191"/>
      <c r="Q8" s="2191"/>
      <c r="R8" s="2965">
        <v>7</v>
      </c>
      <c r="S8" s="2954"/>
      <c r="T8" s="2965" t="e">
        <f t="shared" si="0"/>
        <v>#DIV/0!</v>
      </c>
      <c r="U8" s="2954"/>
      <c r="V8" s="2965" t="e">
        <f t="shared" si="1"/>
        <v>#DIV/0!</v>
      </c>
      <c r="W8" s="3416" t="s">
        <v>2791</v>
      </c>
      <c r="X8" s="3417"/>
      <c r="Y8" s="1851" t="s">
        <v>2775</v>
      </c>
      <c r="Z8" s="1851" t="s">
        <v>2776</v>
      </c>
      <c r="AA8" s="1851" t="s">
        <v>2777</v>
      </c>
      <c r="AB8" s="1851" t="s">
        <v>2778</v>
      </c>
      <c r="AC8" s="1851" t="s">
        <v>2779</v>
      </c>
      <c r="AD8" s="1851" t="s">
        <v>2780</v>
      </c>
      <c r="AE8" s="1851" t="s">
        <v>2781</v>
      </c>
      <c r="AF8" s="1851" t="s">
        <v>2782</v>
      </c>
      <c r="AG8" s="1851" t="s">
        <v>2783</v>
      </c>
      <c r="AH8" s="1851" t="s">
        <v>2784</v>
      </c>
      <c r="AI8" s="1851" t="s">
        <v>2785</v>
      </c>
      <c r="AJ8" s="1851" t="s">
        <v>2786</v>
      </c>
    </row>
    <row r="9" spans="1:39" ht="15">
      <c r="A9" s="3407"/>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91"/>
      <c r="P9" s="2191"/>
      <c r="Q9" s="2191"/>
      <c r="R9" s="2965">
        <v>8</v>
      </c>
      <c r="S9" s="2954"/>
      <c r="T9" s="2965" t="e">
        <f t="shared" si="0"/>
        <v>#DIV/0!</v>
      </c>
      <c r="U9" s="2954"/>
      <c r="V9" s="2965" t="e">
        <f t="shared" si="1"/>
        <v>#DIV/0!</v>
      </c>
      <c r="W9" s="3415" t="s">
        <v>2787</v>
      </c>
      <c r="X9" s="2959" t="s">
        <v>2788</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07"/>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91"/>
      <c r="P10" s="2191"/>
      <c r="Q10" s="2191"/>
      <c r="R10" s="2965">
        <v>9</v>
      </c>
      <c r="S10" s="2954"/>
      <c r="T10" s="2965" t="e">
        <f t="shared" si="0"/>
        <v>#DIV/0!</v>
      </c>
      <c r="U10" s="2954"/>
      <c r="V10" s="2965" t="e">
        <f t="shared" si="1"/>
        <v>#DIV/0!</v>
      </c>
      <c r="W10" s="3415"/>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07"/>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91"/>
      <c r="P11" s="2191"/>
      <c r="Q11" s="2191"/>
      <c r="R11" s="2965">
        <v>10</v>
      </c>
      <c r="S11" s="2954"/>
      <c r="T11" s="2965" t="e">
        <f t="shared" si="0"/>
        <v>#DIV/0!</v>
      </c>
      <c r="U11" s="2954"/>
      <c r="V11" s="2965" t="e">
        <f t="shared" si="1"/>
        <v>#DIV/0!</v>
      </c>
      <c r="W11" s="3415" t="s">
        <v>2789</v>
      </c>
      <c r="X11" s="1048" t="s">
        <v>2774</v>
      </c>
      <c r="Y11" s="1654">
        <f>$G$3</f>
        <v>2.75</v>
      </c>
      <c r="Z11" s="1654">
        <f t="shared" ref="Z11:AJ11" si="3">$G$3</f>
        <v>2.75</v>
      </c>
      <c r="AA11" s="1654">
        <f t="shared" si="3"/>
        <v>2.75</v>
      </c>
      <c r="AB11" s="1654">
        <f t="shared" si="3"/>
        <v>2.75</v>
      </c>
      <c r="AC11" s="1654">
        <f t="shared" si="3"/>
        <v>2.75</v>
      </c>
      <c r="AD11" s="1654">
        <f t="shared" si="3"/>
        <v>2.75</v>
      </c>
      <c r="AE11" s="1654">
        <f t="shared" si="3"/>
        <v>2.75</v>
      </c>
      <c r="AF11" s="1654">
        <f t="shared" si="3"/>
        <v>2.75</v>
      </c>
      <c r="AG11" s="1654">
        <f t="shared" si="3"/>
        <v>2.75</v>
      </c>
      <c r="AH11" s="1654">
        <f t="shared" si="3"/>
        <v>2.75</v>
      </c>
      <c r="AI11" s="1654">
        <f t="shared" si="3"/>
        <v>2.75</v>
      </c>
      <c r="AJ11" s="1654">
        <f t="shared" si="3"/>
        <v>2.75</v>
      </c>
    </row>
    <row r="12" spans="1:39" ht="25.5" thickBot="1">
      <c r="A12" s="3406"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91"/>
      <c r="P12" s="2191"/>
      <c r="Q12" s="2191"/>
      <c r="R12" s="2965">
        <v>11</v>
      </c>
      <c r="S12" s="2954"/>
      <c r="T12" s="2965" t="e">
        <f t="shared" si="0"/>
        <v>#DIV/0!</v>
      </c>
      <c r="U12" s="2954"/>
      <c r="V12" s="2965" t="e">
        <f t="shared" si="1"/>
        <v>#DIV/0!</v>
      </c>
      <c r="W12" s="3415"/>
      <c r="X12" s="2962" t="s">
        <v>2790</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08"/>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5">
        <v>12</v>
      </c>
      <c r="S13" s="2954"/>
      <c r="T13" s="2965" t="e">
        <f t="shared" si="0"/>
        <v>#DIV/0!</v>
      </c>
      <c r="U13" s="2954"/>
      <c r="V13" s="2965" t="e">
        <f t="shared" si="1"/>
        <v>#DIV/0!</v>
      </c>
      <c r="W13" s="3415"/>
      <c r="X13" s="2962"/>
      <c r="Y13" s="2961">
        <f>(-0.163*(Y12^2)-0.59*Y12+7617)*(10^(-4))/Y11</f>
        <v>0.27698181818181822</v>
      </c>
      <c r="Z13" s="2961">
        <f t="shared" ref="Z13:AJ13" si="5">(-0.163*(Z12^2)-0.59*Z12+7617)*(10^(-4))/Z11</f>
        <v>0.27698181818181822</v>
      </c>
      <c r="AA13" s="2961">
        <f t="shared" si="5"/>
        <v>0.27698181818181822</v>
      </c>
      <c r="AB13" s="2961">
        <f t="shared" si="5"/>
        <v>0.27698181818181822</v>
      </c>
      <c r="AC13" s="2961">
        <f t="shared" si="5"/>
        <v>0.27698181818181822</v>
      </c>
      <c r="AD13" s="2961">
        <f t="shared" si="5"/>
        <v>0.27698181818181822</v>
      </c>
      <c r="AE13" s="2961">
        <f t="shared" si="5"/>
        <v>0.27698181818181822</v>
      </c>
      <c r="AF13" s="2961">
        <f t="shared" si="5"/>
        <v>0.27698181818181822</v>
      </c>
      <c r="AG13" s="2961">
        <f t="shared" si="5"/>
        <v>0.27698181818181822</v>
      </c>
      <c r="AH13" s="2961">
        <f t="shared" si="5"/>
        <v>0.27698181818181822</v>
      </c>
      <c r="AI13" s="2961">
        <f t="shared" si="5"/>
        <v>0.27698181818181822</v>
      </c>
      <c r="AJ13" s="2961">
        <f t="shared" si="5"/>
        <v>0.27698181818181822</v>
      </c>
    </row>
    <row r="14" spans="1:39" ht="12.75" customHeight="1" thickBot="1">
      <c r="A14" s="3408"/>
      <c r="B14" s="1452"/>
      <c r="C14" s="1453"/>
      <c r="D14" s="1454"/>
      <c r="E14" s="1454"/>
      <c r="F14" s="1455"/>
      <c r="G14" s="1456" t="s">
        <v>949</v>
      </c>
      <c r="H14" s="1457"/>
      <c r="I14" s="1458"/>
      <c r="J14" s="1459"/>
      <c r="K14" s="1402"/>
      <c r="L14" s="2191"/>
      <c r="M14" s="2191"/>
      <c r="N14" s="2191"/>
      <c r="O14" s="2191"/>
      <c r="P14" s="2191"/>
      <c r="Q14" s="2191"/>
      <c r="R14" s="2965">
        <v>13</v>
      </c>
      <c r="S14" s="2954"/>
      <c r="T14" s="2965" t="e">
        <f t="shared" si="0"/>
        <v>#DIV/0!</v>
      </c>
      <c r="U14" s="2954"/>
      <c r="V14" s="2965" t="e">
        <f t="shared" si="1"/>
        <v>#DIV/0!</v>
      </c>
      <c r="W14" s="2191"/>
      <c r="X14" s="2191"/>
      <c r="Y14" s="2191"/>
      <c r="Z14" s="2191"/>
      <c r="AA14" s="2191"/>
      <c r="AB14" s="2191"/>
      <c r="AC14" s="2192"/>
    </row>
    <row r="15" spans="1:39" ht="13.5" customHeight="1" thickBot="1">
      <c r="A15" s="340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5">
        <v>14</v>
      </c>
      <c r="S15" s="2954"/>
      <c r="T15" s="2965" t="e">
        <f t="shared" si="0"/>
        <v>#DIV/0!</v>
      </c>
      <c r="U15" s="2954"/>
      <c r="V15" s="2965" t="e">
        <f t="shared" si="1"/>
        <v>#DIV/0!</v>
      </c>
      <c r="W15" s="2191"/>
      <c r="X15" s="2191"/>
      <c r="Y15" s="2191"/>
      <c r="Z15" s="2191"/>
      <c r="AA15" s="2191"/>
      <c r="AB15" s="2191"/>
      <c r="AC15" s="2192"/>
    </row>
    <row r="16" spans="1:39" ht="24">
      <c r="A16" s="340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5">
        <v>15</v>
      </c>
      <c r="S16" s="2954"/>
      <c r="T16" s="2965" t="e">
        <f t="shared" si="0"/>
        <v>#DIV/0!</v>
      </c>
      <c r="U16" s="2954"/>
      <c r="V16" s="2965" t="e">
        <f t="shared" si="1"/>
        <v>#DIV/0!</v>
      </c>
      <c r="W16" s="2194"/>
      <c r="X16" s="2194"/>
      <c r="Y16" s="2194"/>
      <c r="Z16" s="2194"/>
      <c r="AA16" s="2194"/>
      <c r="AB16" s="2194"/>
      <c r="AC16" s="2195"/>
    </row>
    <row r="17" spans="1:40" ht="13.5" thickBot="1">
      <c r="A17" s="340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800" t="s">
        <v>956</v>
      </c>
      <c r="C18" s="2801">
        <f>SUMIF(修正!C18:C39,E3,修正!E18:E39)</f>
        <v>0</v>
      </c>
      <c r="D18" s="2802"/>
      <c r="E18" s="2803"/>
      <c r="F18" s="2804"/>
      <c r="G18" s="2798"/>
      <c r="H18" s="2798"/>
      <c r="I18" s="2798"/>
      <c r="J18" s="2805"/>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ROUND(IF(H19="按公示增长率计算",SUMPRODUCT((地价!A3:A20=YEAR(G19)&amp;"-"&amp;ROUNDUP(MONTH(G19)/3,0))*(地价!X2:AB2=E2)*(地价!X3:AB20)),IF(H19="地价指数",M20/M19,(1+I19)^O19)),4)</f>
        <v>#DIV/0!</v>
      </c>
      <c r="D19" s="1475" t="s">
        <v>958</v>
      </c>
      <c r="E19" s="1058">
        <v>41640</v>
      </c>
      <c r="F19" s="1475" t="s">
        <v>959</v>
      </c>
      <c r="G19" s="1059">
        <f>'数据-取费表'!B2</f>
        <v>43077</v>
      </c>
      <c r="H19" s="1476" t="s">
        <v>2947</v>
      </c>
      <c r="I19" s="2812" t="str">
        <f>IF(H19="季度增幅（自定义）",SUMIF(N21:N24,E2,O21:O24),"")</f>
        <v/>
      </c>
      <c r="J19" s="1472"/>
      <c r="K19" s="1482"/>
      <c r="L19" s="3068" t="s">
        <v>2849</v>
      </c>
      <c r="M19" s="3069">
        <f>ROUND(SUMIF(地价!B2:F2,E2,地价!B20:F20),0)</f>
        <v>0</v>
      </c>
      <c r="N19" s="2814" t="s">
        <v>1677</v>
      </c>
      <c r="O19" s="2813">
        <f>ROUNDDOWN(DATEDIF(E19,G19,"M")/3,0)</f>
        <v>15</v>
      </c>
      <c r="P19" s="1597"/>
      <c r="R19" s="2953"/>
      <c r="S19" s="2953"/>
      <c r="T19" s="2953"/>
      <c r="U19" s="2953"/>
      <c r="V19" s="2953"/>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6" t="s">
        <v>1837</v>
      </c>
      <c r="B20" s="2807" t="s">
        <v>972</v>
      </c>
      <c r="C20" s="2808" t="e">
        <f>ROUND(POWER(1+G20,J20-I20)*(POWER(1+G20,I20)-1)/(POWER(1+G20,J20)-1),4)</f>
        <v>#DIV/0!</v>
      </c>
      <c r="D20" s="2809" t="s">
        <v>973</v>
      </c>
      <c r="E20" s="3124">
        <f ca="1">存贷款利率!I4/100</f>
        <v>4.3499999999999997E-2</v>
      </c>
      <c r="F20" s="2809" t="s">
        <v>974</v>
      </c>
      <c r="G20" s="2810">
        <f>SUMIF(M15:P15,E2,M17:P17)</f>
        <v>0</v>
      </c>
      <c r="H20" s="2809" t="s">
        <v>975</v>
      </c>
      <c r="I20" s="2799" t="e">
        <f>SUMIF('数据-取费表'!C6:C15,E2,'数据-取费表'!F6:F15)/COUNTIF('数据-取费表'!C6:C15,E2)</f>
        <v>#DIV/0!</v>
      </c>
      <c r="J20" s="2811">
        <f>IF(E2="住宅",70,IF(E2="商业",40,50))</f>
        <v>50</v>
      </c>
      <c r="K20" s="1482"/>
      <c r="L20" s="3070" t="s">
        <v>2850</v>
      </c>
      <c r="M20" s="3071">
        <f>ROUND(SUMPRODUCT((地价!A5:A20=YEAR(G19)&amp;"-"&amp;ROUNDUP(MONTH(G19)/3,0))*(地价!B2:F2=E2)*(地价!B5:F20)),0)</f>
        <v>0</v>
      </c>
      <c r="N20" s="2817" t="s">
        <v>2653</v>
      </c>
      <c r="O20" s="2815" t="s">
        <v>2652</v>
      </c>
      <c r="P20" s="2816" t="s">
        <v>2658</v>
      </c>
      <c r="R20" s="2953"/>
      <c r="S20" s="2953"/>
      <c r="T20" s="2953"/>
      <c r="U20" s="2953"/>
      <c r="V20" s="2953"/>
      <c r="W20" s="2197"/>
      <c r="X20" s="2197"/>
      <c r="Y20" s="2197"/>
      <c r="Z20" s="2197"/>
      <c r="AA20" s="2197"/>
      <c r="AB20" s="2197"/>
      <c r="AC20" s="2197"/>
      <c r="AD20" s="1473"/>
      <c r="AE20" s="1473"/>
      <c r="AF20" s="1473"/>
      <c r="AG20" s="1473"/>
      <c r="AH20" s="1473"/>
      <c r="AI20" s="1473"/>
    </row>
    <row r="21" spans="1:40" s="1422" customFormat="1" ht="14.25">
      <c r="A21" s="1643" t="s">
        <v>1838</v>
      </c>
      <c r="B21" s="1481" t="s">
        <v>2769</v>
      </c>
      <c r="C21" s="1158">
        <f>IF(B21="容积率修正",IF(G3&lt;=10,D22,J22),C23)</f>
        <v>0</v>
      </c>
      <c r="D21" s="1482"/>
      <c r="E21" s="1482"/>
      <c r="F21" s="1482"/>
      <c r="G21" s="1482"/>
      <c r="H21" s="1482"/>
      <c r="I21" s="1482"/>
      <c r="J21" s="1483"/>
      <c r="K21" s="1482"/>
      <c r="L21" s="1482"/>
      <c r="M21" s="1482"/>
      <c r="N21" s="1479" t="s">
        <v>976</v>
      </c>
      <c r="O21" s="1543"/>
      <c r="P21" s="2797">
        <f>SUMPRODUCT((地价!A3:A20=YEAR(G19)&amp;"-"&amp;ROUNDUP(MONTH(G19)/3,0))*(地价!AD2:AH2=N21)*(地价!AD3:AH20))</f>
        <v>1.6400000000000001E-2</v>
      </c>
      <c r="R21" s="2953"/>
      <c r="S21" s="2953"/>
      <c r="T21" s="2953"/>
      <c r="U21" s="2953"/>
      <c r="V21" s="2953"/>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2.7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2.8000000000000003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7">
        <f>SUMPRODUCT((地价!A3:A20=YEAR(G19)&amp;"-"&amp;ROUNDUP(MONTH(G19)/3,0))*(地价!AD2:AH2=N22)*(地价!AD3:AH20))</f>
        <v>1.6400000000000001E-2</v>
      </c>
      <c r="R22" s="2953"/>
      <c r="S22" s="2953"/>
      <c r="T22" s="2953"/>
      <c r="U22" s="2953"/>
      <c r="V22" s="2953"/>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7">
        <f>SUMPRODUCT((地价!A3:A20=YEAR(G19)&amp;"-"&amp;ROUNDUP(MONTH(G19)/3,0))*(地价!AD2:AH2=N23)*(地价!AD3:AH20))</f>
        <v>2.7799999999999998E-2</v>
      </c>
      <c r="R23" s="2953"/>
      <c r="S23" s="2953"/>
      <c r="T23" s="2953"/>
      <c r="U23" s="2953"/>
      <c r="V23" s="2953"/>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SUMPRODUCT((地价!A3:A20=YEAR(G19)&amp;"-"&amp;ROUNDUP(MONTH(G19)/3,0))*(地价!AD2:AH2=N24)*(地价!AD3:AH20))</f>
        <v>1.3899999999999999E-2</v>
      </c>
      <c r="R24" s="2953"/>
      <c r="S24" s="2953"/>
      <c r="T24" s="2953"/>
      <c r="U24" s="2953"/>
      <c r="V24" s="2953"/>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5" t="s">
        <v>2656</v>
      </c>
      <c r="O25" s="2197"/>
      <c r="P25" s="1542">
        <f>SUMPRODUCT((地价!A3:A20=YEAR(G19)&amp;"-"&amp;ROUNDUP(MONTH(G19)/3,0))*(地价!AD2:AH2=N25)*(地价!AD3:AH20))</f>
        <v>2.4899999999999999E-2</v>
      </c>
      <c r="R25" s="2953"/>
      <c r="S25" s="2953"/>
      <c r="T25" s="2953"/>
      <c r="U25" s="2953"/>
      <c r="V25" s="2953"/>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3"/>
      <c r="S26" s="2953"/>
      <c r="T26" s="2953"/>
      <c r="U26" s="2953"/>
      <c r="V26" s="2953"/>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3"/>
      <c r="S27" s="2953"/>
      <c r="T27" s="2953"/>
      <c r="U27" s="2953"/>
      <c r="V27" s="2953"/>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3"/>
      <c r="S28" s="2953"/>
      <c r="T28" s="2953"/>
      <c r="U28" s="2953"/>
      <c r="V28" s="2953"/>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3"/>
      <c r="S29" s="2953"/>
      <c r="T29" s="2953"/>
      <c r="U29" s="2953"/>
      <c r="V29" s="2953"/>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12" t="s">
        <v>2974</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13"/>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13"/>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14"/>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2253</v>
      </c>
      <c r="G46" s="2457" t="s">
        <v>1015</v>
      </c>
      <c r="H46" s="2440" t="s">
        <v>2422</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6" t="s">
        <v>2949</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5" t="s">
        <v>2948</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2254</v>
      </c>
      <c r="G57" s="2457" t="s">
        <v>1015</v>
      </c>
      <c r="H57" s="2440" t="s">
        <v>2422</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6" t="s">
        <v>2950</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5" t="s">
        <v>2948</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2255</v>
      </c>
      <c r="G68" s="2457" t="s">
        <v>1015</v>
      </c>
      <c r="H68" s="2440" t="s">
        <v>2422</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5" t="s">
        <v>2948</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2256</v>
      </c>
      <c r="G79" s="2457" t="s">
        <v>1015</v>
      </c>
      <c r="H79" s="2440" t="s">
        <v>2422</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5" t="s">
        <v>2948</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10" t="s">
        <v>1634</v>
      </c>
      <c r="B90" s="3410"/>
      <c r="C90" s="3410"/>
      <c r="D90" s="3410"/>
      <c r="E90" s="3410"/>
      <c r="F90" s="3410"/>
      <c r="G90" s="3410"/>
      <c r="H90" s="3410"/>
      <c r="I90" s="3410"/>
      <c r="J90" s="3410"/>
      <c r="K90" s="2476"/>
      <c r="L90" s="2476"/>
      <c r="M90" s="2476"/>
      <c r="N90" s="2476"/>
    </row>
    <row r="91" spans="1:40">
      <c r="A91" s="3411" t="s">
        <v>1444</v>
      </c>
      <c r="B91" s="3411" t="s">
        <v>1635</v>
      </c>
      <c r="C91" s="1140" t="s">
        <v>1636</v>
      </c>
      <c r="D91" s="1141"/>
      <c r="E91" s="1141"/>
      <c r="F91" s="1141"/>
      <c r="G91" s="1141"/>
      <c r="H91" s="1141"/>
      <c r="I91" s="1141"/>
      <c r="J91" s="1142"/>
      <c r="K91" s="1134"/>
      <c r="L91" s="1134"/>
      <c r="M91" s="1134"/>
      <c r="N91" s="1134"/>
    </row>
    <row r="92" spans="1:40">
      <c r="A92" s="3411"/>
      <c r="B92" s="3411"/>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18" t="s">
        <v>2772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8" t="s">
        <v>1638</v>
      </c>
      <c r="B101" s="1147" t="s">
        <v>906</v>
      </c>
      <c r="C101" s="1148">
        <f>$G$3</f>
        <v>2.75</v>
      </c>
      <c r="D101" s="1148">
        <f t="shared" ref="D101:N101" si="31">$G$3</f>
        <v>2.75</v>
      </c>
      <c r="E101" s="1148">
        <f t="shared" si="31"/>
        <v>2.75</v>
      </c>
      <c r="F101" s="1148">
        <f t="shared" si="31"/>
        <v>2.75</v>
      </c>
      <c r="G101" s="1148">
        <f t="shared" si="31"/>
        <v>2.75</v>
      </c>
      <c r="H101" s="1148">
        <f t="shared" si="31"/>
        <v>2.75</v>
      </c>
      <c r="I101" s="1148">
        <f t="shared" si="31"/>
        <v>2.75</v>
      </c>
      <c r="J101" s="1148">
        <f t="shared" si="31"/>
        <v>2.75</v>
      </c>
      <c r="K101" s="1148">
        <f t="shared" si="31"/>
        <v>2.75</v>
      </c>
      <c r="L101" s="1148">
        <f t="shared" si="31"/>
        <v>2.75</v>
      </c>
      <c r="M101" s="1148">
        <f t="shared" si="31"/>
        <v>2.75</v>
      </c>
      <c r="N101" s="1148">
        <f t="shared" si="31"/>
        <v>2.75</v>
      </c>
    </row>
    <row r="102" spans="1:14">
      <c r="A102" s="3419"/>
      <c r="B102" s="1143">
        <v>1</v>
      </c>
      <c r="C102" s="1144">
        <f>1.9362/C101</f>
        <v>0.70407272727272729</v>
      </c>
      <c r="D102" s="1144">
        <f>1.9362/D101</f>
        <v>0.70407272727272729</v>
      </c>
      <c r="E102" s="1144">
        <f>1.8629/E101</f>
        <v>0.67741818181818181</v>
      </c>
      <c r="F102" s="1144">
        <f>1.8629/F101</f>
        <v>0.67741818181818181</v>
      </c>
      <c r="G102" s="1144">
        <f>1.8629/G101</f>
        <v>0.67741818181818181</v>
      </c>
      <c r="H102" s="1144">
        <f>1.8629/H101</f>
        <v>0.67741818181818181</v>
      </c>
      <c r="I102" s="1144">
        <f>1.8629/I101</f>
        <v>0.67741818181818181</v>
      </c>
      <c r="J102" s="1144">
        <f>1.942/J101</f>
        <v>0.70618181818181813</v>
      </c>
      <c r="K102" s="1144">
        <f>1.942/K101</f>
        <v>0.70618181818181813</v>
      </c>
      <c r="L102" s="1144">
        <f>1.942/L101</f>
        <v>0.70618181818181813</v>
      </c>
      <c r="M102" s="1144">
        <f>1.942/M101</f>
        <v>0.70618181818181813</v>
      </c>
      <c r="N102" s="1144">
        <f>1.942/N101</f>
        <v>0.70618181818181813</v>
      </c>
    </row>
    <row r="103" spans="1:14">
      <c r="A103" s="3419"/>
      <c r="B103" s="1143">
        <v>2</v>
      </c>
      <c r="C103" s="1144">
        <f>1.4198/C101</f>
        <v>0.51629090909090902</v>
      </c>
      <c r="D103" s="1144">
        <f>1.4198/D101</f>
        <v>0.51629090909090902</v>
      </c>
      <c r="E103" s="1144">
        <f>1.3372/E101</f>
        <v>0.48625454545454544</v>
      </c>
      <c r="F103" s="1144">
        <f>1.3372/F101</f>
        <v>0.48625454545454544</v>
      </c>
      <c r="G103" s="1144">
        <f>1.3372/G101</f>
        <v>0.48625454545454544</v>
      </c>
      <c r="H103" s="1144">
        <f>1.3372/H101</f>
        <v>0.48625454545454544</v>
      </c>
      <c r="I103" s="1144">
        <f>1.3372/I101</f>
        <v>0.48625454545454544</v>
      </c>
      <c r="J103" s="1144">
        <f>1.2799/J101</f>
        <v>0.46541818181818184</v>
      </c>
      <c r="K103" s="1144">
        <f>1.2799/K101</f>
        <v>0.46541818181818184</v>
      </c>
      <c r="L103" s="1144">
        <f>1.2799/L101</f>
        <v>0.46541818181818184</v>
      </c>
      <c r="M103" s="1144">
        <f>1.2799/M101</f>
        <v>0.46541818181818184</v>
      </c>
      <c r="N103" s="1144">
        <f>1.2799/N101</f>
        <v>0.46541818181818184</v>
      </c>
    </row>
    <row r="104" spans="1:14">
      <c r="A104" s="3419"/>
      <c r="B104" s="1143">
        <v>3</v>
      </c>
      <c r="C104" s="1144">
        <f>1.1594/C101</f>
        <v>0.42159999999999997</v>
      </c>
      <c r="D104" s="1144">
        <f>1.1594/D101</f>
        <v>0.42159999999999997</v>
      </c>
      <c r="E104" s="1144">
        <f>1.0788/E101</f>
        <v>0.39229090909090908</v>
      </c>
      <c r="F104" s="1144">
        <f>1.0788/F101</f>
        <v>0.39229090909090908</v>
      </c>
      <c r="G104" s="1144">
        <f>1.0788/G101</f>
        <v>0.39229090909090908</v>
      </c>
      <c r="H104" s="1144">
        <f>1.0788/H101</f>
        <v>0.39229090909090908</v>
      </c>
      <c r="I104" s="1144">
        <f>1.0788/I101</f>
        <v>0.39229090909090908</v>
      </c>
      <c r="J104" s="1144">
        <f>1.0072/J101</f>
        <v>0.3662545454545455</v>
      </c>
      <c r="K104" s="1144">
        <f>1.0072/K101</f>
        <v>0.3662545454545455</v>
      </c>
      <c r="L104" s="1144">
        <f>1.0072/L101</f>
        <v>0.3662545454545455</v>
      </c>
      <c r="M104" s="1144">
        <f>1.0072/M101</f>
        <v>0.3662545454545455</v>
      </c>
      <c r="N104" s="1144">
        <f>1.0072/N101</f>
        <v>0.3662545454545455</v>
      </c>
    </row>
    <row r="105" spans="1:14">
      <c r="A105" s="3419"/>
      <c r="B105" s="1143">
        <v>4</v>
      </c>
      <c r="C105" s="1144">
        <f>0.9622/C101</f>
        <v>0.34989090909090909</v>
      </c>
      <c r="D105" s="1144">
        <f>0.9622/D101</f>
        <v>0.34989090909090909</v>
      </c>
      <c r="E105" s="1144">
        <f>0.8656/E101</f>
        <v>0.31476363636363636</v>
      </c>
      <c r="F105" s="1144">
        <f>0.8656/F101</f>
        <v>0.31476363636363636</v>
      </c>
      <c r="G105" s="1144">
        <f>0.8656/G101</f>
        <v>0.31476363636363636</v>
      </c>
      <c r="H105" s="1144">
        <f>0.8656/H101</f>
        <v>0.31476363636363636</v>
      </c>
      <c r="I105" s="1144">
        <f>0.8656/I101</f>
        <v>0.31476363636363636</v>
      </c>
      <c r="J105" s="1144">
        <f>0.7525/J101</f>
        <v>0.27363636363636362</v>
      </c>
      <c r="K105" s="1144">
        <f>0.7525/K101</f>
        <v>0.27363636363636362</v>
      </c>
      <c r="L105" s="1144">
        <f>0.7525/L101</f>
        <v>0.27363636363636362</v>
      </c>
      <c r="M105" s="1144">
        <f>0.7525/M101</f>
        <v>0.27363636363636362</v>
      </c>
      <c r="N105" s="1144">
        <f>0.7525/N101</f>
        <v>0.27363636363636362</v>
      </c>
    </row>
    <row r="106" spans="1:14">
      <c r="A106" s="3419"/>
      <c r="B106" s="1143">
        <v>5</v>
      </c>
      <c r="C106" s="1144">
        <f>0.8417/C101</f>
        <v>0.30607272727272727</v>
      </c>
      <c r="D106" s="1144">
        <f>0.8417/D101</f>
        <v>0.30607272727272727</v>
      </c>
      <c r="E106" s="1144">
        <f>0.7371/E101</f>
        <v>0.26803636363636363</v>
      </c>
      <c r="F106" s="1144">
        <f>0.7371/F101</f>
        <v>0.26803636363636363</v>
      </c>
      <c r="G106" s="1144">
        <f>0.7371/G101</f>
        <v>0.26803636363636363</v>
      </c>
      <c r="H106" s="1144">
        <f>0.7371/H101</f>
        <v>0.26803636363636363</v>
      </c>
      <c r="I106" s="1144">
        <f>0.7371/I101</f>
        <v>0.26803636363636363</v>
      </c>
      <c r="J106" s="1144">
        <f>0.5659/J101</f>
        <v>0.20578181818181818</v>
      </c>
      <c r="K106" s="1144">
        <f>0.5659/K101</f>
        <v>0.20578181818181818</v>
      </c>
      <c r="L106" s="1144">
        <f>0.5659/L101</f>
        <v>0.20578181818181818</v>
      </c>
      <c r="M106" s="1144">
        <f>0.5659/M101</f>
        <v>0.20578181818181818</v>
      </c>
      <c r="N106" s="1144">
        <f>0.5659/N101</f>
        <v>0.20578181818181818</v>
      </c>
    </row>
    <row r="107" spans="1:14">
      <c r="A107" s="3419"/>
      <c r="B107" s="1143">
        <v>6</v>
      </c>
      <c r="C107" s="1144">
        <f>0.7608/C101</f>
        <v>0.27665454545454549</v>
      </c>
      <c r="D107" s="1144">
        <f>0.7608/D101</f>
        <v>0.27665454545454549</v>
      </c>
      <c r="E107" s="1144">
        <f>0.6482/E101</f>
        <v>0.2357090909090909</v>
      </c>
      <c r="F107" s="1144">
        <f>0.6482/F101</f>
        <v>0.2357090909090909</v>
      </c>
      <c r="G107" s="1144">
        <f>0.6482/G101</f>
        <v>0.2357090909090909</v>
      </c>
      <c r="H107" s="1144">
        <f>0.6482/H101</f>
        <v>0.2357090909090909</v>
      </c>
      <c r="I107" s="1144">
        <f>0.6482/I101</f>
        <v>0.2357090909090909</v>
      </c>
      <c r="J107" s="1144">
        <f>0.4525/J101</f>
        <v>0.16454545454545455</v>
      </c>
      <c r="K107" s="1144">
        <f>0.4525/K101</f>
        <v>0.16454545454545455</v>
      </c>
      <c r="L107" s="1144">
        <f>0.4525/L101</f>
        <v>0.16454545454545455</v>
      </c>
      <c r="M107" s="1144">
        <f>0.4525/M101</f>
        <v>0.16454545454545455</v>
      </c>
      <c r="N107" s="1144">
        <f>0.4525/N101</f>
        <v>0.16454545454545455</v>
      </c>
    </row>
    <row r="108" spans="1:14">
      <c r="A108" s="3419"/>
      <c r="B108" s="342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0"/>
      <c r="B109" s="3422"/>
      <c r="C109" s="1146">
        <f>(-0.163*(C108^2)-0.59*C108+7617)*(10^(-4))/C101</f>
        <v>0.27643083636363636</v>
      </c>
      <c r="D109" s="1146">
        <f>(-0.163*(D108^2)-0.59*D108+7617)*(10^(-4))/D101</f>
        <v>0.27643083636363636</v>
      </c>
      <c r="E109" s="1146">
        <f>(-0.161*(E108^2)-7.509*E108+6533)*(10^(-4))/E101</f>
        <v>0.23500450909090909</v>
      </c>
      <c r="F109" s="1146">
        <f>(-0.161*(F108^2)-7.509*F108+6533)*(10^(-4))/F101</f>
        <v>0.23500450909090909</v>
      </c>
      <c r="G109" s="1146">
        <f>(-0.161*(G108^2)-7.509*G108+6533)*(10^(-4))/G101</f>
        <v>0.23500450909090909</v>
      </c>
      <c r="H109" s="1146">
        <f>(-0.161*(H108^2)-7.509*H108+6533)*(10^(-4))/H101</f>
        <v>0.23500450909090909</v>
      </c>
      <c r="I109" s="1146">
        <f>(-0.161*(I108^2)-7.509*I108+6533)*(10^(-4))/I101</f>
        <v>0.23500450909090909</v>
      </c>
      <c r="J109" s="1146">
        <f>(-0.214*(J108^2)-21.991*J108+4665)*(10^(-4))/J101</f>
        <v>0.16274094545454545</v>
      </c>
      <c r="K109" s="1146">
        <f>(-0.214*(K108^2)-21.991*K108+4665)*(10^(-4))/K101</f>
        <v>0.16274094545454545</v>
      </c>
      <c r="L109" s="1146">
        <f>(-0.214*(L108^2)-21.991*L108+4665)*(10^(-4))/L101</f>
        <v>0.16274094545454545</v>
      </c>
      <c r="M109" s="1146">
        <f>(-0.214*(M108^2)-21.991*M108+4665)*(10^(-4))/M101</f>
        <v>0.16274094545454545</v>
      </c>
      <c r="N109" s="1146">
        <f>(-0.214*(N108^2)-21.991*N108+4665)*(10^(-4))/N101</f>
        <v>0.16274094545454545</v>
      </c>
    </row>
    <row r="110" spans="1:14">
      <c r="A110" s="3405" t="s">
        <v>1640</v>
      </c>
      <c r="B110" s="3405"/>
      <c r="C110" s="3405"/>
      <c r="D110" s="3405"/>
      <c r="E110" s="3405"/>
      <c r="F110" s="3405"/>
      <c r="G110" s="3405"/>
      <c r="H110" s="3405"/>
      <c r="I110" s="3405"/>
      <c r="J110" s="3405"/>
      <c r="K110" s="2474"/>
      <c r="L110" s="2474"/>
      <c r="M110" s="2474"/>
      <c r="N110" s="2474"/>
    </row>
    <row r="112" spans="1:14" ht="12.75" thickBot="1"/>
    <row r="113" spans="1:13" ht="25.5" thickBot="1">
      <c r="A113" s="1016" t="s">
        <v>896</v>
      </c>
      <c r="B113" s="2477">
        <f>G3</f>
        <v>2.75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0.90769999999999995</v>
      </c>
      <c r="C115" s="1030">
        <f>B115</f>
        <v>0.90769999999999995</v>
      </c>
      <c r="D115" s="1030">
        <f>ROUND(0.8331-0.0109*B113,4)</f>
        <v>0.80310000000000004</v>
      </c>
      <c r="E115" s="1030">
        <f>D115</f>
        <v>0.80310000000000004</v>
      </c>
      <c r="F115" s="1030">
        <f>E115</f>
        <v>0.80310000000000004</v>
      </c>
      <c r="G115" s="1030">
        <f>F115</f>
        <v>0.80310000000000004</v>
      </c>
      <c r="H115" s="1030">
        <f>G115</f>
        <v>0.80310000000000004</v>
      </c>
      <c r="I115" s="1030">
        <f>ROUND(0.689-0.0155*B113,4)</f>
        <v>0.64639999999999997</v>
      </c>
      <c r="J115" s="1030">
        <f t="shared" ref="J115:M118" si="33">I115</f>
        <v>0.64639999999999997</v>
      </c>
      <c r="K115" s="1030">
        <f t="shared" si="33"/>
        <v>0.64639999999999997</v>
      </c>
      <c r="L115" s="1030">
        <f t="shared" si="33"/>
        <v>0.64639999999999997</v>
      </c>
      <c r="M115" s="1031">
        <f t="shared" si="33"/>
        <v>0.64639999999999997</v>
      </c>
    </row>
    <row r="116" spans="1:13" ht="12.75">
      <c r="A116" s="1029" t="s">
        <v>901</v>
      </c>
      <c r="B116" s="1030">
        <f>ROUND(0.949-0.012*B113,4)</f>
        <v>0.91600000000000004</v>
      </c>
      <c r="C116" s="1030">
        <f>B116</f>
        <v>0.91600000000000004</v>
      </c>
      <c r="D116" s="1030">
        <f>ROUND(0.8567-0.013*B113,4)</f>
        <v>0.82099999999999995</v>
      </c>
      <c r="E116" s="1030">
        <f t="shared" ref="E116:H117" si="34">D116</f>
        <v>0.82099999999999995</v>
      </c>
      <c r="F116" s="1030">
        <f t="shared" si="34"/>
        <v>0.82099999999999995</v>
      </c>
      <c r="G116" s="1030">
        <f t="shared" si="34"/>
        <v>0.82099999999999995</v>
      </c>
      <c r="H116" s="1030">
        <f t="shared" si="34"/>
        <v>0.82099999999999995</v>
      </c>
      <c r="I116" s="1030">
        <f>ROUND(0.7694-0.014*B113,4)</f>
        <v>0.73089999999999999</v>
      </c>
      <c r="J116" s="1030">
        <f t="shared" si="33"/>
        <v>0.73089999999999999</v>
      </c>
      <c r="K116" s="1030">
        <f t="shared" si="33"/>
        <v>0.73089999999999999</v>
      </c>
      <c r="L116" s="1030">
        <f t="shared" si="33"/>
        <v>0.73089999999999999</v>
      </c>
      <c r="M116" s="1031">
        <f t="shared" si="33"/>
        <v>0.73089999999999999</v>
      </c>
    </row>
    <row r="117" spans="1:13" ht="12.75">
      <c r="A117" s="1032" t="s">
        <v>902</v>
      </c>
      <c r="B117" s="1030">
        <f>ROUND(0.8808-0.006*B113,4)</f>
        <v>0.86429999999999996</v>
      </c>
      <c r="C117" s="1030">
        <f>B117</f>
        <v>0.86429999999999996</v>
      </c>
      <c r="D117" s="1030">
        <f>ROUND(0.8748-0.008*B113,4)</f>
        <v>0.8528</v>
      </c>
      <c r="E117" s="1030">
        <f t="shared" si="34"/>
        <v>0.8528</v>
      </c>
      <c r="F117" s="1030">
        <f t="shared" si="34"/>
        <v>0.8528</v>
      </c>
      <c r="G117" s="1030">
        <f t="shared" si="34"/>
        <v>0.8528</v>
      </c>
      <c r="H117" s="1030">
        <f t="shared" si="34"/>
        <v>0.8528</v>
      </c>
      <c r="I117" s="1030">
        <f>ROUND(0.7412-0.0095*B113,4)</f>
        <v>0.71509999999999996</v>
      </c>
      <c r="J117" s="1030">
        <f t="shared" si="33"/>
        <v>0.71509999999999996</v>
      </c>
      <c r="K117" s="1030">
        <f t="shared" si="33"/>
        <v>0.71509999999999996</v>
      </c>
      <c r="L117" s="1030">
        <f t="shared" si="33"/>
        <v>0.71509999999999996</v>
      </c>
      <c r="M117" s="1031">
        <f t="shared" si="33"/>
        <v>0.71509999999999996</v>
      </c>
    </row>
    <row r="118" spans="1:13" ht="13.5" thickBot="1">
      <c r="A118" s="1033" t="s">
        <v>903</v>
      </c>
      <c r="B118" s="1034">
        <f>ROUND(0.7275-0.01*B113,4)</f>
        <v>0.7</v>
      </c>
      <c r="C118" s="1034">
        <f>B118</f>
        <v>0.7</v>
      </c>
      <c r="D118" s="1034">
        <f>ROUND(0.7043-0.012*B113,4)</f>
        <v>0.67130000000000001</v>
      </c>
      <c r="E118" s="1034">
        <f>D118</f>
        <v>0.67130000000000001</v>
      </c>
      <c r="F118" s="1034">
        <f>E118</f>
        <v>0.67130000000000001</v>
      </c>
      <c r="G118" s="1034">
        <f>ROUND(0.6299-0.0122*B113,4)</f>
        <v>0.59640000000000004</v>
      </c>
      <c r="H118" s="1034">
        <f>G118</f>
        <v>0.59640000000000004</v>
      </c>
      <c r="I118" s="1034">
        <f>ROUND(0.5667-0.0136*B113,4)</f>
        <v>0.52929999999999999</v>
      </c>
      <c r="J118" s="1034">
        <f t="shared" si="33"/>
        <v>0.52929999999999999</v>
      </c>
      <c r="K118" s="1034">
        <f t="shared" si="33"/>
        <v>0.52929999999999999</v>
      </c>
      <c r="L118" s="1034">
        <f t="shared" si="33"/>
        <v>0.52929999999999999</v>
      </c>
      <c r="M118" s="1035">
        <f t="shared" si="33"/>
        <v>0.52929999999999999</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1" t="s">
        <v>1008</v>
      </c>
      <c r="B18" s="1154" t="s">
        <v>1447</v>
      </c>
      <c r="C18" s="1131" t="s">
        <v>1448</v>
      </c>
      <c r="D18" s="1132"/>
      <c r="E18" s="1154">
        <v>1</v>
      </c>
      <c r="F18" s="1133" t="s">
        <v>1449</v>
      </c>
      <c r="G18" s="1134"/>
      <c r="H18" s="1105"/>
      <c r="I18" s="1105"/>
    </row>
    <row r="19" spans="1:9" s="1600" customFormat="1" ht="19.5" customHeight="1">
      <c r="A19" s="3411"/>
      <c r="B19" s="3411" t="s">
        <v>1450</v>
      </c>
      <c r="C19" s="1131" t="s">
        <v>1451</v>
      </c>
      <c r="D19" s="1132"/>
      <c r="E19" s="1154">
        <v>0.9</v>
      </c>
      <c r="F19" s="1133" t="s">
        <v>1452</v>
      </c>
      <c r="G19" s="1134"/>
      <c r="H19" s="1105"/>
      <c r="I19" s="1105"/>
    </row>
    <row r="20" spans="1:9" s="1600" customFormat="1" ht="19.5" customHeight="1">
      <c r="A20" s="3411"/>
      <c r="B20" s="3411"/>
      <c r="C20" s="1131" t="s">
        <v>1453</v>
      </c>
      <c r="D20" s="1132"/>
      <c r="E20" s="1154">
        <v>1.1000000000000001</v>
      </c>
      <c r="F20" s="1133" t="s">
        <v>1454</v>
      </c>
      <c r="G20" s="1134"/>
      <c r="H20" s="1105"/>
      <c r="I20" s="1105"/>
    </row>
    <row r="21" spans="1:9" s="1600" customFormat="1" ht="19.5" customHeight="1">
      <c r="A21" s="3411"/>
      <c r="B21" s="3411"/>
      <c r="C21" s="1131" t="s">
        <v>1455</v>
      </c>
      <c r="D21" s="1132"/>
      <c r="E21" s="1154">
        <v>0.8</v>
      </c>
      <c r="F21" s="1133" t="s">
        <v>1456</v>
      </c>
      <c r="G21" s="1134"/>
      <c r="H21" s="1105"/>
      <c r="I21" s="1105"/>
    </row>
    <row r="22" spans="1:9" s="1600" customFormat="1" ht="19.5" customHeight="1">
      <c r="A22" s="3411"/>
      <c r="B22" s="3411"/>
      <c r="C22" s="1131" t="s">
        <v>1457</v>
      </c>
      <c r="D22" s="1132"/>
      <c r="E22" s="1154">
        <v>0.5</v>
      </c>
      <c r="F22" s="1133"/>
      <c r="G22" s="1134"/>
      <c r="H22" s="1105"/>
      <c r="I22" s="1105"/>
    </row>
    <row r="23" spans="1:9" s="1600" customFormat="1" ht="19.5" customHeight="1">
      <c r="A23" s="3411" t="s">
        <v>1030</v>
      </c>
      <c r="B23" s="1154" t="s">
        <v>1447</v>
      </c>
      <c r="C23" s="1131" t="s">
        <v>1458</v>
      </c>
      <c r="D23" s="1132"/>
      <c r="E23" s="1154">
        <v>1</v>
      </c>
      <c r="F23" s="1133" t="s">
        <v>1459</v>
      </c>
      <c r="G23" s="1134"/>
      <c r="H23" s="1105"/>
      <c r="I23" s="1105"/>
    </row>
    <row r="24" spans="1:9" s="1600" customFormat="1" ht="19.5" customHeight="1">
      <c r="A24" s="3411"/>
      <c r="B24" s="3411" t="s">
        <v>1450</v>
      </c>
      <c r="C24" s="1131" t="s">
        <v>1460</v>
      </c>
      <c r="D24" s="1132"/>
      <c r="E24" s="1154">
        <v>0.5</v>
      </c>
      <c r="F24" s="1133"/>
      <c r="G24" s="1134"/>
      <c r="H24" s="1105"/>
      <c r="I24" s="1105"/>
    </row>
    <row r="25" spans="1:9" s="1600" customFormat="1" ht="19.5" customHeight="1">
      <c r="A25" s="3411"/>
      <c r="B25" s="3411"/>
      <c r="C25" s="1131" t="s">
        <v>1461</v>
      </c>
      <c r="D25" s="1132"/>
      <c r="E25" s="1154">
        <v>1.1000000000000001</v>
      </c>
      <c r="F25" s="1133"/>
      <c r="G25" s="1134"/>
      <c r="H25" s="1105"/>
      <c r="I25" s="1105"/>
    </row>
    <row r="26" spans="1:9" s="1600" customFormat="1" ht="19.5" customHeight="1">
      <c r="A26" s="3411"/>
      <c r="B26" s="3411"/>
      <c r="C26" s="1131" t="s">
        <v>1462</v>
      </c>
      <c r="D26" s="1132"/>
      <c r="E26" s="1154">
        <v>1.1000000000000001</v>
      </c>
      <c r="F26" s="1133"/>
      <c r="G26" s="1134"/>
      <c r="H26" s="1105"/>
      <c r="I26" s="1105"/>
    </row>
    <row r="27" spans="1:9" s="1600" customFormat="1" ht="19.5" customHeight="1">
      <c r="A27" s="3411"/>
      <c r="B27" s="3411"/>
      <c r="C27" s="1131" t="s">
        <v>1463</v>
      </c>
      <c r="D27" s="1132"/>
      <c r="E27" s="1154">
        <v>0.9</v>
      </c>
      <c r="F27" s="1133" t="s">
        <v>1464</v>
      </c>
      <c r="G27" s="1134"/>
      <c r="H27" s="1105"/>
      <c r="I27" s="1105"/>
    </row>
    <row r="28" spans="1:9" s="1600" customFormat="1" ht="19.5" customHeight="1">
      <c r="A28" s="3411"/>
      <c r="B28" s="3411"/>
      <c r="C28" s="1131" t="s">
        <v>1465</v>
      </c>
      <c r="D28" s="1132"/>
      <c r="E28" s="1154">
        <v>0.9</v>
      </c>
      <c r="F28" s="1133" t="s">
        <v>1466</v>
      </c>
      <c r="G28" s="1134"/>
      <c r="H28" s="1105"/>
      <c r="I28" s="1105"/>
    </row>
    <row r="29" spans="1:9" s="1600" customFormat="1" ht="19.5" customHeight="1">
      <c r="A29" s="3411"/>
      <c r="B29" s="3411"/>
      <c r="C29" s="1131" t="s">
        <v>1467</v>
      </c>
      <c r="D29" s="1132"/>
      <c r="E29" s="1154">
        <v>0.9</v>
      </c>
      <c r="F29" s="1133" t="s">
        <v>1468</v>
      </c>
      <c r="G29" s="1134"/>
      <c r="H29" s="1105"/>
      <c r="I29" s="1105"/>
    </row>
    <row r="30" spans="1:9" s="1600" customFormat="1" ht="19.5" customHeight="1">
      <c r="A30" s="3411"/>
      <c r="B30" s="3411"/>
      <c r="C30" s="1131" t="s">
        <v>1469</v>
      </c>
      <c r="D30" s="1132"/>
      <c r="E30" s="1154">
        <v>0.9</v>
      </c>
      <c r="F30" s="1133" t="s">
        <v>1470</v>
      </c>
      <c r="G30" s="1134"/>
      <c r="H30" s="1105"/>
      <c r="I30" s="1105"/>
    </row>
    <row r="31" spans="1:9" s="1600" customFormat="1" ht="19.5" customHeight="1">
      <c r="A31" s="3411"/>
      <c r="B31" s="3411"/>
      <c r="C31" s="1131" t="s">
        <v>1471</v>
      </c>
      <c r="D31" s="1132"/>
      <c r="E31" s="1154">
        <v>0.8</v>
      </c>
      <c r="F31" s="1133" t="s">
        <v>1472</v>
      </c>
      <c r="G31" s="1134"/>
      <c r="H31" s="1105"/>
      <c r="I31" s="1105"/>
    </row>
    <row r="32" spans="1:9" s="1600" customFormat="1" ht="19.5" customHeight="1">
      <c r="A32" s="3411"/>
      <c r="B32" s="3411"/>
      <c r="C32" s="1131" t="s">
        <v>1473</v>
      </c>
      <c r="D32" s="1132"/>
      <c r="E32" s="1154">
        <v>0.8</v>
      </c>
      <c r="F32" s="1133" t="s">
        <v>1474</v>
      </c>
      <c r="G32" s="1134"/>
      <c r="H32" s="1105"/>
      <c r="I32" s="1105"/>
    </row>
    <row r="33" spans="1:9" s="1600" customFormat="1" ht="19.5" customHeight="1">
      <c r="A33" s="3411" t="s">
        <v>1475</v>
      </c>
      <c r="B33" s="1154" t="s">
        <v>1447</v>
      </c>
      <c r="C33" s="1131" t="s">
        <v>1476</v>
      </c>
      <c r="D33" s="1132"/>
      <c r="E33" s="1154">
        <v>1</v>
      </c>
      <c r="F33" s="1133" t="s">
        <v>1477</v>
      </c>
      <c r="G33" s="1134"/>
      <c r="H33" s="1105"/>
      <c r="I33" s="1105"/>
    </row>
    <row r="34" spans="1:9" s="1600" customFormat="1" ht="19.5" customHeight="1">
      <c r="A34" s="3411"/>
      <c r="B34" s="1154" t="s">
        <v>1450</v>
      </c>
      <c r="C34" s="1131" t="s">
        <v>1478</v>
      </c>
      <c r="D34" s="1132"/>
      <c r="E34" s="1154">
        <v>1.5</v>
      </c>
      <c r="F34" s="1133" t="s">
        <v>1479</v>
      </c>
      <c r="G34" s="1134"/>
      <c r="H34" s="1105"/>
      <c r="I34" s="1105"/>
    </row>
    <row r="35" spans="1:9" s="1600" customFormat="1" ht="19.5" customHeight="1">
      <c r="A35" s="3411" t="s">
        <v>1433</v>
      </c>
      <c r="B35" s="1154" t="s">
        <v>1447</v>
      </c>
      <c r="C35" s="1131" t="s">
        <v>1480</v>
      </c>
      <c r="D35" s="1132"/>
      <c r="E35" s="1154">
        <v>1</v>
      </c>
      <c r="F35" s="1133" t="s">
        <v>1481</v>
      </c>
      <c r="G35" s="1134"/>
      <c r="H35" s="1105"/>
      <c r="I35" s="1105"/>
    </row>
    <row r="36" spans="1:9" s="1600" customFormat="1" ht="19.5" customHeight="1">
      <c r="A36" s="3411"/>
      <c r="B36" s="3411" t="s">
        <v>1450</v>
      </c>
      <c r="C36" s="1131" t="s">
        <v>1482</v>
      </c>
      <c r="D36" s="1132"/>
      <c r="E36" s="1154">
        <v>1</v>
      </c>
      <c r="F36" s="1133" t="s">
        <v>1483</v>
      </c>
      <c r="G36" s="1134"/>
      <c r="H36" s="1105"/>
      <c r="I36" s="1105"/>
    </row>
    <row r="37" spans="1:9" s="1600" customFormat="1" ht="19.5" customHeight="1">
      <c r="A37" s="3411"/>
      <c r="B37" s="3411"/>
      <c r="C37" s="1131" t="s">
        <v>1484</v>
      </c>
      <c r="D37" s="1132"/>
      <c r="E37" s="1154">
        <v>1.5</v>
      </c>
      <c r="F37" s="1133" t="s">
        <v>1485</v>
      </c>
      <c r="G37" s="1134"/>
      <c r="H37" s="1105"/>
      <c r="I37" s="1105"/>
    </row>
    <row r="38" spans="1:9" s="1600" customFormat="1" ht="19.5" customHeight="1">
      <c r="A38" s="3411"/>
      <c r="B38" s="3411"/>
      <c r="C38" s="1131" t="s">
        <v>1486</v>
      </c>
      <c r="D38" s="1132"/>
      <c r="E38" s="1154">
        <v>1</v>
      </c>
      <c r="F38" s="1133" t="s">
        <v>1487</v>
      </c>
      <c r="G38" s="1134"/>
      <c r="H38" s="1105"/>
      <c r="I38" s="1105"/>
    </row>
    <row r="39" spans="1:9" s="1600" customFormat="1" ht="19.5" customHeight="1">
      <c r="A39" s="3411"/>
      <c r="B39" s="341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1" t="s">
        <v>1502</v>
      </c>
      <c r="C61" s="1068" t="s">
        <v>1503</v>
      </c>
      <c r="D61" s="1068" t="s">
        <v>1504</v>
      </c>
      <c r="E61" s="1139">
        <v>0.5</v>
      </c>
      <c r="F61" s="1154">
        <v>80</v>
      </c>
      <c r="H61" s="1105">
        <f>SUMIF(C59:C119,基准地价!C8,E59:E119)</f>
        <v>0</v>
      </c>
    </row>
    <row r="62" spans="1:8" s="1105" customFormat="1" ht="24">
      <c r="A62" s="1154">
        <v>2</v>
      </c>
      <c r="B62" s="3411"/>
      <c r="C62" s="1068" t="s">
        <v>1505</v>
      </c>
      <c r="D62" s="1068" t="s">
        <v>1506</v>
      </c>
      <c r="E62" s="1139">
        <v>0.5</v>
      </c>
      <c r="F62" s="1154">
        <v>80</v>
      </c>
    </row>
    <row r="63" spans="1:8" s="1105" customFormat="1" ht="36">
      <c r="A63" s="1154">
        <v>3</v>
      </c>
      <c r="B63" s="3411"/>
      <c r="C63" s="1068" t="s">
        <v>1507</v>
      </c>
      <c r="D63" s="1068" t="s">
        <v>1508</v>
      </c>
      <c r="E63" s="1139">
        <v>0.5</v>
      </c>
      <c r="F63" s="1154">
        <v>80</v>
      </c>
    </row>
    <row r="64" spans="1:8" s="1105" customFormat="1" ht="36">
      <c r="A64" s="1154">
        <v>4</v>
      </c>
      <c r="B64" s="3411"/>
      <c r="C64" s="1068" t="s">
        <v>1509</v>
      </c>
      <c r="D64" s="1068" t="s">
        <v>1510</v>
      </c>
      <c r="E64" s="1139">
        <v>0.4</v>
      </c>
      <c r="F64" s="1154">
        <v>60</v>
      </c>
    </row>
    <row r="65" spans="1:6" s="1105" customFormat="1" ht="36">
      <c r="A65" s="1154">
        <v>5</v>
      </c>
      <c r="B65" s="3411"/>
      <c r="C65" s="1068" t="s">
        <v>1511</v>
      </c>
      <c r="D65" s="1068" t="s">
        <v>1512</v>
      </c>
      <c r="E65" s="1139">
        <v>0.2</v>
      </c>
      <c r="F65" s="1154">
        <v>30</v>
      </c>
    </row>
    <row r="66" spans="1:6" s="1105" customFormat="1" ht="36">
      <c r="A66" s="1154">
        <v>6</v>
      </c>
      <c r="B66" s="3411"/>
      <c r="C66" s="1068" t="s">
        <v>1513</v>
      </c>
      <c r="D66" s="1068" t="s">
        <v>1514</v>
      </c>
      <c r="E66" s="1139">
        <v>0.3</v>
      </c>
      <c r="F66" s="1154">
        <v>50</v>
      </c>
    </row>
    <row r="67" spans="1:6" s="1105" customFormat="1" ht="36">
      <c r="A67" s="1154">
        <v>7</v>
      </c>
      <c r="B67" s="3411"/>
      <c r="C67" s="1068" t="s">
        <v>1515</v>
      </c>
      <c r="D67" s="1068" t="s">
        <v>1516</v>
      </c>
      <c r="E67" s="1139">
        <v>0.2</v>
      </c>
      <c r="F67" s="1154">
        <v>30</v>
      </c>
    </row>
    <row r="68" spans="1:6" s="1105" customFormat="1" ht="36">
      <c r="A68" s="1154">
        <v>8</v>
      </c>
      <c r="B68" s="3411"/>
      <c r="C68" s="1068" t="s">
        <v>1517</v>
      </c>
      <c r="D68" s="1068" t="s">
        <v>1518</v>
      </c>
      <c r="E68" s="1139">
        <v>0.2</v>
      </c>
      <c r="F68" s="1154">
        <v>30</v>
      </c>
    </row>
    <row r="69" spans="1:6" s="1105" customFormat="1" ht="36">
      <c r="A69" s="1154">
        <v>9</v>
      </c>
      <c r="B69" s="3411"/>
      <c r="C69" s="1068" t="s">
        <v>1519</v>
      </c>
      <c r="D69" s="1068" t="s">
        <v>1520</v>
      </c>
      <c r="E69" s="1139">
        <v>0.2</v>
      </c>
      <c r="F69" s="1154">
        <v>30</v>
      </c>
    </row>
    <row r="70" spans="1:6" s="1105" customFormat="1" ht="48">
      <c r="A70" s="1154">
        <v>10</v>
      </c>
      <c r="B70" s="3411"/>
      <c r="C70" s="1068" t="s">
        <v>1521</v>
      </c>
      <c r="D70" s="1068" t="s">
        <v>1522</v>
      </c>
      <c r="E70" s="1139">
        <v>0.2</v>
      </c>
      <c r="F70" s="1154">
        <v>30</v>
      </c>
    </row>
    <row r="71" spans="1:6" s="1105" customFormat="1" ht="48">
      <c r="A71" s="1154">
        <v>11</v>
      </c>
      <c r="B71" s="3411"/>
      <c r="C71" s="1068" t="s">
        <v>1523</v>
      </c>
      <c r="D71" s="1068" t="s">
        <v>1524</v>
      </c>
      <c r="E71" s="1139">
        <v>0.2</v>
      </c>
      <c r="F71" s="1154">
        <v>30</v>
      </c>
    </row>
    <row r="72" spans="1:6" s="1105" customFormat="1" ht="36">
      <c r="A72" s="1154">
        <v>12</v>
      </c>
      <c r="B72" s="3411"/>
      <c r="C72" s="1068" t="s">
        <v>1525</v>
      </c>
      <c r="D72" s="1068" t="s">
        <v>1526</v>
      </c>
      <c r="E72" s="1139">
        <v>0.5</v>
      </c>
      <c r="F72" s="1154">
        <v>80</v>
      </c>
    </row>
    <row r="73" spans="1:6" s="1105" customFormat="1" ht="24">
      <c r="A73" s="1154">
        <v>13</v>
      </c>
      <c r="B73" s="3411"/>
      <c r="C73" s="1068" t="s">
        <v>1527</v>
      </c>
      <c r="D73" s="1068" t="s">
        <v>1528</v>
      </c>
      <c r="E73" s="1139">
        <v>0.4</v>
      </c>
      <c r="F73" s="1154">
        <v>60</v>
      </c>
    </row>
    <row r="74" spans="1:6" s="1105" customFormat="1" ht="24">
      <c r="A74" s="1154">
        <v>14</v>
      </c>
      <c r="B74" s="3411"/>
      <c r="C74" s="1068" t="s">
        <v>1529</v>
      </c>
      <c r="D74" s="1068" t="s">
        <v>1530</v>
      </c>
      <c r="E74" s="1139">
        <v>0.2</v>
      </c>
      <c r="F74" s="1154">
        <v>30</v>
      </c>
    </row>
    <row r="75" spans="1:6" s="1105" customFormat="1" ht="24">
      <c r="A75" s="1154">
        <v>15</v>
      </c>
      <c r="B75" s="3411"/>
      <c r="C75" s="1068" t="s">
        <v>1531</v>
      </c>
      <c r="D75" s="1068" t="s">
        <v>1532</v>
      </c>
      <c r="E75" s="1139">
        <v>0.2</v>
      </c>
      <c r="F75" s="1154">
        <v>30</v>
      </c>
    </row>
    <row r="76" spans="1:6" s="1105" customFormat="1" ht="24">
      <c r="A76" s="1154">
        <v>16</v>
      </c>
      <c r="B76" s="3411" t="s">
        <v>1533</v>
      </c>
      <c r="C76" s="1068" t="s">
        <v>1534</v>
      </c>
      <c r="D76" s="1068" t="s">
        <v>1535</v>
      </c>
      <c r="E76" s="1139">
        <v>0.5</v>
      </c>
      <c r="F76" s="1154">
        <v>80</v>
      </c>
    </row>
    <row r="77" spans="1:6" s="1105" customFormat="1" ht="24">
      <c r="A77" s="1154">
        <v>17</v>
      </c>
      <c r="B77" s="3411"/>
      <c r="C77" s="1068" t="s">
        <v>1536</v>
      </c>
      <c r="D77" s="1068" t="s">
        <v>1537</v>
      </c>
      <c r="E77" s="1139">
        <v>0.5</v>
      </c>
      <c r="F77" s="1154">
        <v>80</v>
      </c>
    </row>
    <row r="78" spans="1:6" s="1105" customFormat="1" ht="24">
      <c r="A78" s="1154">
        <v>18</v>
      </c>
      <c r="B78" s="3411"/>
      <c r="C78" s="1068" t="s">
        <v>1538</v>
      </c>
      <c r="D78" s="1068" t="s">
        <v>1539</v>
      </c>
      <c r="E78" s="1139">
        <v>0.2</v>
      </c>
      <c r="F78" s="1154">
        <v>30</v>
      </c>
    </row>
    <row r="79" spans="1:6" s="1105" customFormat="1" ht="24">
      <c r="A79" s="1154">
        <v>19</v>
      </c>
      <c r="B79" s="3411"/>
      <c r="C79" s="1068" t="s">
        <v>1540</v>
      </c>
      <c r="D79" s="1068" t="s">
        <v>1541</v>
      </c>
      <c r="E79" s="1139">
        <v>0.5</v>
      </c>
      <c r="F79" s="1154">
        <v>80</v>
      </c>
    </row>
    <row r="80" spans="1:6" s="1105" customFormat="1" ht="36">
      <c r="A80" s="1154">
        <v>20</v>
      </c>
      <c r="B80" s="3411"/>
      <c r="C80" s="1068" t="s">
        <v>1542</v>
      </c>
      <c r="D80" s="1068" t="s">
        <v>1543</v>
      </c>
      <c r="E80" s="1139">
        <v>0.2</v>
      </c>
      <c r="F80" s="1154">
        <v>30</v>
      </c>
    </row>
    <row r="81" spans="1:6" s="1105" customFormat="1" ht="36">
      <c r="A81" s="1154">
        <v>21</v>
      </c>
      <c r="B81" s="3411"/>
      <c r="C81" s="1068" t="s">
        <v>1544</v>
      </c>
      <c r="D81" s="1068" t="s">
        <v>1545</v>
      </c>
      <c r="E81" s="1139">
        <v>0.2</v>
      </c>
      <c r="F81" s="1154">
        <v>30</v>
      </c>
    </row>
    <row r="82" spans="1:6" s="1105" customFormat="1" ht="48">
      <c r="A82" s="1154">
        <v>22</v>
      </c>
      <c r="B82" s="3411"/>
      <c r="C82" s="1068" t="s">
        <v>1546</v>
      </c>
      <c r="D82" s="1068" t="s">
        <v>1547</v>
      </c>
      <c r="E82" s="1139">
        <v>0.2</v>
      </c>
      <c r="F82" s="1154">
        <v>30</v>
      </c>
    </row>
    <row r="83" spans="1:6" s="1105" customFormat="1" ht="48">
      <c r="A83" s="1154">
        <v>23</v>
      </c>
      <c r="B83" s="3411"/>
      <c r="C83" s="1068" t="s">
        <v>1548</v>
      </c>
      <c r="D83" s="1068" t="s">
        <v>1549</v>
      </c>
      <c r="E83" s="1139">
        <v>0.2</v>
      </c>
      <c r="F83" s="1154">
        <v>30</v>
      </c>
    </row>
    <row r="84" spans="1:6" s="1105" customFormat="1" ht="36">
      <c r="A84" s="1154">
        <v>24</v>
      </c>
      <c r="B84" s="3411"/>
      <c r="C84" s="1068" t="s">
        <v>1550</v>
      </c>
      <c r="D84" s="1068" t="s">
        <v>1551</v>
      </c>
      <c r="E84" s="1139">
        <v>0.2</v>
      </c>
      <c r="F84" s="1154">
        <v>30</v>
      </c>
    </row>
    <row r="85" spans="1:6" s="1105" customFormat="1" ht="36">
      <c r="A85" s="1154">
        <v>25</v>
      </c>
      <c r="B85" s="3411"/>
      <c r="C85" s="1068" t="s">
        <v>1552</v>
      </c>
      <c r="D85" s="1068" t="s">
        <v>1553</v>
      </c>
      <c r="E85" s="1139">
        <v>0.5</v>
      </c>
      <c r="F85" s="1154">
        <v>80</v>
      </c>
    </row>
    <row r="86" spans="1:6" s="1105" customFormat="1" ht="36">
      <c r="A86" s="1154">
        <v>26</v>
      </c>
      <c r="B86" s="3411"/>
      <c r="C86" s="1068" t="s">
        <v>1554</v>
      </c>
      <c r="D86" s="1068" t="s">
        <v>1555</v>
      </c>
      <c r="E86" s="1139">
        <v>0.2</v>
      </c>
      <c r="F86" s="1154">
        <v>30</v>
      </c>
    </row>
    <row r="87" spans="1:6" s="1105" customFormat="1" ht="36">
      <c r="A87" s="1154">
        <v>27</v>
      </c>
      <c r="B87" s="3411"/>
      <c r="C87" s="1068" t="s">
        <v>1556</v>
      </c>
      <c r="D87" s="1068" t="s">
        <v>1557</v>
      </c>
      <c r="E87" s="1139">
        <v>0.2</v>
      </c>
      <c r="F87" s="1154">
        <v>30</v>
      </c>
    </row>
    <row r="88" spans="1:6" s="1105" customFormat="1" ht="36">
      <c r="A88" s="1154">
        <v>28</v>
      </c>
      <c r="B88" s="3411"/>
      <c r="C88" s="1068" t="s">
        <v>1558</v>
      </c>
      <c r="D88" s="1068" t="s">
        <v>1559</v>
      </c>
      <c r="E88" s="1139">
        <v>0.2</v>
      </c>
      <c r="F88" s="1154">
        <v>30</v>
      </c>
    </row>
    <row r="89" spans="1:6" s="1105" customFormat="1" ht="24">
      <c r="A89" s="1154">
        <v>29</v>
      </c>
      <c r="B89" s="3411"/>
      <c r="C89" s="1068" t="s">
        <v>1560</v>
      </c>
      <c r="D89" s="1068" t="s">
        <v>1561</v>
      </c>
      <c r="E89" s="1139">
        <v>0.2</v>
      </c>
      <c r="F89" s="1154">
        <v>30</v>
      </c>
    </row>
    <row r="90" spans="1:6" s="1105" customFormat="1" ht="24">
      <c r="A90" s="1154">
        <v>30</v>
      </c>
      <c r="B90" s="3411"/>
      <c r="C90" s="1068" t="s">
        <v>1562</v>
      </c>
      <c r="D90" s="1068" t="s">
        <v>1563</v>
      </c>
      <c r="E90" s="1139">
        <v>0.2</v>
      </c>
      <c r="F90" s="1154">
        <v>30</v>
      </c>
    </row>
    <row r="91" spans="1:6" s="1105" customFormat="1" ht="36">
      <c r="A91" s="1154">
        <v>31</v>
      </c>
      <c r="B91" s="3411"/>
      <c r="C91" s="1068" t="s">
        <v>1564</v>
      </c>
      <c r="D91" s="1068" t="s">
        <v>1565</v>
      </c>
      <c r="E91" s="1139">
        <v>0.2</v>
      </c>
      <c r="F91" s="1154">
        <v>30</v>
      </c>
    </row>
    <row r="92" spans="1:6" s="1105" customFormat="1" ht="24">
      <c r="A92" s="1154">
        <v>32</v>
      </c>
      <c r="B92" s="3411" t="s">
        <v>1566</v>
      </c>
      <c r="C92" s="1154" t="s">
        <v>1567</v>
      </c>
      <c r="D92" s="1068" t="s">
        <v>1568</v>
      </c>
      <c r="E92" s="1139">
        <v>0.2</v>
      </c>
      <c r="F92" s="1154">
        <v>30</v>
      </c>
    </row>
    <row r="93" spans="1:6" s="1105" customFormat="1" ht="36">
      <c r="A93" s="1154">
        <v>33</v>
      </c>
      <c r="B93" s="3411"/>
      <c r="C93" s="1154" t="s">
        <v>1569</v>
      </c>
      <c r="D93" s="1068" t="s">
        <v>1570</v>
      </c>
      <c r="E93" s="1139">
        <v>0.2</v>
      </c>
      <c r="F93" s="1154">
        <v>30</v>
      </c>
    </row>
    <row r="94" spans="1:6" s="1105" customFormat="1" ht="48">
      <c r="A94" s="1154">
        <v>34</v>
      </c>
      <c r="B94" s="3411"/>
      <c r="C94" s="1154" t="s">
        <v>1571</v>
      </c>
      <c r="D94" s="1068" t="s">
        <v>1572</v>
      </c>
      <c r="E94" s="1139">
        <v>0.2</v>
      </c>
      <c r="F94" s="1154">
        <v>30</v>
      </c>
    </row>
    <row r="95" spans="1:6" s="1105" customFormat="1" ht="36">
      <c r="A95" s="1154">
        <v>35</v>
      </c>
      <c r="B95" s="3411"/>
      <c r="C95" s="1154" t="s">
        <v>1573</v>
      </c>
      <c r="D95" s="1068" t="s">
        <v>1574</v>
      </c>
      <c r="E95" s="1139">
        <v>0.2</v>
      </c>
      <c r="F95" s="1154">
        <v>30</v>
      </c>
    </row>
    <row r="96" spans="1:6" s="1105" customFormat="1" ht="48">
      <c r="A96" s="1154">
        <v>36</v>
      </c>
      <c r="B96" s="3411"/>
      <c r="C96" s="1068" t="s">
        <v>1575</v>
      </c>
      <c r="D96" s="1068" t="s">
        <v>1576</v>
      </c>
      <c r="E96" s="1139">
        <v>0.2</v>
      </c>
      <c r="F96" s="1154">
        <v>30</v>
      </c>
    </row>
    <row r="97" spans="1:6" s="1105" customFormat="1" ht="36">
      <c r="A97" s="1154">
        <v>37</v>
      </c>
      <c r="B97" s="3411"/>
      <c r="C97" s="1154" t="s">
        <v>1577</v>
      </c>
      <c r="D97" s="1068" t="s">
        <v>1578</v>
      </c>
      <c r="E97" s="1139">
        <v>0.2</v>
      </c>
      <c r="F97" s="1154">
        <v>30</v>
      </c>
    </row>
    <row r="98" spans="1:6" s="1105" customFormat="1" ht="36">
      <c r="A98" s="1154">
        <v>38</v>
      </c>
      <c r="B98" s="3411"/>
      <c r="C98" s="1154" t="s">
        <v>1579</v>
      </c>
      <c r="D98" s="1068" t="s">
        <v>1580</v>
      </c>
      <c r="E98" s="1139">
        <v>0.2</v>
      </c>
      <c r="F98" s="1154">
        <v>30</v>
      </c>
    </row>
    <row r="99" spans="1:6" s="1105" customFormat="1" ht="36">
      <c r="A99" s="1154">
        <v>39</v>
      </c>
      <c r="B99" s="3411" t="s">
        <v>1581</v>
      </c>
      <c r="C99" s="1154" t="s">
        <v>1582</v>
      </c>
      <c r="D99" s="1068" t="s">
        <v>1583</v>
      </c>
      <c r="E99" s="1139">
        <v>0.3</v>
      </c>
      <c r="F99" s="1154">
        <v>50</v>
      </c>
    </row>
    <row r="100" spans="1:6" s="1105" customFormat="1" ht="24">
      <c r="A100" s="1154">
        <v>40</v>
      </c>
      <c r="B100" s="3411"/>
      <c r="C100" s="1154" t="s">
        <v>1584</v>
      </c>
      <c r="D100" s="1068" t="s">
        <v>1585</v>
      </c>
      <c r="E100" s="1139">
        <v>0.2</v>
      </c>
      <c r="F100" s="1154">
        <v>30</v>
      </c>
    </row>
    <row r="101" spans="1:6" s="1105" customFormat="1" ht="36">
      <c r="A101" s="1154">
        <v>41</v>
      </c>
      <c r="B101" s="341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1" t="s">
        <v>1596</v>
      </c>
      <c r="C105" s="1154" t="s">
        <v>1597</v>
      </c>
      <c r="D105" s="1068" t="s">
        <v>1598</v>
      </c>
      <c r="E105" s="1139">
        <v>0.2</v>
      </c>
      <c r="F105" s="1154">
        <v>30</v>
      </c>
    </row>
    <row r="106" spans="1:6" s="1105" customFormat="1" ht="36">
      <c r="A106" s="1154">
        <v>46</v>
      </c>
      <c r="B106" s="3411"/>
      <c r="C106" s="1154" t="s">
        <v>1599</v>
      </c>
      <c r="D106" s="1068" t="s">
        <v>1600</v>
      </c>
      <c r="E106" s="1139">
        <v>0.2</v>
      </c>
      <c r="F106" s="1154">
        <v>30</v>
      </c>
    </row>
    <row r="107" spans="1:6" s="1105" customFormat="1" ht="36">
      <c r="A107" s="1154">
        <v>47</v>
      </c>
      <c r="B107" s="3411" t="s">
        <v>1601</v>
      </c>
      <c r="C107" s="1154" t="s">
        <v>1602</v>
      </c>
      <c r="D107" s="1068" t="s">
        <v>1603</v>
      </c>
      <c r="E107" s="1139">
        <v>0.3</v>
      </c>
      <c r="F107" s="1154">
        <v>50</v>
      </c>
    </row>
    <row r="108" spans="1:6" s="1105" customFormat="1" ht="36">
      <c r="A108" s="1154">
        <v>48</v>
      </c>
      <c r="B108" s="341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1" t="s">
        <v>1612</v>
      </c>
      <c r="C111" s="1154" t="s">
        <v>1613</v>
      </c>
      <c r="D111" s="1068" t="s">
        <v>1614</v>
      </c>
      <c r="E111" s="1139">
        <v>0.2</v>
      </c>
      <c r="F111" s="1154">
        <v>30</v>
      </c>
    </row>
    <row r="112" spans="1:6" s="1105" customFormat="1" ht="24">
      <c r="A112" s="1154">
        <v>52</v>
      </c>
      <c r="B112" s="3411"/>
      <c r="C112" s="1154" t="s">
        <v>1615</v>
      </c>
      <c r="D112" s="1068" t="s">
        <v>1616</v>
      </c>
      <c r="E112" s="1139">
        <v>0.2</v>
      </c>
      <c r="F112" s="1154">
        <v>30</v>
      </c>
    </row>
    <row r="113" spans="1:14" s="1105" customFormat="1" ht="24">
      <c r="A113" s="1154">
        <v>53</v>
      </c>
      <c r="B113" s="341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1" t="s">
        <v>1625</v>
      </c>
      <c r="C116" s="1154" t="s">
        <v>1626</v>
      </c>
      <c r="D116" s="1068" t="s">
        <v>1627</v>
      </c>
      <c r="E116" s="1139">
        <v>0.2</v>
      </c>
      <c r="F116" s="1154">
        <v>30</v>
      </c>
    </row>
    <row r="117" spans="1:14" ht="36">
      <c r="A117" s="1154">
        <v>57</v>
      </c>
      <c r="B117" s="341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0" t="s">
        <v>1634</v>
      </c>
      <c r="B121" s="3410"/>
      <c r="C121" s="3410"/>
      <c r="D121" s="3410"/>
      <c r="E121" s="3410"/>
      <c r="F121" s="3410"/>
      <c r="G121" s="3410"/>
      <c r="H121" s="3410"/>
      <c r="I121" s="3410"/>
      <c r="J121" s="341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1040</v>
      </c>
      <c r="B1" s="3423"/>
      <c r="C1" s="3423"/>
      <c r="D1" s="3423"/>
      <c r="E1" s="3423"/>
      <c r="F1" s="342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4" t="s">
        <v>1053</v>
      </c>
      <c r="B2" s="3424"/>
      <c r="C2" s="3424"/>
      <c r="D2" s="3424"/>
      <c r="E2" s="3424"/>
      <c r="F2" s="342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2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2426</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2427</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27" t="s">
        <v>2082</v>
      </c>
      <c r="B1" s="3427"/>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2962</v>
      </c>
      <c r="B1" s="3138"/>
      <c r="C1" s="3138"/>
      <c r="D1" s="3138"/>
      <c r="E1" s="3138"/>
      <c r="F1" s="3138"/>
    </row>
    <row r="2" spans="1:6" ht="14.25">
      <c r="A2" s="3139" t="s">
        <v>2956</v>
      </c>
      <c r="B2" s="3140" t="e">
        <f ca="1">SUMIF(B7:B14,"&lt;&gt;#ref!",B7:B14)</f>
        <v>#DIV/0!</v>
      </c>
      <c r="C2" s="3139" t="s">
        <v>2957</v>
      </c>
      <c r="D2" s="3138"/>
      <c r="E2" s="3138"/>
      <c r="F2" s="3138"/>
    </row>
    <row r="3" spans="1:6" ht="14.25">
      <c r="A3" s="3139" t="s">
        <v>2959</v>
      </c>
      <c r="B3" s="3140" t="e">
        <f ca="1">ROUND(B2*10000/E3,0)</f>
        <v>#DIV/0!</v>
      </c>
      <c r="C3" s="3139" t="s">
        <v>2081</v>
      </c>
      <c r="D3" s="3139" t="s">
        <v>2958</v>
      </c>
      <c r="E3" s="3140" t="e">
        <f ca="1">SUM(E7:E14)</f>
        <v>#REF!</v>
      </c>
      <c r="F3" s="3138"/>
    </row>
    <row r="4" spans="1:6" ht="14.25">
      <c r="A4" s="3139" t="s">
        <v>2966</v>
      </c>
      <c r="B4" s="3140" t="e">
        <f ca="1">ROUND(B2*10000/E4,0)</f>
        <v>#DIV/0!</v>
      </c>
      <c r="C4" s="3139" t="s">
        <v>2081</v>
      </c>
      <c r="D4" s="3139" t="s">
        <v>2967</v>
      </c>
      <c r="E4" s="3140" t="e">
        <f ca="1">SUM(F7:F14)</f>
        <v>#REF!</v>
      </c>
      <c r="F4" s="3138"/>
    </row>
    <row r="5" spans="1:6" ht="14.25">
      <c r="A5" s="3141"/>
      <c r="B5" s="1883"/>
      <c r="C5" s="1883"/>
      <c r="D5" s="1883"/>
      <c r="E5" s="1883"/>
      <c r="F5" s="3138"/>
    </row>
    <row r="6" spans="1:6" ht="28.5">
      <c r="A6" s="3142" t="s">
        <v>2963</v>
      </c>
      <c r="B6" s="3139" t="s">
        <v>2960</v>
      </c>
      <c r="C6" s="3140"/>
      <c r="D6" s="1883"/>
      <c r="E6" s="3139" t="s">
        <v>2961</v>
      </c>
      <c r="F6" s="3139" t="s">
        <v>2965</v>
      </c>
    </row>
    <row r="7" spans="1:6" ht="14.25">
      <c r="A7" s="260" t="s">
        <v>2964</v>
      </c>
      <c r="B7" s="3143" t="e">
        <f ca="1">SUMIF(INDIRECT("'"&amp;A7&amp;"'"&amp;"!A:A"),"总价",INDIRECT("'"&amp;A7&amp;"'"&amp;"!B:B"))</f>
        <v>#DIV/0!</v>
      </c>
      <c r="C7" s="3139" t="s">
        <v>2957</v>
      </c>
      <c r="D7" s="1883"/>
      <c r="E7" s="3144">
        <f ca="1">SUMIF(INDIRECT("'"&amp;A7&amp;"'"&amp;"!C:C"),"建筑面积",INDIRECT("'"&amp;A7&amp;"'"&amp;"!D:D"))</f>
        <v>0</v>
      </c>
      <c r="F7" s="3144">
        <f ca="1">SUMIF(INDIRECT("'"&amp;A7&amp;"'"&amp;"!E:E"),"土地面积",INDIRECT("'"&amp;A7&amp;"'"&amp;"!F:F"))</f>
        <v>0</v>
      </c>
    </row>
    <row r="8" spans="1:6" ht="14.25">
      <c r="A8" s="260"/>
      <c r="B8" s="3143" t="e">
        <f t="shared" ref="B8:B14" ca="1" si="0">SUMIF(INDIRECT("'"&amp;A8&amp;"'"&amp;"!A:A"),"总价",INDIRECT("'"&amp;A8&amp;"'"&amp;"!B:B"))</f>
        <v>#REF!</v>
      </c>
      <c r="C8" s="3139" t="s">
        <v>2957</v>
      </c>
      <c r="D8" s="1883"/>
      <c r="E8" s="3144" t="e">
        <f t="shared" ref="E8:E14" ca="1" si="1">SUMIF(INDIRECT("'"&amp;A8&amp;"'"&amp;"!C:C"),"建筑面积",INDIRECT("'"&amp;A8&amp;"'"&amp;"!D:D"))</f>
        <v>#REF!</v>
      </c>
      <c r="F8" s="3144" t="e">
        <f t="shared" ref="F8:F14" ca="1" si="2">SUMIF(INDIRECT("'"&amp;A8&amp;"'"&amp;"!E:E"),"土地面积",INDIRECT("'"&amp;A8&amp;"'"&amp;"!F:F"))</f>
        <v>#REF!</v>
      </c>
    </row>
    <row r="9" spans="1:6" ht="14.25">
      <c r="A9" s="260"/>
      <c r="B9" s="3143" t="e">
        <f t="shared" ca="1" si="0"/>
        <v>#REF!</v>
      </c>
      <c r="C9" s="3139" t="s">
        <v>2957</v>
      </c>
      <c r="D9" s="1883"/>
      <c r="E9" s="3144" t="e">
        <f t="shared" ca="1" si="1"/>
        <v>#REF!</v>
      </c>
      <c r="F9" s="3144" t="e">
        <f t="shared" ca="1" si="2"/>
        <v>#REF!</v>
      </c>
    </row>
    <row r="10" spans="1:6" ht="14.25">
      <c r="A10" s="260"/>
      <c r="B10" s="3143" t="e">
        <f t="shared" ca="1" si="0"/>
        <v>#REF!</v>
      </c>
      <c r="C10" s="3139" t="s">
        <v>2957</v>
      </c>
      <c r="D10" s="1883"/>
      <c r="E10" s="3144" t="e">
        <f t="shared" ca="1" si="1"/>
        <v>#REF!</v>
      </c>
      <c r="F10" s="3144" t="e">
        <f t="shared" ca="1" si="2"/>
        <v>#REF!</v>
      </c>
    </row>
    <row r="11" spans="1:6" ht="14.25">
      <c r="A11" s="260"/>
      <c r="B11" s="3143" t="e">
        <f t="shared" ca="1" si="0"/>
        <v>#REF!</v>
      </c>
      <c r="C11" s="3139" t="s">
        <v>2957</v>
      </c>
      <c r="D11" s="1883"/>
      <c r="E11" s="3144" t="e">
        <f t="shared" ca="1" si="1"/>
        <v>#REF!</v>
      </c>
      <c r="F11" s="3144" t="e">
        <f t="shared" ca="1" si="2"/>
        <v>#REF!</v>
      </c>
    </row>
    <row r="12" spans="1:6" ht="14.25">
      <c r="A12" s="260"/>
      <c r="B12" s="3143" t="e">
        <f t="shared" ca="1" si="0"/>
        <v>#REF!</v>
      </c>
      <c r="C12" s="3139" t="s">
        <v>2957</v>
      </c>
      <c r="D12" s="1883"/>
      <c r="E12" s="3144" t="e">
        <f t="shared" ca="1" si="1"/>
        <v>#REF!</v>
      </c>
      <c r="F12" s="3144" t="e">
        <f t="shared" ca="1" si="2"/>
        <v>#REF!</v>
      </c>
    </row>
    <row r="13" spans="1:6" ht="14.25">
      <c r="A13" s="260"/>
      <c r="B13" s="3143" t="e">
        <f t="shared" ca="1" si="0"/>
        <v>#REF!</v>
      </c>
      <c r="C13" s="3139" t="s">
        <v>2957</v>
      </c>
      <c r="D13" s="1883"/>
      <c r="E13" s="3144" t="e">
        <f t="shared" ca="1" si="1"/>
        <v>#REF!</v>
      </c>
      <c r="F13" s="3144" t="e">
        <f t="shared" ca="1" si="2"/>
        <v>#REF!</v>
      </c>
    </row>
    <row r="14" spans="1:6" ht="14.25">
      <c r="A14" s="3137"/>
      <c r="B14" s="3143" t="e">
        <f t="shared" ca="1" si="0"/>
        <v>#REF!</v>
      </c>
      <c r="C14" s="3139" t="s">
        <v>2957</v>
      </c>
      <c r="D14" s="1883"/>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2378</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2463</v>
      </c>
      <c r="C7" s="53">
        <f ca="1">C8+C12+C14</f>
        <v>0</v>
      </c>
      <c r="D7" s="2522" t="s">
        <v>2466</v>
      </c>
      <c r="E7" s="2516"/>
      <c r="F7" s="2517"/>
      <c r="G7" s="1593"/>
      <c r="H7" s="781">
        <v>1</v>
      </c>
      <c r="I7" s="782" t="s">
        <v>2463</v>
      </c>
      <c r="J7" s="53">
        <f ca="1">J8+J12+J14</f>
        <v>0</v>
      </c>
      <c r="K7" s="2522" t="s">
        <v>2466</v>
      </c>
      <c r="L7" s="2516"/>
      <c r="M7" s="2517"/>
    </row>
    <row r="8" spans="1:25" ht="18" customHeight="1">
      <c r="A8" s="1832" t="s">
        <v>1825</v>
      </c>
      <c r="B8" s="3429" t="s">
        <v>2468</v>
      </c>
      <c r="C8" s="1827">
        <f ca="1">ROUND(F8*F10*F9*(1-F11)/10000,0)</f>
        <v>0</v>
      </c>
      <c r="D8" s="1824" t="s">
        <v>2540</v>
      </c>
      <c r="E8" s="61" t="s">
        <v>637</v>
      </c>
      <c r="F8" s="785">
        <f ca="1">INDIRECT("'数据-取费表'!u"&amp;$G$1)</f>
        <v>0</v>
      </c>
      <c r="G8" s="1593"/>
      <c r="H8" s="2530" t="s">
        <v>1825</v>
      </c>
      <c r="I8" s="3429" t="s">
        <v>2468</v>
      </c>
      <c r="J8" s="783">
        <f ca="1">ROUND(M8*M10*M9*(1-M11)/10000,0)</f>
        <v>0</v>
      </c>
      <c r="K8" s="341" t="s">
        <v>2540</v>
      </c>
      <c r="L8" s="784" t="s">
        <v>1739</v>
      </c>
      <c r="M8" s="785">
        <f ca="1">INDIRECT("'数据-取费表'!z"&amp;$G$1)</f>
        <v>0</v>
      </c>
    </row>
    <row r="9" spans="1:25" ht="18" customHeight="1">
      <c r="A9" s="2526"/>
      <c r="B9" s="3430"/>
      <c r="C9" s="1828"/>
      <c r="D9" s="1825"/>
      <c r="E9" s="61" t="s">
        <v>638</v>
      </c>
      <c r="F9" s="785">
        <f ca="1">IF(INDIRECT("'数据-取费表'!ah"&amp;$G$1)="",INDIRECT("'数据-取费表'!k"&amp;$G$1),INDIRECT("'数据-取费表'!ah"&amp;$G$1))</f>
        <v>0</v>
      </c>
      <c r="G9" s="1593"/>
      <c r="H9" s="2515"/>
      <c r="I9" s="3430"/>
      <c r="J9" s="788"/>
      <c r="K9" s="789"/>
      <c r="L9" s="784" t="s">
        <v>1740</v>
      </c>
      <c r="M9" s="785">
        <f ca="1">F9</f>
        <v>0</v>
      </c>
    </row>
    <row r="10" spans="1:25" ht="18" customHeight="1">
      <c r="A10" s="2519"/>
      <c r="B10" s="3431"/>
      <c r="C10" s="1828"/>
      <c r="D10" s="1825"/>
      <c r="E10" s="61" t="s">
        <v>639</v>
      </c>
      <c r="F10" s="785">
        <f ca="1">INDIRECT("'数据-取费表'!ai"&amp;$G$1)</f>
        <v>0</v>
      </c>
      <c r="G10" s="1593"/>
      <c r="H10" s="2515"/>
      <c r="I10" s="3431"/>
      <c r="J10" s="788"/>
      <c r="K10" s="789"/>
      <c r="L10" s="784" t="s">
        <v>1741</v>
      </c>
      <c r="M10" s="785">
        <f ca="1">INDIRECT("'数据-取费表'!ai"&amp;$G$1)</f>
        <v>0</v>
      </c>
    </row>
    <row r="11" spans="1:25" ht="18" customHeight="1">
      <c r="A11" s="786"/>
      <c r="B11" s="3432"/>
      <c r="C11" s="1828"/>
      <c r="D11" s="1825"/>
      <c r="E11" s="61" t="s">
        <v>640</v>
      </c>
      <c r="F11" s="794">
        <f ca="1">INDIRECT("'数据-取费表'!w"&amp;$G$1)</f>
        <v>0</v>
      </c>
      <c r="G11" s="1593"/>
      <c r="H11" s="2531"/>
      <c r="I11" s="3431"/>
      <c r="J11" s="788"/>
      <c r="K11" s="789"/>
      <c r="L11" s="795" t="s">
        <v>1742</v>
      </c>
      <c r="M11" s="796">
        <f ca="1">INDIRECT("'数据-取费表'!ab"&amp;$G$1)</f>
        <v>0</v>
      </c>
    </row>
    <row r="12" spans="1:25" ht="18" customHeight="1">
      <c r="A12" s="1832" t="s">
        <v>1826</v>
      </c>
      <c r="B12" s="2520" t="s">
        <v>2464</v>
      </c>
      <c r="C12" s="799">
        <f ca="1">ROUND(IF(F12="押一",F8*F10*F9/12*F13,IF(F12="押二",F8*F10*F9/12*2*F13,IF(F12="押三",F8*F10*F9/12*3*F13,C13*F13)))/10000,0)</f>
        <v>0</v>
      </c>
      <c r="D12" s="2527" t="s">
        <v>2471</v>
      </c>
      <c r="E12" s="2524" t="s">
        <v>2469</v>
      </c>
      <c r="F12" s="2647"/>
      <c r="G12" s="1593"/>
      <c r="H12" s="2587" t="s">
        <v>1826</v>
      </c>
      <c r="I12" s="2592" t="s">
        <v>2464</v>
      </c>
      <c r="J12" s="783">
        <f ca="1">ROUND(IF(M12="押一",M8*M10*M9/12*M13,IF(M12="押二",M8*M10*M9/12*2*M13,IF(M12="押三",M8*M10*M9/12*3*M13,J13*M13)))/10000,0)</f>
        <v>0</v>
      </c>
      <c r="K12" s="2527" t="s">
        <v>2471</v>
      </c>
      <c r="L12" s="2524" t="s">
        <v>2469</v>
      </c>
      <c r="M12" s="2647"/>
    </row>
    <row r="13" spans="1:25" ht="18" customHeight="1">
      <c r="A13" s="790"/>
      <c r="B13" s="2521" t="s">
        <v>2579</v>
      </c>
      <c r="C13" s="2525"/>
      <c r="D13" s="789"/>
      <c r="E13" s="2524" t="s">
        <v>2461</v>
      </c>
      <c r="F13" s="796">
        <f ca="1">'数据-取费表'!B39</f>
        <v>1.4999999999999999E-2</v>
      </c>
      <c r="G13" s="1593"/>
      <c r="H13" s="2588"/>
      <c r="I13" s="2521" t="s">
        <v>2579</v>
      </c>
      <c r="J13" s="2525"/>
      <c r="K13" s="2589"/>
      <c r="L13" s="2524" t="s">
        <v>2461</v>
      </c>
      <c r="M13" s="2518">
        <f ca="1">'数据-取费表'!B39</f>
        <v>1.4999999999999999E-2</v>
      </c>
    </row>
    <row r="14" spans="1:25" ht="18" customHeight="1" thickBot="1">
      <c r="A14" s="2563" t="s">
        <v>2473</v>
      </c>
      <c r="B14" s="2564" t="s">
        <v>2465</v>
      </c>
      <c r="C14" s="2565"/>
      <c r="D14" s="2566"/>
      <c r="E14" s="2567"/>
      <c r="F14" s="2568"/>
      <c r="G14" s="1593"/>
      <c r="H14" s="2577" t="s">
        <v>2473</v>
      </c>
      <c r="I14" s="2590" t="s">
        <v>2465</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2072</v>
      </c>
      <c r="I16" s="2233" t="s">
        <v>2833</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0.03</v>
      </c>
      <c r="G22" s="1594"/>
      <c r="H22" s="1834" t="s">
        <v>1851</v>
      </c>
      <c r="I22" s="1824" t="s">
        <v>668</v>
      </c>
      <c r="J22" s="54">
        <f ca="1">ROUND(M22*M23/10000,0)</f>
        <v>0</v>
      </c>
      <c r="K22" s="814" t="s">
        <v>669</v>
      </c>
      <c r="L22" s="784" t="s">
        <v>670</v>
      </c>
      <c r="M22" s="640">
        <f>'数据-取费表'!B52</f>
        <v>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2073</v>
      </c>
      <c r="I24" s="784" t="s">
        <v>676</v>
      </c>
      <c r="J24" s="53">
        <f ca="1">ROUND(J16*M24,0)</f>
        <v>0</v>
      </c>
      <c r="K24" s="1979" t="s">
        <v>677</v>
      </c>
      <c r="L24" s="784" t="s">
        <v>649</v>
      </c>
      <c r="M24" s="817">
        <f ca="1">INDIRECT("'数据-取费表'!Ak"&amp;$G$1)</f>
        <v>0</v>
      </c>
    </row>
    <row r="25" spans="1:25" s="2066" customFormat="1" ht="18" customHeight="1">
      <c r="A25" s="803" t="s">
        <v>1876</v>
      </c>
      <c r="B25" s="784" t="s">
        <v>2441</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3</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2.2000000000000001E-3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9" t="s">
        <v>2830</v>
      </c>
      <c r="J27" s="799">
        <f ca="1">J7-J18</f>
        <v>0</v>
      </c>
      <c r="K27" s="1981" t="s">
        <v>700</v>
      </c>
      <c r="L27" s="1983"/>
      <c r="M27" s="820"/>
    </row>
    <row r="28" spans="1:25" ht="18" customHeight="1">
      <c r="A28" s="803" t="s">
        <v>1876</v>
      </c>
      <c r="B28" s="784" t="s">
        <v>2442</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2831</v>
      </c>
      <c r="C31" s="2570">
        <f ca="1">ROUND((C21+C22+C25+C28)/(1-F23-C26-C29-C30),0)</f>
        <v>0</v>
      </c>
      <c r="D31" s="2571"/>
      <c r="E31" s="2572"/>
      <c r="F31" s="2573"/>
      <c r="G31" s="1594"/>
      <c r="H31" s="823" t="s">
        <v>1873</v>
      </c>
      <c r="I31" s="3040" t="s">
        <v>2832</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5</v>
      </c>
      <c r="G36" s="2064"/>
      <c r="H36" s="2067"/>
      <c r="I36" s="3428"/>
      <c r="J36" s="2081"/>
      <c r="K36" s="2082"/>
      <c r="L36" s="2081"/>
      <c r="M36" s="2081"/>
    </row>
    <row r="37" spans="1:18" ht="18" customHeight="1">
      <c r="A37" s="815"/>
      <c r="B37" s="793"/>
      <c r="C37" s="69"/>
      <c r="D37" s="816"/>
      <c r="E37" s="784" t="s">
        <v>674</v>
      </c>
      <c r="F37" s="785">
        <f ca="1">INDIRECT("'数据-取费表'!r"&amp;$G$1)</f>
        <v>0</v>
      </c>
      <c r="G37" s="2064"/>
      <c r="H37" s="2067"/>
      <c r="I37" s="342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7" t="s">
        <v>2975</v>
      </c>
      <c r="F43" s="3158">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6">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9" t="s">
        <v>2978</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2346</v>
      </c>
      <c r="J47" s="2381"/>
      <c r="K47" s="2382"/>
      <c r="L47" s="2383" t="str">
        <f ca="1">IF(M48="住宅",0,IF(L49&gt;J52,L61,J61))</f>
        <v>0</v>
      </c>
      <c r="O47" s="2420" t="s">
        <v>2414</v>
      </c>
      <c r="P47" s="1593"/>
      <c r="Q47" s="1605"/>
      <c r="R47" s="1593"/>
    </row>
    <row r="48" spans="1:18" s="2061" customFormat="1" ht="18" customHeight="1" thickBot="1">
      <c r="A48" s="2086"/>
      <c r="C48" s="2089"/>
      <c r="D48" s="2090"/>
      <c r="E48" s="2090"/>
      <c r="F48" s="2091"/>
      <c r="G48" s="2092"/>
      <c r="I48" s="2384" t="s">
        <v>2347</v>
      </c>
      <c r="J48" s="2389"/>
      <c r="K48" s="2390" t="s">
        <v>2353</v>
      </c>
      <c r="L48" s="2391">
        <f ca="1">INDIRECT("'数据-取费表'!d"&amp;$G$1)</f>
        <v>0</v>
      </c>
      <c r="M48" s="3154" t="str">
        <f>IF(ISNUMBER(FIND("住宅",C1)),"住宅","非住宅")</f>
        <v>非住宅</v>
      </c>
      <c r="O48" s="2421" t="s">
        <v>2379</v>
      </c>
      <c r="P48" s="2422" t="s">
        <v>2380</v>
      </c>
      <c r="Q48" s="2423" t="s">
        <v>2381</v>
      </c>
      <c r="R48" s="2422" t="s">
        <v>2382</v>
      </c>
    </row>
    <row r="49" spans="1:18" s="2061" customFormat="1" ht="18" customHeight="1" thickBot="1">
      <c r="A49" s="2086"/>
      <c r="D49" s="2093"/>
      <c r="E49" s="2094"/>
      <c r="F49" s="2091"/>
      <c r="G49" s="2092"/>
      <c r="H49" s="2095"/>
      <c r="I49" s="2385" t="s">
        <v>2348</v>
      </c>
      <c r="J49" s="2392"/>
      <c r="K49" s="2393" t="s">
        <v>2355</v>
      </c>
      <c r="L49" s="2394">
        <f ca="1">INDIRECT("'数据-取费表'!f"&amp;$G$1)</f>
        <v>0</v>
      </c>
      <c r="O49" s="2424" t="s">
        <v>2383</v>
      </c>
      <c r="P49" s="2425" t="s">
        <v>2409</v>
      </c>
      <c r="Q49" s="2426">
        <f ca="1">C41+J31</f>
        <v>0</v>
      </c>
      <c r="R49" s="2425" t="s">
        <v>2384</v>
      </c>
    </row>
    <row r="50" spans="1:18" s="2061" customFormat="1" ht="18" customHeight="1" thickBot="1">
      <c r="A50" s="2086"/>
      <c r="D50" s="2096"/>
      <c r="E50" s="2096"/>
      <c r="F50" s="2090"/>
      <c r="G50" s="2097"/>
      <c r="H50" s="2095"/>
      <c r="I50" s="2385" t="s">
        <v>2349</v>
      </c>
      <c r="J50" s="2395"/>
      <c r="K50" s="2396" t="s">
        <v>2356</v>
      </c>
      <c r="L50" s="2397"/>
      <c r="O50" s="2424" t="s">
        <v>2385</v>
      </c>
      <c r="P50" s="2425" t="s">
        <v>2410</v>
      </c>
      <c r="Q50" s="2426" t="str">
        <f ca="1">J61</f>
        <v>0</v>
      </c>
      <c r="R50" s="2425" t="s">
        <v>2386</v>
      </c>
    </row>
    <row r="51" spans="1:18" s="2061" customFormat="1" ht="18" customHeight="1" thickBot="1">
      <c r="A51" s="2098"/>
      <c r="D51" s="2096"/>
      <c r="E51" s="2096"/>
      <c r="F51" s="2087"/>
      <c r="H51" s="2095"/>
      <c r="I51" s="2385" t="s">
        <v>2350</v>
      </c>
      <c r="J51" s="2398">
        <f>SUMPRODUCT((I64:I66=J48)*(J63:L63=J49)*(J64:L66))</f>
        <v>0</v>
      </c>
      <c r="K51" s="2396" t="s">
        <v>2357</v>
      </c>
      <c r="L51" s="2397"/>
      <c r="O51" s="2427" t="s">
        <v>2387</v>
      </c>
      <c r="P51" s="2425" t="s">
        <v>2411</v>
      </c>
      <c r="Q51" s="2426">
        <f ca="1">C31</f>
        <v>0</v>
      </c>
      <c r="R51" s="2425" t="s">
        <v>2384</v>
      </c>
    </row>
    <row r="52" spans="1:18" s="2061" customFormat="1" ht="18" customHeight="1" thickBot="1">
      <c r="A52" s="2098"/>
      <c r="F52" s="2087"/>
      <c r="I52" s="2386" t="s">
        <v>2351</v>
      </c>
      <c r="J52" s="2399">
        <f>IF(J50="",J51,J50+J51-YEAR('数据-取费表'!B3))</f>
        <v>0</v>
      </c>
      <c r="K52" s="2385" t="s">
        <v>2358</v>
      </c>
      <c r="L52" s="2400">
        <f ca="1">ROUND(-PV(INDIRECT("'数据-取费表'!h"&amp;$G$1),L49,(C40-C14*J36),0),0)</f>
        <v>0</v>
      </c>
      <c r="O52" s="2427" t="s">
        <v>2388</v>
      </c>
      <c r="P52" s="2425" t="s">
        <v>2389</v>
      </c>
      <c r="Q52" s="2428" t="e">
        <f ca="1">J59</f>
        <v>#VALUE!</v>
      </c>
      <c r="R52" s="2429"/>
    </row>
    <row r="53" spans="1:18" s="2061" customFormat="1" ht="18" customHeight="1" thickBot="1">
      <c r="A53" s="2098"/>
      <c r="F53" s="2087"/>
      <c r="I53" s="2387" t="s">
        <v>2425</v>
      </c>
      <c r="J53" s="2401"/>
      <c r="K53" s="2387" t="s">
        <v>2424</v>
      </c>
      <c r="L53" s="2401"/>
      <c r="O53" s="2427" t="s">
        <v>2390</v>
      </c>
      <c r="P53" s="2425" t="s">
        <v>2391</v>
      </c>
      <c r="Q53" s="2428">
        <f>J53</f>
        <v>0</v>
      </c>
      <c r="R53" s="2429"/>
    </row>
    <row r="54" spans="1:18" s="2061" customFormat="1" ht="43.5" thickBot="1">
      <c r="A54" s="2098"/>
      <c r="I54" s="2388" t="s">
        <v>2352</v>
      </c>
      <c r="J54" s="2402">
        <f ca="1">IF(M48="住宅",J52,IF(J52&gt;L49,L49-'数据-取费表'!B25,J52))</f>
        <v>0</v>
      </c>
      <c r="K54" s="3433"/>
      <c r="L54" s="3434"/>
      <c r="O54" s="2427" t="s">
        <v>2392</v>
      </c>
      <c r="P54" s="2425" t="s">
        <v>2393</v>
      </c>
      <c r="Q54" s="2426">
        <f ca="1">J54</f>
        <v>0</v>
      </c>
      <c r="R54" s="2425" t="s">
        <v>2394</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2395</v>
      </c>
      <c r="P55" s="2425" t="s">
        <v>2412</v>
      </c>
      <c r="Q55" s="2426">
        <f ca="1">Q49+Q50</f>
        <v>0</v>
      </c>
      <c r="R55" s="2429" t="s">
        <v>2396</v>
      </c>
    </row>
    <row r="56" spans="1:18" s="2061" customFormat="1" ht="16.5" thickBot="1">
      <c r="A56" s="2098"/>
      <c r="B56" s="2099"/>
      <c r="C56" s="2099"/>
      <c r="I56" s="3131" t="s">
        <v>2359</v>
      </c>
      <c r="J56" s="3155" t="e">
        <f ca="1">ROUND(IF(J48="钢混",J58/J51,1-(1-2%)*(J51-J58)/J51),3)</f>
        <v>#VALUE!</v>
      </c>
      <c r="K56" s="2403" t="s">
        <v>2360</v>
      </c>
      <c r="L56" s="2404"/>
      <c r="O56" s="2430" t="s">
        <v>2415</v>
      </c>
      <c r="P56" s="1593"/>
      <c r="Q56" s="1605"/>
      <c r="R56" s="1593"/>
    </row>
    <row r="57" spans="1:18" s="2061" customFormat="1" ht="43.5" thickBot="1">
      <c r="A57" s="2098"/>
      <c r="B57" s="2099"/>
      <c r="C57" s="2099"/>
      <c r="I57" s="2405" t="s">
        <v>2361</v>
      </c>
      <c r="J57" s="3154" t="s">
        <v>1679</v>
      </c>
      <c r="K57" s="2385" t="s">
        <v>2366</v>
      </c>
      <c r="L57" s="2394">
        <f ca="1">IF(L49&lt;J52,"——",L49-J52)</f>
        <v>0</v>
      </c>
      <c r="O57" s="2421" t="s">
        <v>2379</v>
      </c>
      <c r="P57" s="2422" t="s">
        <v>2380</v>
      </c>
      <c r="Q57" s="2423" t="s">
        <v>2381</v>
      </c>
      <c r="R57" s="2422" t="s">
        <v>2382</v>
      </c>
    </row>
    <row r="58" spans="1:18" s="2061" customFormat="1" ht="29.25" thickBot="1">
      <c r="A58" s="2098"/>
      <c r="B58" s="2099"/>
      <c r="C58" s="2099"/>
      <c r="I58" s="2406" t="s">
        <v>2362</v>
      </c>
      <c r="J58" s="2408" t="str">
        <f ca="1">IF(OR(M48="住宅",J52&lt;L49,J57="是"),"——",J52-L49)</f>
        <v>——</v>
      </c>
      <c r="K58" s="2385" t="s">
        <v>2367</v>
      </c>
      <c r="L58" s="2394">
        <f ca="1">IF(L49&lt;J52,"——",IF(L56="比较法",L50,IF(L56="基准地价",L51,L52)))</f>
        <v>0</v>
      </c>
      <c r="O58" s="2424" t="s">
        <v>2383</v>
      </c>
      <c r="P58" s="2425" t="s">
        <v>2409</v>
      </c>
      <c r="Q58" s="2426">
        <f ca="1">C41+J31</f>
        <v>0</v>
      </c>
      <c r="R58" s="2425" t="s">
        <v>2384</v>
      </c>
    </row>
    <row r="59" spans="1:18" s="2061" customFormat="1" ht="29.25" thickBot="1">
      <c r="A59" s="2098"/>
      <c r="B59" s="2099"/>
      <c r="C59" s="2099"/>
      <c r="I59" s="2406" t="s">
        <v>2363</v>
      </c>
      <c r="J59" s="3156" t="e">
        <f ca="1">IF(J56&lt;0.4,0.4,J56)</f>
        <v>#VALUE!</v>
      </c>
      <c r="K59" s="2385" t="s">
        <v>2368</v>
      </c>
      <c r="L59" s="2394">
        <f ca="1">IF(ISERROR(POWER(1+L53,L48-L49)*(POWER(1+L53,L49)-1)/(POWER(1+L53,L48)-1)),0,POWER(1+L53,L48-L49)*(POWER(1+L53,L49)-1)/(POWER(1+L53,L48)-1))</f>
        <v>0</v>
      </c>
      <c r="O59" s="2424" t="s">
        <v>2385</v>
      </c>
      <c r="P59" s="2425" t="s">
        <v>2416</v>
      </c>
      <c r="Q59" s="2426" t="e">
        <f ca="1">L61</f>
        <v>#DIV/0!</v>
      </c>
      <c r="R59" s="2429" t="s">
        <v>2418</v>
      </c>
    </row>
    <row r="60" spans="1:18" s="2061" customFormat="1" ht="29.25" thickBot="1">
      <c r="A60" s="2098"/>
      <c r="B60" s="2099"/>
      <c r="C60" s="2099"/>
      <c r="I60" s="2406" t="s">
        <v>2364</v>
      </c>
      <c r="J60" s="2408" t="str">
        <f ca="1">IF(OR(M48="住宅",J52&lt;L49,J57="是"),"——",ROUND(C30*J59,0))</f>
        <v>——</v>
      </c>
      <c r="K60" s="2385" t="s">
        <v>2369</v>
      </c>
      <c r="L60" s="2394">
        <f ca="1">IF(ISERROR(POWER(1+L53,L48-J52)*(POWER(1+L53,J52)-1)/(POWER(1+L53,L48)-1)),0,POWER(1+L53,L48-J52)*(POWER(1+L53,J52)-1)/(POWER(1+L53,L48)-1))</f>
        <v>0</v>
      </c>
      <c r="O60" s="2427" t="s">
        <v>2387</v>
      </c>
      <c r="P60" s="2425" t="s">
        <v>2417</v>
      </c>
      <c r="Q60" s="2426">
        <f>IF(L56="比较法",L50,IF(L56="基准地价",L51,0))</f>
        <v>0</v>
      </c>
      <c r="R60" s="2425" t="s">
        <v>2384</v>
      </c>
    </row>
    <row r="61" spans="1:18" s="2061" customFormat="1" ht="15.75" thickBot="1">
      <c r="A61" s="2098"/>
      <c r="B61" s="2099"/>
      <c r="C61" s="2099"/>
      <c r="I61" s="2407" t="s">
        <v>2365</v>
      </c>
      <c r="J61" s="2409" t="str">
        <f ca="1">IF(OR(M48="住宅",J52&lt;L49,J57="是"),"0",ROUND(J60/(1+J53)^J54,0))</f>
        <v>0</v>
      </c>
      <c r="K61" s="2410" t="s">
        <v>2370</v>
      </c>
      <c r="L61" s="2409" t="e">
        <f ca="1">IF(OR(M48="住宅",L49&lt;J52),0,ROUND(L58*(L59/L60-1),0))</f>
        <v>#DIV/0!</v>
      </c>
      <c r="O61" s="2427" t="s">
        <v>2388</v>
      </c>
      <c r="P61" s="2425" t="s">
        <v>2397</v>
      </c>
      <c r="Q61" s="2428">
        <f>L53</f>
        <v>0</v>
      </c>
      <c r="R61" s="2429"/>
    </row>
    <row r="62" spans="1:18" s="2061" customFormat="1" ht="20.25" thickBot="1">
      <c r="A62" s="2098"/>
      <c r="B62" s="2099"/>
      <c r="C62" s="2099"/>
      <c r="K62" s="2088"/>
      <c r="O62" s="2427" t="s">
        <v>2390</v>
      </c>
      <c r="P62" s="2425" t="s">
        <v>2398</v>
      </c>
      <c r="Q62" s="2426">
        <f ca="1">L59</f>
        <v>0</v>
      </c>
      <c r="R62" s="2429" t="s">
        <v>2399</v>
      </c>
    </row>
    <row r="63" spans="1:18" s="2061" customFormat="1" ht="20.25" thickBot="1">
      <c r="A63" s="2098"/>
      <c r="B63" s="2099"/>
      <c r="C63" s="2099"/>
      <c r="I63" s="2411" t="s">
        <v>2371</v>
      </c>
      <c r="J63" s="2412" t="s">
        <v>2372</v>
      </c>
      <c r="K63" s="2412" t="s">
        <v>2373</v>
      </c>
      <c r="L63" s="2412" t="s">
        <v>2354</v>
      </c>
      <c r="M63" s="3133" t="s">
        <v>2954</v>
      </c>
      <c r="O63" s="2427" t="s">
        <v>2392</v>
      </c>
      <c r="P63" s="2425" t="s">
        <v>2400</v>
      </c>
      <c r="Q63" s="2426">
        <f ca="1">L60</f>
        <v>0</v>
      </c>
      <c r="R63" s="2429" t="s">
        <v>2401</v>
      </c>
    </row>
    <row r="64" spans="1:18" s="2061" customFormat="1" ht="15.75" thickBot="1">
      <c r="A64" s="2098"/>
      <c r="B64" s="2099"/>
      <c r="C64" s="2099"/>
      <c r="I64" s="2411" t="s">
        <v>2374</v>
      </c>
      <c r="J64" s="2412">
        <v>70</v>
      </c>
      <c r="K64" s="2412">
        <v>50</v>
      </c>
      <c r="L64" s="2412">
        <v>80</v>
      </c>
      <c r="M64" s="3134">
        <v>0.02</v>
      </c>
      <c r="O64" s="2424" t="s">
        <v>2395</v>
      </c>
      <c r="P64" s="2425" t="s">
        <v>2412</v>
      </c>
      <c r="Q64" s="2426" t="e">
        <f ca="1">Q58+Q59</f>
        <v>#DIV/0!</v>
      </c>
      <c r="R64" s="2429" t="s">
        <v>2396</v>
      </c>
    </row>
    <row r="65" spans="1:18" s="2061" customFormat="1" ht="16.5" thickBot="1">
      <c r="A65" s="2098"/>
      <c r="B65" s="2099"/>
      <c r="C65" s="2099"/>
      <c r="I65" s="2411" t="s">
        <v>2375</v>
      </c>
      <c r="J65" s="2412">
        <v>50</v>
      </c>
      <c r="K65" s="2412">
        <v>35</v>
      </c>
      <c r="L65" s="2412">
        <v>60</v>
      </c>
      <c r="M65" s="3135">
        <v>0</v>
      </c>
      <c r="O65" s="2430" t="s">
        <v>2419</v>
      </c>
      <c r="P65" s="1593"/>
      <c r="Q65" s="1605"/>
      <c r="R65" s="1593"/>
    </row>
    <row r="66" spans="1:18" s="2061" customFormat="1" ht="15.75" thickBot="1">
      <c r="A66" s="2098"/>
      <c r="B66" s="2099"/>
      <c r="C66" s="2099"/>
      <c r="I66" s="2411" t="s">
        <v>2376</v>
      </c>
      <c r="J66" s="2412">
        <v>40</v>
      </c>
      <c r="K66" s="2412">
        <v>30</v>
      </c>
      <c r="L66" s="2412">
        <v>50</v>
      </c>
      <c r="M66" s="3134">
        <v>0.02</v>
      </c>
      <c r="O66" s="2421" t="s">
        <v>2379</v>
      </c>
      <c r="P66" s="2422" t="s">
        <v>2380</v>
      </c>
      <c r="Q66" s="2423" t="s">
        <v>2381</v>
      </c>
      <c r="R66" s="2422" t="s">
        <v>2382</v>
      </c>
    </row>
    <row r="67" spans="1:18" s="2061" customFormat="1" ht="15.75" thickBot="1">
      <c r="A67" s="2098"/>
      <c r="B67" s="2099"/>
      <c r="C67" s="2099"/>
      <c r="K67" s="2088"/>
      <c r="O67" s="2424" t="s">
        <v>2383</v>
      </c>
      <c r="P67" s="2425" t="s">
        <v>2409</v>
      </c>
      <c r="Q67" s="2426">
        <f ca="1">C41+J31</f>
        <v>0</v>
      </c>
      <c r="R67" s="2425" t="s">
        <v>2384</v>
      </c>
    </row>
    <row r="68" spans="1:18" s="2061" customFormat="1" ht="20.25" thickBot="1">
      <c r="A68" s="2098"/>
      <c r="B68" s="2099"/>
      <c r="C68" s="2099"/>
      <c r="K68" s="2088"/>
      <c r="O68" s="2424" t="s">
        <v>2385</v>
      </c>
      <c r="P68" s="2425" t="s">
        <v>2416</v>
      </c>
      <c r="Q68" s="2426" t="e">
        <f ca="1">L61</f>
        <v>#DIV/0!</v>
      </c>
      <c r="R68" s="2429" t="s">
        <v>2418</v>
      </c>
    </row>
    <row r="69" spans="1:18" s="2061" customFormat="1" ht="21.75" thickBot="1">
      <c r="A69" s="2098"/>
      <c r="B69" s="2099"/>
      <c r="C69" s="2099"/>
      <c r="K69" s="2088"/>
      <c r="O69" s="2427" t="s">
        <v>2387</v>
      </c>
      <c r="P69" s="2425" t="s">
        <v>2417</v>
      </c>
      <c r="Q69" s="2431">
        <f ca="1">L52</f>
        <v>0</v>
      </c>
      <c r="R69" s="2432" t="s">
        <v>2420</v>
      </c>
    </row>
    <row r="70" spans="1:18" s="2061" customFormat="1" ht="20.25" thickBot="1">
      <c r="A70" s="2098"/>
      <c r="B70" s="2099"/>
      <c r="C70" s="2099"/>
      <c r="K70" s="2088"/>
      <c r="O70" s="2427" t="s">
        <v>2388</v>
      </c>
      <c r="P70" s="2433" t="s">
        <v>2402</v>
      </c>
      <c r="Q70" s="2426">
        <f ca="1">ROUND(Q71-Q72*Q73,0)</f>
        <v>0</v>
      </c>
      <c r="R70" s="2429"/>
    </row>
    <row r="71" spans="1:18" s="2061" customFormat="1" ht="15.75" thickBot="1">
      <c r="A71" s="2098"/>
      <c r="B71" s="2099"/>
      <c r="C71" s="2099"/>
      <c r="K71" s="2088"/>
      <c r="O71" s="2427" t="s">
        <v>2403</v>
      </c>
      <c r="P71" s="2433" t="s">
        <v>2404</v>
      </c>
      <c r="Q71" s="2426">
        <f ca="1">C42</f>
        <v>0</v>
      </c>
      <c r="R71" s="2425" t="s">
        <v>2384</v>
      </c>
    </row>
    <row r="72" spans="1:18" s="2061" customFormat="1" ht="15.75" thickBot="1">
      <c r="A72" s="2098"/>
      <c r="B72" s="2099"/>
      <c r="C72" s="2099"/>
      <c r="K72" s="2088"/>
      <c r="O72" s="2427" t="s">
        <v>2405</v>
      </c>
      <c r="P72" s="2433" t="s">
        <v>2406</v>
      </c>
      <c r="Q72" s="2426">
        <f ca="1">C15</f>
        <v>0</v>
      </c>
      <c r="R72" s="2425" t="s">
        <v>2384</v>
      </c>
    </row>
    <row r="73" spans="1:18" s="2061" customFormat="1" ht="15.75" thickBot="1">
      <c r="A73" s="2098"/>
      <c r="B73" s="2099"/>
      <c r="C73" s="2099"/>
      <c r="K73" s="2088"/>
      <c r="O73" s="2427" t="s">
        <v>2407</v>
      </c>
      <c r="P73" s="2433" t="s">
        <v>2408</v>
      </c>
      <c r="Q73" s="2428">
        <f ca="1">F43</f>
        <v>0</v>
      </c>
      <c r="R73" s="2429"/>
    </row>
    <row r="74" spans="1:18" s="2061" customFormat="1" ht="15.75" thickBot="1">
      <c r="A74" s="2098"/>
      <c r="B74" s="2099"/>
      <c r="C74" s="2099"/>
      <c r="K74" s="2088"/>
      <c r="O74" s="2427" t="s">
        <v>2390</v>
      </c>
      <c r="P74" s="2425" t="s">
        <v>2397</v>
      </c>
      <c r="Q74" s="2428">
        <f>L53</f>
        <v>0</v>
      </c>
      <c r="R74" s="2429"/>
    </row>
    <row r="75" spans="1:18" s="2061" customFormat="1" ht="20.25" thickBot="1">
      <c r="A75" s="2098"/>
      <c r="B75" s="2099"/>
      <c r="C75" s="2099"/>
      <c r="K75" s="2088"/>
      <c r="O75" s="2427" t="s">
        <v>2392</v>
      </c>
      <c r="P75" s="2425" t="s">
        <v>2398</v>
      </c>
      <c r="Q75" s="2426">
        <f ca="1">L59</f>
        <v>0</v>
      </c>
      <c r="R75" s="2429" t="s">
        <v>2399</v>
      </c>
    </row>
    <row r="76" spans="1:18" s="2061" customFormat="1" ht="20.25" thickBot="1">
      <c r="A76" s="2098"/>
      <c r="B76" s="2099"/>
      <c r="C76" s="2099"/>
      <c r="K76" s="2088"/>
      <c r="O76" s="2427" t="s">
        <v>2421</v>
      </c>
      <c r="P76" s="2425" t="s">
        <v>2400</v>
      </c>
      <c r="Q76" s="2426">
        <f ca="1">L60</f>
        <v>0</v>
      </c>
      <c r="R76" s="2429" t="s">
        <v>2401</v>
      </c>
    </row>
    <row r="77" spans="1:18" s="2061" customFormat="1" ht="15.75" thickBot="1">
      <c r="A77" s="2098"/>
      <c r="B77" s="2099"/>
      <c r="C77" s="2099"/>
      <c r="K77" s="2088"/>
      <c r="O77" s="2424" t="s">
        <v>2395</v>
      </c>
      <c r="P77" s="2425" t="s">
        <v>2412</v>
      </c>
      <c r="Q77" s="2426" t="e">
        <f ca="1">Q67+Q68</f>
        <v>#DIV/0!</v>
      </c>
      <c r="R77" s="2429" t="s">
        <v>2396</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受贵公司委托，我公司对郑州市荥阳市出让国有建设用地使用权抵押价格进行了预评估。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郑州市荥阳市出让国有建设用地使用权。根据《国有土地使用证》[]，估价对象（分摊）出让国有建设用地使用权面积为666666.7平方米。根据《建设工程规划许可证》[]、《出让合同》[]，估价对象规划建筑面积为1845613.34平方米。</v>
      </c>
    </row>
    <row r="7" spans="1:4" ht="56.25">
      <c r="A7" s="1797" t="s">
        <v>2755</v>
      </c>
    </row>
    <row r="8" spans="1:4" ht="18.75">
      <c r="A8" s="1796" t="s">
        <v>1907</v>
      </c>
    </row>
    <row r="9" spans="1:4" ht="75">
      <c r="A9" s="1798" t="str">
        <f>IF(项目基本情况!B8="抵押",IF(项目基本情况!B5=项目基本情况!B6,定义!C51,定义!B51),定义!D51)</f>
        <v>拟使用郑州市荥阳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2017年12月8日（评估专业人员勘察现场之日）</v>
      </c>
    </row>
    <row r="12" spans="1:4" ht="18.75">
      <c r="A12" s="1799" t="s">
        <v>2028</v>
      </c>
    </row>
    <row r="13" spans="1:4" ht="18.75">
      <c r="A13" s="1793" t="s">
        <v>2953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根据《国有土地使用证》[]，估价对象（分摊）出让国有建设用地使用权面积为666666.7平方米。根据《建设工程规划许可证》[]、《出让合同》[]，估价对象规划建筑面积为1845613.34平方米。</v>
      </c>
    </row>
    <row r="21" spans="1:1" ht="18.75">
      <c r="A21" s="1793" t="s">
        <v>2077</v>
      </c>
    </row>
    <row r="22" spans="1:1" ht="11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13日、地上商业2057年9月13日地下车库2067年9月13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2017年12月8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437" t="s">
        <v>2582</v>
      </c>
      <c r="C1" s="3437"/>
      <c r="D1" s="3437"/>
      <c r="E1" s="3437"/>
      <c r="F1" s="3437"/>
      <c r="G1" s="3436" t="s">
        <v>2583</v>
      </c>
      <c r="H1" s="3436"/>
      <c r="I1" s="3436"/>
      <c r="J1" s="3436"/>
      <c r="K1" s="3436"/>
      <c r="L1" s="3436"/>
      <c r="N1" s="3436" t="s">
        <v>2584</v>
      </c>
      <c r="O1" s="3436"/>
      <c r="P1" s="3436"/>
      <c r="Q1" s="3436"/>
      <c r="R1" s="2681"/>
      <c r="S1" s="3436" t="s">
        <v>2585</v>
      </c>
      <c r="T1" s="3436"/>
      <c r="U1" s="3436"/>
      <c r="V1" s="3436"/>
      <c r="X1" s="3435" t="s">
        <v>2646</v>
      </c>
      <c r="Y1" s="3436"/>
      <c r="Z1" s="3436"/>
      <c r="AA1" s="3436"/>
      <c r="AB1" s="3436"/>
      <c r="AD1" s="3435" t="s">
        <v>2651</v>
      </c>
      <c r="AE1" s="3436"/>
      <c r="AF1" s="3436"/>
      <c r="AG1" s="3436"/>
      <c r="AH1" s="3436"/>
    </row>
    <row r="2" spans="1:34" s="2783" customFormat="1" ht="14.25" thickBot="1">
      <c r="B2" s="2792" t="s">
        <v>2586</v>
      </c>
      <c r="C2" s="2792" t="s">
        <v>2649</v>
      </c>
      <c r="D2" s="2784" t="s">
        <v>1645</v>
      </c>
      <c r="E2" s="2784" t="s">
        <v>1952</v>
      </c>
      <c r="F2" s="2792" t="s">
        <v>2650</v>
      </c>
      <c r="G2" s="2787"/>
      <c r="H2" s="2786"/>
      <c r="I2" s="2792" t="s">
        <v>2969</v>
      </c>
      <c r="J2" s="2784" t="s">
        <v>2971</v>
      </c>
      <c r="K2" s="2784" t="s">
        <v>2972</v>
      </c>
      <c r="L2" s="2792" t="s">
        <v>2973</v>
      </c>
      <c r="N2" s="2792" t="s">
        <v>2586</v>
      </c>
      <c r="O2" s="2784" t="s">
        <v>2970</v>
      </c>
      <c r="P2" s="2784" t="s">
        <v>1952</v>
      </c>
      <c r="Q2" s="2792" t="s">
        <v>2650</v>
      </c>
      <c r="R2" s="2785"/>
      <c r="S2" s="2792" t="s">
        <v>2586</v>
      </c>
      <c r="T2" s="2784" t="s">
        <v>2970</v>
      </c>
      <c r="U2" s="2784" t="s">
        <v>1952</v>
      </c>
      <c r="V2" s="2792" t="s">
        <v>2650</v>
      </c>
      <c r="X2" s="2792" t="s">
        <v>2586</v>
      </c>
      <c r="Y2" s="2792" t="s">
        <v>2649</v>
      </c>
      <c r="Z2" s="2784" t="s">
        <v>1645</v>
      </c>
      <c r="AA2" s="2784" t="s">
        <v>1952</v>
      </c>
      <c r="AB2" s="2792" t="s">
        <v>2650</v>
      </c>
      <c r="AD2" s="2792" t="s">
        <v>2586</v>
      </c>
      <c r="AE2" s="2792" t="s">
        <v>2649</v>
      </c>
      <c r="AF2" s="2784" t="s">
        <v>1645</v>
      </c>
      <c r="AG2" s="2784" t="s">
        <v>1952</v>
      </c>
      <c r="AH2" s="2792" t="s">
        <v>2650</v>
      </c>
    </row>
    <row r="3" spans="1:34" s="2776" customFormat="1" ht="14.25">
      <c r="B3" s="2777"/>
      <c r="C3" s="2777"/>
      <c r="D3" s="2778"/>
      <c r="E3" s="2778"/>
      <c r="F3" s="2777"/>
      <c r="G3" s="2782"/>
      <c r="H3" s="2779"/>
      <c r="I3" s="3165"/>
      <c r="J3" s="3165"/>
      <c r="K3" s="3165"/>
      <c r="L3" s="3165"/>
      <c r="N3" s="2782"/>
      <c r="O3" s="2780"/>
      <c r="P3" s="2780"/>
      <c r="Q3" s="2780"/>
      <c r="R3" s="2780"/>
      <c r="S3" s="2782"/>
      <c r="T3" s="2780"/>
      <c r="U3" s="2780"/>
      <c r="V3" s="2780"/>
      <c r="X3" s="2781">
        <f>ROUND(SUMPRODUCT(PRODUCT(1+N3:N$19)),4)</f>
        <v>1.4742</v>
      </c>
      <c r="Y3" s="2781">
        <f>ROUND(SUMPRODUCT(PRODUCT(1+O3:O$19)),4)</f>
        <v>1.2875000000000001</v>
      </c>
      <c r="Z3" s="2781">
        <f t="shared" ref="Z3:Z17" si="0">Y3</f>
        <v>1.2875000000000001</v>
      </c>
      <c r="AA3" s="2781">
        <f>ROUND(SUMPRODUCT(PRODUCT(1+P3:P$19)),4)</f>
        <v>1.5399</v>
      </c>
      <c r="AB3" s="2781">
        <f>ROUND(SUMPRODUCT(PRODUCT(1+Q3:Q$19)),4)</f>
        <v>1.2475000000000001</v>
      </c>
      <c r="AD3" s="2701">
        <f>ROUND(AVERAGE(I3:I$20)/100,4)</f>
        <v>2.4899999999999999E-2</v>
      </c>
      <c r="AE3" s="2701">
        <f>ROUND(AVERAGE(J3:J$20)/100,4)</f>
        <v>1.6400000000000001E-2</v>
      </c>
      <c r="AF3" s="2701">
        <f t="shared" ref="AF3:AF18" si="1">AE3</f>
        <v>1.6400000000000001E-2</v>
      </c>
      <c r="AG3" s="2701">
        <f>ROUND(AVERAGE(K3:K$20)/100,4)</f>
        <v>2.7799999999999998E-2</v>
      </c>
      <c r="AH3" s="2701">
        <f>ROUND(AVERAGE(L3:L$20)/100,4)</f>
        <v>1.3899999999999999E-2</v>
      </c>
    </row>
    <row r="4" spans="1:34" s="2776" customFormat="1" ht="13.5" thickBot="1">
      <c r="A4" s="2682" t="s">
        <v>2981</v>
      </c>
      <c r="B4" s="2696">
        <f>B5*(1+N4)</f>
        <v>453.57903691012211</v>
      </c>
      <c r="C4" s="2696">
        <f t="shared" ref="C4" si="2">C5*(1+O4)</f>
        <v>331.18001284964259</v>
      </c>
      <c r="D4" s="2696">
        <f t="shared" ref="D4:D9" si="3">C4</f>
        <v>331.18001284964259</v>
      </c>
      <c r="E4" s="2696">
        <f t="shared" ref="E4" si="4">E5*(1+P4)</f>
        <v>650.68458238034486</v>
      </c>
      <c r="F4" s="2696">
        <f t="shared" ref="F4" si="5">F5*(1+Q4)</f>
        <v>287.29097305893981</v>
      </c>
      <c r="G4" s="2782">
        <v>2018</v>
      </c>
      <c r="H4" s="2779">
        <v>1</v>
      </c>
      <c r="I4" s="3165">
        <f>ROUND(AVERAGE(I5:I20),2)</f>
        <v>2.4900000000000002</v>
      </c>
      <c r="J4" s="3165">
        <f t="shared" ref="J4:L4" si="6">ROUND(AVERAGE(J5:J20),2)</f>
        <v>1.64</v>
      </c>
      <c r="K4" s="3165">
        <f t="shared" si="6"/>
        <v>2.78</v>
      </c>
      <c r="L4" s="3165">
        <f t="shared" si="6"/>
        <v>1.39</v>
      </c>
      <c r="N4" s="3163">
        <f t="shared" ref="N4:N9" si="7">I4/100</f>
        <v>2.4900000000000002E-2</v>
      </c>
      <c r="O4" s="3164">
        <f t="shared" ref="O4" si="8">J4/100</f>
        <v>1.6399999999999998E-2</v>
      </c>
      <c r="P4" s="3164">
        <f t="shared" ref="P4" si="9">K4/100</f>
        <v>2.7799999999999998E-2</v>
      </c>
      <c r="Q4" s="3164">
        <f t="shared" ref="Q4" si="10">L4/100</f>
        <v>1.3899999999999999E-2</v>
      </c>
      <c r="R4" s="2780"/>
      <c r="S4" s="2782"/>
      <c r="T4" s="2780"/>
      <c r="U4" s="2780"/>
      <c r="V4" s="2780"/>
      <c r="X4" s="2781"/>
      <c r="Y4" s="2781"/>
      <c r="Z4" s="2781"/>
      <c r="AA4" s="2781"/>
      <c r="AB4" s="2781"/>
      <c r="AD4" s="2701"/>
      <c r="AE4" s="2701"/>
      <c r="AF4" s="2701"/>
      <c r="AG4" s="2701"/>
      <c r="AH4" s="2701"/>
    </row>
    <row r="5" spans="1:34" s="3148" customFormat="1">
      <c r="A5" s="3146" t="s">
        <v>2980</v>
      </c>
      <c r="B5" s="2823">
        <f t="shared" ref="B5" si="11">B6*(1+N5)</f>
        <v>442.55931008890832</v>
      </c>
      <c r="C5" s="2823">
        <f t="shared" ref="C5" si="12">C6*(1+O5)</f>
        <v>325.83629756950273</v>
      </c>
      <c r="D5" s="2823">
        <f t="shared" si="3"/>
        <v>325.83629756950273</v>
      </c>
      <c r="E5" s="2823">
        <f t="shared" ref="E5" si="13">E6*(1+P5)</f>
        <v>633.08482426575677</v>
      </c>
      <c r="F5" s="2823">
        <f t="shared" ref="F5" si="14">F6*(1+Q5)</f>
        <v>283.35237504580311</v>
      </c>
      <c r="G5" s="3444">
        <v>2017</v>
      </c>
      <c r="H5" s="3147">
        <v>4</v>
      </c>
      <c r="I5" s="3166">
        <f>ROUND(AVERAGE(I6:I20),2)</f>
        <v>2.4900000000000002</v>
      </c>
      <c r="J5" s="3166">
        <f>ROUND(AVERAGE(J6:J20),2)</f>
        <v>1.64</v>
      </c>
      <c r="K5" s="3166">
        <f>ROUND(AVERAGE(K6:K20),2)</f>
        <v>2.78</v>
      </c>
      <c r="L5" s="3166">
        <f>ROUND(AVERAGE(L6:L20),2)</f>
        <v>1.39</v>
      </c>
      <c r="N5" s="2789">
        <f t="shared" si="7"/>
        <v>2.4900000000000002E-2</v>
      </c>
      <c r="O5" s="2789">
        <f t="shared" ref="O5" si="15">J5/100</f>
        <v>1.6399999999999998E-2</v>
      </c>
      <c r="P5" s="2789">
        <f t="shared" ref="P5" si="16">K5/100</f>
        <v>2.7799999999999998E-2</v>
      </c>
      <c r="Q5" s="2789">
        <f t="shared" ref="Q5" si="17">L5/100</f>
        <v>1.3899999999999999E-2</v>
      </c>
      <c r="R5" s="3149"/>
      <c r="S5" s="3150"/>
      <c r="T5" s="3149"/>
      <c r="U5" s="3149"/>
      <c r="V5" s="3149"/>
      <c r="W5" s="2790" t="s">
        <v>2647</v>
      </c>
      <c r="X5" s="3151">
        <f>ROUND(SUMPRODUCT(PRODUCT(1+N5:N$19)),4)</f>
        <v>1.4383999999999999</v>
      </c>
      <c r="Y5" s="3151">
        <f>ROUND(SUMPRODUCT(PRODUCT(1+O5:O$19)),4)</f>
        <v>1.2667999999999999</v>
      </c>
      <c r="Z5" s="3151">
        <f t="shared" si="0"/>
        <v>1.2667999999999999</v>
      </c>
      <c r="AA5" s="3151">
        <f>ROUND(SUMPRODUCT(PRODUCT(1+P5:P$19)),4)</f>
        <v>1.4982</v>
      </c>
      <c r="AB5" s="3151">
        <f>ROUND(SUMPRODUCT(PRODUCT(1+Q5:Q$19)),4)</f>
        <v>1.2303999999999999</v>
      </c>
      <c r="AD5" s="3152">
        <f>ROUND(AVERAGE(I5:I$20)/100,4)</f>
        <v>2.4899999999999999E-2</v>
      </c>
      <c r="AE5" s="3152">
        <f>ROUND(AVERAGE(J5:J$20)/100,4)</f>
        <v>1.6400000000000001E-2</v>
      </c>
      <c r="AF5" s="3152">
        <f t="shared" si="1"/>
        <v>1.6400000000000001E-2</v>
      </c>
      <c r="AG5" s="3152">
        <f>ROUND(AVERAGE(K5:K$20)/100,4)</f>
        <v>2.7799999999999998E-2</v>
      </c>
      <c r="AH5" s="3152">
        <f>ROUND(AVERAGE(L5:L$20)/100,4)</f>
        <v>1.3899999999999999E-2</v>
      </c>
    </row>
    <row r="6" spans="1:34" s="3148" customFormat="1">
      <c r="A6" s="2682" t="s">
        <v>2587</v>
      </c>
      <c r="B6" s="2696">
        <f t="shared" ref="B6:C8" si="18">B7*(1+N6)</f>
        <v>431.80730811680002</v>
      </c>
      <c r="C6" s="2696">
        <f t="shared" si="18"/>
        <v>320.57880516480003</v>
      </c>
      <c r="D6" s="2696">
        <f t="shared" si="3"/>
        <v>320.57880516480003</v>
      </c>
      <c r="E6" s="2696">
        <f t="shared" ref="E6:F8" si="19">E7*(1+P6)</f>
        <v>615.96110553196797</v>
      </c>
      <c r="F6" s="2696">
        <f t="shared" si="19"/>
        <v>279.46777300108801</v>
      </c>
      <c r="G6" s="3439"/>
      <c r="H6" s="2686">
        <v>3</v>
      </c>
      <c r="I6" s="2686">
        <v>2.98</v>
      </c>
      <c r="J6" s="2686">
        <v>2.11</v>
      </c>
      <c r="K6" s="2686">
        <v>3.24</v>
      </c>
      <c r="L6" s="2697">
        <v>1.72</v>
      </c>
      <c r="N6" s="2691">
        <f t="shared" si="7"/>
        <v>2.98E-2</v>
      </c>
      <c r="O6" s="2692">
        <f t="shared" ref="O6:O7" si="20">J6/100</f>
        <v>2.1099999999999997E-2</v>
      </c>
      <c r="P6" s="2692">
        <f t="shared" ref="P6:P7" si="21">K6/100</f>
        <v>3.2400000000000005E-2</v>
      </c>
      <c r="Q6" s="2692">
        <f t="shared" ref="Q6:Q7" si="22">L6/100</f>
        <v>1.72E-2</v>
      </c>
      <c r="R6" s="3149"/>
      <c r="S6" s="2685"/>
      <c r="T6" s="3162"/>
      <c r="U6" s="3162"/>
      <c r="V6" s="3162"/>
      <c r="W6" s="2680"/>
      <c r="X6" s="2781">
        <f>ROUND(SUMPRODUCT(PRODUCT(1+N6:N$19)),4)</f>
        <v>1.4034</v>
      </c>
      <c r="Y6" s="2781">
        <f>ROUND(SUMPRODUCT(PRODUCT(1+O6:O$19)),4)</f>
        <v>1.2463</v>
      </c>
      <c r="Z6" s="2781">
        <f t="shared" si="0"/>
        <v>1.2463</v>
      </c>
      <c r="AA6" s="2781">
        <f>ROUND(SUMPRODUCT(PRODUCT(1+P6:P$19)),4)</f>
        <v>1.4577</v>
      </c>
      <c r="AB6" s="2781">
        <f>ROUND(SUMPRODUCT(PRODUCT(1+Q6:Q$19)),4)</f>
        <v>1.2136</v>
      </c>
      <c r="AC6" s="2680"/>
      <c r="AD6" s="2701">
        <f>ROUND(AVERAGE(I6:I$20)/100,4)</f>
        <v>2.4899999999999999E-2</v>
      </c>
      <c r="AE6" s="2701">
        <f>ROUND(AVERAGE(J6:J$20)/100,4)</f>
        <v>1.6400000000000001E-2</v>
      </c>
      <c r="AF6" s="2701">
        <f t="shared" si="1"/>
        <v>1.6400000000000001E-2</v>
      </c>
      <c r="AG6" s="2701">
        <f>ROUND(AVERAGE(K6:K$20)/100,4)</f>
        <v>2.7799999999999998E-2</v>
      </c>
      <c r="AH6" s="2701">
        <f>ROUND(AVERAGE(L6:L$20)/100,4)</f>
        <v>1.3899999999999999E-2</v>
      </c>
    </row>
    <row r="7" spans="1:34" s="2680" customFormat="1">
      <c r="A7" s="2682" t="s">
        <v>2588</v>
      </c>
      <c r="B7" s="2696">
        <f t="shared" si="18"/>
        <v>419.31181600000002</v>
      </c>
      <c r="C7" s="2696">
        <f t="shared" si="18"/>
        <v>313.95436800000004</v>
      </c>
      <c r="D7" s="2696">
        <f t="shared" si="3"/>
        <v>313.95436800000004</v>
      </c>
      <c r="E7" s="2696">
        <f t="shared" si="19"/>
        <v>596.63028431999999</v>
      </c>
      <c r="F7" s="2696">
        <f t="shared" si="19"/>
        <v>274.74220703999998</v>
      </c>
      <c r="G7" s="3439"/>
      <c r="H7" s="2687">
        <v>2</v>
      </c>
      <c r="I7" s="2687">
        <v>3.4</v>
      </c>
      <c r="J7" s="2687">
        <v>2</v>
      </c>
      <c r="K7" s="2687">
        <v>3.82</v>
      </c>
      <c r="L7" s="2698">
        <v>1.68</v>
      </c>
      <c r="N7" s="2691">
        <f t="shared" si="7"/>
        <v>3.4000000000000002E-2</v>
      </c>
      <c r="O7" s="2692">
        <f t="shared" si="20"/>
        <v>0.02</v>
      </c>
      <c r="P7" s="2692">
        <f t="shared" si="21"/>
        <v>3.8199999999999998E-2</v>
      </c>
      <c r="Q7" s="2692">
        <f t="shared" si="22"/>
        <v>1.6799999999999999E-2</v>
      </c>
      <c r="R7" s="2681"/>
      <c r="S7" s="2685"/>
      <c r="T7" s="2681"/>
      <c r="U7" s="2681"/>
      <c r="V7" s="2681"/>
      <c r="X7" s="2781">
        <f>ROUND(SUMPRODUCT(PRODUCT(1+N7:N$19)),4)</f>
        <v>1.3628</v>
      </c>
      <c r="Y7" s="2781">
        <f>ROUND(SUMPRODUCT(PRODUCT(1+O7:O$19)),4)</f>
        <v>1.2205999999999999</v>
      </c>
      <c r="Z7" s="2781">
        <f t="shared" si="0"/>
        <v>1.2205999999999999</v>
      </c>
      <c r="AA7" s="2781">
        <f>ROUND(SUMPRODUCT(PRODUCT(1+P7:P$19)),4)</f>
        <v>1.4118999999999999</v>
      </c>
      <c r="AB7" s="2781">
        <f>ROUND(SUMPRODUCT(PRODUCT(1+Q7:Q$19)),4)</f>
        <v>1.1930000000000001</v>
      </c>
      <c r="AD7" s="2701">
        <f>ROUND(AVERAGE(I7:I$20)/100,4)</f>
        <v>2.46E-2</v>
      </c>
      <c r="AE7" s="2701">
        <f>ROUND(AVERAGE(J7:J$20)/100,4)</f>
        <v>1.6E-2</v>
      </c>
      <c r="AF7" s="2701">
        <f t="shared" si="1"/>
        <v>1.6E-2</v>
      </c>
      <c r="AG7" s="2701">
        <f>ROUND(AVERAGE(K7:K$20)/100,4)</f>
        <v>2.75E-2</v>
      </c>
      <c r="AH7" s="2701">
        <f>ROUND(AVERAGE(L7:L$20)/100,4)</f>
        <v>1.37E-2</v>
      </c>
    </row>
    <row r="8" spans="1:34" s="2788" customFormat="1" ht="13.5" thickBot="1">
      <c r="A8" s="2682" t="s">
        <v>2589</v>
      </c>
      <c r="B8" s="2696">
        <f t="shared" si="18"/>
        <v>405.524</v>
      </c>
      <c r="C8" s="2696">
        <f t="shared" si="18"/>
        <v>307.79840000000002</v>
      </c>
      <c r="D8" s="2696">
        <f t="shared" si="3"/>
        <v>307.79840000000002</v>
      </c>
      <c r="E8" s="2696">
        <f t="shared" si="19"/>
        <v>574.67759999999998</v>
      </c>
      <c r="F8" s="2696">
        <f t="shared" si="19"/>
        <v>270.20280000000002</v>
      </c>
      <c r="G8" s="3440"/>
      <c r="H8" s="2686">
        <v>1</v>
      </c>
      <c r="I8" s="2686">
        <v>3.45</v>
      </c>
      <c r="J8" s="2686">
        <v>1.92</v>
      </c>
      <c r="K8" s="2686">
        <v>3.92</v>
      </c>
      <c r="L8" s="2697">
        <v>1.58</v>
      </c>
      <c r="M8" s="2690"/>
      <c r="N8" s="2691">
        <f t="shared" si="7"/>
        <v>3.4500000000000003E-2</v>
      </c>
      <c r="O8" s="2692">
        <f t="shared" ref="O8" si="23">J8/100</f>
        <v>1.9199999999999998E-2</v>
      </c>
      <c r="P8" s="2692">
        <f t="shared" ref="P8" si="24">K8/100</f>
        <v>3.9199999999999999E-2</v>
      </c>
      <c r="Q8" s="2692">
        <f t="shared" ref="Q8" si="25">L8/100</f>
        <v>1.5800000000000002E-2</v>
      </c>
      <c r="R8" s="2693"/>
      <c r="S8" s="2699">
        <f>B8/B9-1</f>
        <v>3.4499999999999975E-2</v>
      </c>
      <c r="T8" s="2700">
        <f>C8/C9-1</f>
        <v>1.9200000000000106E-2</v>
      </c>
      <c r="U8" s="2700">
        <f>E8/E9-1</f>
        <v>3.9199999999999902E-2</v>
      </c>
      <c r="V8" s="2700">
        <f>F8/F9-1</f>
        <v>1.5800000000000036E-2</v>
      </c>
      <c r="W8" s="2690"/>
      <c r="X8" s="2781">
        <f>ROUND(SUMPRODUCT(PRODUCT(1+N8:N$19)),4)</f>
        <v>1.3180000000000001</v>
      </c>
      <c r="Y8" s="2781">
        <f>ROUND(SUMPRODUCT(PRODUCT(1+O8:O$19)),4)</f>
        <v>1.1966000000000001</v>
      </c>
      <c r="Z8" s="2781">
        <f t="shared" si="0"/>
        <v>1.1966000000000001</v>
      </c>
      <c r="AA8" s="2781">
        <f>ROUND(SUMPRODUCT(PRODUCT(1+P8:P$19)),4)</f>
        <v>1.36</v>
      </c>
      <c r="AB8" s="2781">
        <f>ROUND(SUMPRODUCT(PRODUCT(1+Q8:Q$19)),4)</f>
        <v>1.1733</v>
      </c>
      <c r="AC8" s="2690"/>
      <c r="AD8" s="2701">
        <f>ROUND(AVERAGE(I8:I$20)/100,4)</f>
        <v>2.3900000000000001E-2</v>
      </c>
      <c r="AE8" s="2701">
        <f>ROUND(AVERAGE(J8:J$20)/100,4)</f>
        <v>1.5699999999999999E-2</v>
      </c>
      <c r="AF8" s="2701">
        <f t="shared" si="1"/>
        <v>1.5699999999999999E-2</v>
      </c>
      <c r="AG8" s="2701">
        <f>ROUND(AVERAGE(K8:K$20)/100,4)</f>
        <v>2.6599999999999999E-2</v>
      </c>
      <c r="AH8" s="2701">
        <f>ROUND(AVERAGE(L8:L$20)/100,4)</f>
        <v>1.34E-2</v>
      </c>
    </row>
    <row r="9" spans="1:34">
      <c r="A9" s="2682" t="s">
        <v>971</v>
      </c>
      <c r="B9" s="2688">
        <v>392</v>
      </c>
      <c r="C9" s="2688">
        <v>302</v>
      </c>
      <c r="D9" s="2688">
        <f t="shared" si="3"/>
        <v>302</v>
      </c>
      <c r="E9" s="2688">
        <v>553</v>
      </c>
      <c r="F9" s="2689">
        <v>266</v>
      </c>
      <c r="G9" s="3444">
        <v>2016</v>
      </c>
      <c r="H9" s="2683">
        <v>4</v>
      </c>
      <c r="I9" s="2683">
        <v>4.5599999999999996</v>
      </c>
      <c r="J9" s="2683">
        <v>2.15</v>
      </c>
      <c r="K9" s="2683">
        <v>5.32</v>
      </c>
      <c r="L9" s="2684">
        <v>1.57</v>
      </c>
      <c r="N9" s="2691">
        <f t="shared" si="7"/>
        <v>4.5599999999999995E-2</v>
      </c>
      <c r="O9" s="2692">
        <f t="shared" ref="O9:Q24" si="26">J9/100</f>
        <v>2.1499999999999998E-2</v>
      </c>
      <c r="P9" s="2692">
        <f t="shared" si="26"/>
        <v>5.3200000000000004E-2</v>
      </c>
      <c r="Q9" s="2692">
        <f t="shared" si="26"/>
        <v>1.5700000000000002E-2</v>
      </c>
      <c r="R9" s="2693"/>
      <c r="S9" s="2694"/>
      <c r="T9" s="2695"/>
      <c r="U9" s="2695"/>
      <c r="V9" s="2695"/>
      <c r="X9" s="2781">
        <f>ROUND(SUMPRODUCT(PRODUCT(1+N9:N$19)),4)</f>
        <v>1.274</v>
      </c>
      <c r="Y9" s="2781">
        <f>ROUND(SUMPRODUCT(PRODUCT(1+O9:O$19)),4)</f>
        <v>1.1740999999999999</v>
      </c>
      <c r="Z9" s="2781">
        <f t="shared" si="0"/>
        <v>1.1740999999999999</v>
      </c>
      <c r="AA9" s="2781">
        <f>ROUND(SUMPRODUCT(PRODUCT(1+P9:P$19)),4)</f>
        <v>1.3087</v>
      </c>
      <c r="AB9" s="2781">
        <f>ROUND(SUMPRODUCT(PRODUCT(1+Q9:Q$19)),4)</f>
        <v>1.1551</v>
      </c>
      <c r="AD9" s="2701">
        <f>ROUND(AVERAGE(I9:I$20)/100,4)</f>
        <v>2.3E-2</v>
      </c>
      <c r="AE9" s="2701">
        <f>ROUND(AVERAGE(J9:J$20)/100,4)</f>
        <v>1.55E-2</v>
      </c>
      <c r="AF9" s="2701">
        <f t="shared" si="1"/>
        <v>1.55E-2</v>
      </c>
      <c r="AG9" s="2701">
        <f>ROUND(AVERAGE(K9:K$20)/100,4)</f>
        <v>2.5600000000000001E-2</v>
      </c>
      <c r="AH9" s="2701">
        <f>ROUND(AVERAGE(L9:L$20)/100,4)</f>
        <v>1.32E-2</v>
      </c>
    </row>
    <row r="10" spans="1:34">
      <c r="A10" s="2682" t="s">
        <v>970</v>
      </c>
      <c r="B10" s="2696">
        <f t="shared" ref="B10:C12" si="27">B9/(1+N9)</f>
        <v>374.90436113236416</v>
      </c>
      <c r="C10" s="2696">
        <f t="shared" si="27"/>
        <v>295.64366128242779</v>
      </c>
      <c r="D10" s="2696">
        <f t="shared" ref="D10:D69" si="28">C10</f>
        <v>295.64366128242779</v>
      </c>
      <c r="E10" s="2696">
        <f t="shared" ref="E10:F12" si="29">E9/(1+P9)</f>
        <v>525.06646410938095</v>
      </c>
      <c r="F10" s="2696">
        <f t="shared" si="29"/>
        <v>261.88835286009646</v>
      </c>
      <c r="G10" s="3439"/>
      <c r="H10" s="2686">
        <v>3</v>
      </c>
      <c r="I10" s="2686">
        <v>4.12</v>
      </c>
      <c r="J10" s="2686">
        <v>2</v>
      </c>
      <c r="K10" s="2686">
        <v>4.79</v>
      </c>
      <c r="L10" s="2697">
        <v>1.97</v>
      </c>
      <c r="N10" s="2691">
        <f t="shared" ref="N10:Q44" si="30">I10/100</f>
        <v>4.1200000000000001E-2</v>
      </c>
      <c r="O10" s="2692">
        <f t="shared" si="26"/>
        <v>0.02</v>
      </c>
      <c r="P10" s="2692">
        <f t="shared" si="26"/>
        <v>4.7899999999999998E-2</v>
      </c>
      <c r="Q10" s="2692">
        <f t="shared" si="26"/>
        <v>1.9699999999999999E-2</v>
      </c>
      <c r="R10" s="2693"/>
      <c r="S10" s="2691"/>
      <c r="T10" s="2692"/>
      <c r="U10" s="2692"/>
      <c r="V10" s="2692"/>
      <c r="X10" s="2781">
        <f>ROUND(SUMPRODUCT(PRODUCT(1+N10:N$19)),4)</f>
        <v>1.2184999999999999</v>
      </c>
      <c r="Y10" s="2781">
        <f>ROUND(SUMPRODUCT(PRODUCT(1+O10:O$19)),4)</f>
        <v>1.1494</v>
      </c>
      <c r="Z10" s="2781">
        <f t="shared" si="0"/>
        <v>1.1494</v>
      </c>
      <c r="AA10" s="2781">
        <f>ROUND(SUMPRODUCT(PRODUCT(1+P10:P$19)),4)</f>
        <v>1.2425999999999999</v>
      </c>
      <c r="AB10" s="2781">
        <f>ROUND(SUMPRODUCT(PRODUCT(1+Q10:Q$19)),4)</f>
        <v>1.1372</v>
      </c>
      <c r="AD10" s="2701">
        <f>ROUND(AVERAGE(I10:I$20)/100,4)</f>
        <v>2.0899999999999998E-2</v>
      </c>
      <c r="AE10" s="2701">
        <f>ROUND(AVERAGE(J10:J$20)/100,4)</f>
        <v>1.49E-2</v>
      </c>
      <c r="AF10" s="2701">
        <f t="shared" si="1"/>
        <v>1.49E-2</v>
      </c>
      <c r="AG10" s="2701">
        <f>ROUND(AVERAGE(K10:K$20)/100,4)</f>
        <v>2.3099999999999999E-2</v>
      </c>
      <c r="AH10" s="2701">
        <f>ROUND(AVERAGE(L10:L$20)/100,4)</f>
        <v>1.2999999999999999E-2</v>
      </c>
    </row>
    <row r="11" spans="1:34">
      <c r="A11" s="2682" t="s">
        <v>960</v>
      </c>
      <c r="B11" s="2696">
        <f t="shared" si="27"/>
        <v>360.06949782209392</v>
      </c>
      <c r="C11" s="2696">
        <f t="shared" si="27"/>
        <v>289.84672674747821</v>
      </c>
      <c r="D11" s="2696">
        <f t="shared" si="28"/>
        <v>289.84672674747821</v>
      </c>
      <c r="E11" s="2696">
        <f t="shared" si="29"/>
        <v>501.06543001181495</v>
      </c>
      <c r="F11" s="2696">
        <f t="shared" si="29"/>
        <v>256.82882500744967</v>
      </c>
      <c r="G11" s="3439"/>
      <c r="H11" s="2687">
        <v>2</v>
      </c>
      <c r="I11" s="2687">
        <v>3.85</v>
      </c>
      <c r="J11" s="2687">
        <v>1.95</v>
      </c>
      <c r="K11" s="2687">
        <v>4.4800000000000004</v>
      </c>
      <c r="L11" s="2698">
        <v>1.41</v>
      </c>
      <c r="N11" s="2691">
        <f t="shared" si="30"/>
        <v>3.85E-2</v>
      </c>
      <c r="O11" s="2692">
        <f t="shared" si="26"/>
        <v>1.95E-2</v>
      </c>
      <c r="P11" s="2692">
        <f t="shared" si="26"/>
        <v>4.4800000000000006E-2</v>
      </c>
      <c r="Q11" s="2692">
        <f t="shared" si="26"/>
        <v>1.41E-2</v>
      </c>
      <c r="R11" s="2693"/>
      <c r="S11" s="2691"/>
      <c r="T11" s="2692"/>
      <c r="U11" s="2692"/>
      <c r="V11" s="2692"/>
      <c r="X11" s="2781">
        <f>ROUND(SUMPRODUCT(PRODUCT(1+N11:N$19)),4)</f>
        <v>1.1702999999999999</v>
      </c>
      <c r="Y11" s="2781">
        <f>ROUND(SUMPRODUCT(PRODUCT(1+O11:O$19)),4)</f>
        <v>1.1269</v>
      </c>
      <c r="Z11" s="2781">
        <f t="shared" si="0"/>
        <v>1.1269</v>
      </c>
      <c r="AA11" s="2781">
        <f>ROUND(SUMPRODUCT(PRODUCT(1+P11:P$19)),4)</f>
        <v>1.1858</v>
      </c>
      <c r="AB11" s="2781">
        <f>ROUND(SUMPRODUCT(PRODUCT(1+Q11:Q$19)),4)</f>
        <v>1.1152</v>
      </c>
      <c r="AD11" s="2701">
        <f>ROUND(AVERAGE(I11:I$20)/100,4)</f>
        <v>1.89E-2</v>
      </c>
      <c r="AE11" s="2701">
        <f>ROUND(AVERAGE(J11:J$20)/100,4)</f>
        <v>1.44E-2</v>
      </c>
      <c r="AF11" s="2701">
        <f t="shared" si="1"/>
        <v>1.44E-2</v>
      </c>
      <c r="AG11" s="2701">
        <f>ROUND(AVERAGE(K11:K$20)/100,4)</f>
        <v>2.06E-2</v>
      </c>
      <c r="AH11" s="2701">
        <f>ROUND(AVERAGE(L11:L$20)/100,4)</f>
        <v>1.23E-2</v>
      </c>
    </row>
    <row r="12" spans="1:34" ht="13.5" thickBot="1">
      <c r="A12" s="2682" t="s">
        <v>969</v>
      </c>
      <c r="B12" s="2696">
        <f t="shared" si="27"/>
        <v>346.720748986128</v>
      </c>
      <c r="C12" s="2696">
        <f t="shared" si="27"/>
        <v>284.30282172386285</v>
      </c>
      <c r="D12" s="2696">
        <f t="shared" si="28"/>
        <v>284.30282172386285</v>
      </c>
      <c r="E12" s="2696">
        <f t="shared" si="29"/>
        <v>479.58023546306947</v>
      </c>
      <c r="F12" s="2696">
        <f t="shared" si="29"/>
        <v>253.25788877571213</v>
      </c>
      <c r="G12" s="3440"/>
      <c r="H12" s="2686">
        <v>1</v>
      </c>
      <c r="I12" s="2686">
        <v>4.09</v>
      </c>
      <c r="J12" s="2686">
        <v>2.93</v>
      </c>
      <c r="K12" s="2686">
        <v>4.54</v>
      </c>
      <c r="L12" s="2697">
        <v>1.48</v>
      </c>
      <c r="N12" s="2691">
        <f t="shared" si="30"/>
        <v>4.0899999999999999E-2</v>
      </c>
      <c r="O12" s="2692">
        <f t="shared" si="26"/>
        <v>2.9300000000000003E-2</v>
      </c>
      <c r="P12" s="2692">
        <f t="shared" si="26"/>
        <v>4.5400000000000003E-2</v>
      </c>
      <c r="Q12" s="2692">
        <f t="shared" si="26"/>
        <v>1.4800000000000001E-2</v>
      </c>
      <c r="R12" s="2693"/>
      <c r="S12" s="2699">
        <f>B12/B13-1</f>
        <v>4.1203450408792808E-2</v>
      </c>
      <c r="T12" s="2700">
        <f>C12/C13-1</f>
        <v>2.6363977342465095E-2</v>
      </c>
      <c r="U12" s="2700">
        <f>E12/E13-1</f>
        <v>4.4837114298626357E-2</v>
      </c>
      <c r="V12" s="2700">
        <f>F12/F13-1</f>
        <v>1.7099954922538574E-2</v>
      </c>
      <c r="X12" s="2781">
        <f>ROUND(SUMPRODUCT(PRODUCT(1+N12:N$19)),4)</f>
        <v>1.1269</v>
      </c>
      <c r="Y12" s="2781">
        <f>ROUND(SUMPRODUCT(PRODUCT(1+O12:O$19)),4)</f>
        <v>1.1052999999999999</v>
      </c>
      <c r="Z12" s="2781">
        <f t="shared" si="0"/>
        <v>1.1052999999999999</v>
      </c>
      <c r="AA12" s="2781">
        <f>ROUND(SUMPRODUCT(PRODUCT(1+P12:P$19)),4)</f>
        <v>1.1349</v>
      </c>
      <c r="AB12" s="2781">
        <f>ROUND(SUMPRODUCT(PRODUCT(1+Q12:Q$19)),4)</f>
        <v>1.0996999999999999</v>
      </c>
      <c r="AD12" s="2701">
        <f>ROUND(AVERAGE(I12:I$20)/100,4)</f>
        <v>1.67E-2</v>
      </c>
      <c r="AE12" s="2701">
        <f>ROUND(AVERAGE(J12:J$20)/100,4)</f>
        <v>1.38E-2</v>
      </c>
      <c r="AF12" s="2701">
        <f t="shared" si="1"/>
        <v>1.38E-2</v>
      </c>
      <c r="AG12" s="2701">
        <f>ROUND(AVERAGE(K12:K$20)/100,4)</f>
        <v>1.7899999999999999E-2</v>
      </c>
      <c r="AH12" s="2701">
        <f>ROUND(AVERAGE(L12:L$20)/100,4)</f>
        <v>1.21E-2</v>
      </c>
    </row>
    <row r="13" spans="1:34" ht="13.5" thickBot="1">
      <c r="A13" s="2682" t="s">
        <v>968</v>
      </c>
      <c r="B13" s="2688">
        <v>333</v>
      </c>
      <c r="C13" s="2688">
        <v>277</v>
      </c>
      <c r="D13" s="2688">
        <f t="shared" si="28"/>
        <v>277</v>
      </c>
      <c r="E13" s="2688">
        <v>459</v>
      </c>
      <c r="F13" s="2689">
        <v>249</v>
      </c>
      <c r="G13" s="3438">
        <v>2015</v>
      </c>
      <c r="H13" s="2702">
        <v>4</v>
      </c>
      <c r="I13" s="2702">
        <v>1.63</v>
      </c>
      <c r="J13" s="2702">
        <v>1.1100000000000001</v>
      </c>
      <c r="K13" s="2702">
        <v>1.77</v>
      </c>
      <c r="L13" s="2703">
        <v>1.89</v>
      </c>
      <c r="N13" s="2704">
        <f t="shared" si="30"/>
        <v>1.6299999999999999E-2</v>
      </c>
      <c r="O13" s="2705">
        <f t="shared" si="26"/>
        <v>1.11E-2</v>
      </c>
      <c r="P13" s="2705">
        <f t="shared" si="26"/>
        <v>1.77E-2</v>
      </c>
      <c r="Q13" s="2705">
        <f t="shared" si="26"/>
        <v>1.89E-2</v>
      </c>
      <c r="R13" s="2693"/>
      <c r="X13" s="2781">
        <f>ROUND(SUMPRODUCT(PRODUCT(1+N13:N$19)),4)</f>
        <v>1.0826</v>
      </c>
      <c r="Y13" s="2781">
        <f>ROUND(SUMPRODUCT(PRODUCT(1+O13:O$19)),4)</f>
        <v>1.0738000000000001</v>
      </c>
      <c r="Z13" s="2781">
        <f t="shared" si="0"/>
        <v>1.0738000000000001</v>
      </c>
      <c r="AA13" s="2781">
        <f>ROUND(SUMPRODUCT(PRODUCT(1+P13:P$19)),4)</f>
        <v>1.0855999999999999</v>
      </c>
      <c r="AB13" s="2781">
        <f>ROUND(SUMPRODUCT(PRODUCT(1+Q13:Q$19)),4)</f>
        <v>1.0837000000000001</v>
      </c>
      <c r="AD13" s="2701">
        <f>ROUND(AVERAGE(I13:I$20)/100,4)</f>
        <v>1.37E-2</v>
      </c>
      <c r="AE13" s="2701">
        <f>ROUND(AVERAGE(J13:J$20)/100,4)</f>
        <v>1.1900000000000001E-2</v>
      </c>
      <c r="AF13" s="2701">
        <f t="shared" si="1"/>
        <v>1.1900000000000001E-2</v>
      </c>
      <c r="AG13" s="2701">
        <f>ROUND(AVERAGE(K13:K$20)/100,4)</f>
        <v>1.4500000000000001E-2</v>
      </c>
      <c r="AH13" s="2701">
        <f>ROUND(AVERAGE(L13:L$20)/100,4)</f>
        <v>1.18E-2</v>
      </c>
    </row>
    <row r="14" spans="1:34">
      <c r="A14" s="2682" t="s">
        <v>967</v>
      </c>
      <c r="B14" s="2696">
        <f t="shared" ref="B14:C16" si="31">B13/(1+N13)</f>
        <v>327.65915576109415</v>
      </c>
      <c r="C14" s="2696">
        <f t="shared" si="31"/>
        <v>273.95905449510434</v>
      </c>
      <c r="D14" s="2696">
        <f t="shared" si="28"/>
        <v>273.95905449510434</v>
      </c>
      <c r="E14" s="2696">
        <f t="shared" ref="E14:F16" si="32">E13/(1+P13)</f>
        <v>451.01699911565294</v>
      </c>
      <c r="F14" s="2696">
        <f t="shared" si="32"/>
        <v>244.38119540681129</v>
      </c>
      <c r="G14" s="3439"/>
      <c r="H14" s="2707">
        <v>3</v>
      </c>
      <c r="I14" s="2707">
        <v>1.65</v>
      </c>
      <c r="J14" s="2707">
        <v>0.92</v>
      </c>
      <c r="K14" s="2707">
        <v>1.88</v>
      </c>
      <c r="L14" s="2708">
        <v>1.26</v>
      </c>
      <c r="N14" s="2691">
        <f t="shared" si="30"/>
        <v>1.6500000000000001E-2</v>
      </c>
      <c r="O14" s="2709">
        <f t="shared" si="26"/>
        <v>9.1999999999999998E-3</v>
      </c>
      <c r="P14" s="2709">
        <f t="shared" si="26"/>
        <v>1.8799999999999997E-2</v>
      </c>
      <c r="Q14" s="2709">
        <f t="shared" si="26"/>
        <v>1.26E-2</v>
      </c>
      <c r="R14" s="2693"/>
      <c r="S14" s="2691"/>
      <c r="T14" s="2692"/>
      <c r="U14" s="2692"/>
      <c r="V14" s="2692"/>
      <c r="X14" s="2781">
        <f>ROUND(SUMPRODUCT(PRODUCT(1+N14:N$19)),4)</f>
        <v>1.0651999999999999</v>
      </c>
      <c r="Y14" s="2781">
        <f>ROUND(SUMPRODUCT(PRODUCT(1+O14:O$19)),4)</f>
        <v>1.0621</v>
      </c>
      <c r="Z14" s="2781">
        <f t="shared" si="0"/>
        <v>1.0621</v>
      </c>
      <c r="AA14" s="2781">
        <f>ROUND(SUMPRODUCT(PRODUCT(1+P14:P$19)),4)</f>
        <v>1.0668</v>
      </c>
      <c r="AB14" s="2781">
        <f>ROUND(SUMPRODUCT(PRODUCT(1+Q14:Q$19)),4)</f>
        <v>1.0636000000000001</v>
      </c>
      <c r="AD14" s="2701">
        <f>ROUND(AVERAGE(I14:I$20)/100,4)</f>
        <v>1.3299999999999999E-2</v>
      </c>
      <c r="AE14" s="2701">
        <f>ROUND(AVERAGE(J14:J$20)/100,4)</f>
        <v>1.2E-2</v>
      </c>
      <c r="AF14" s="2701">
        <f t="shared" si="1"/>
        <v>1.2E-2</v>
      </c>
      <c r="AG14" s="2701">
        <f>ROUND(AVERAGE(K14:K$20)/100,4)</f>
        <v>1.4E-2</v>
      </c>
      <c r="AH14" s="2701">
        <f>ROUND(AVERAGE(L14:L$20)/100,4)</f>
        <v>1.0800000000000001E-2</v>
      </c>
    </row>
    <row r="15" spans="1:34">
      <c r="A15" s="2682" t="s">
        <v>966</v>
      </c>
      <c r="B15" s="2696">
        <f t="shared" si="31"/>
        <v>322.34053690220776</v>
      </c>
      <c r="C15" s="2696">
        <f t="shared" si="31"/>
        <v>271.46160770422546</v>
      </c>
      <c r="D15" s="2696">
        <f t="shared" si="28"/>
        <v>271.46160770422546</v>
      </c>
      <c r="E15" s="2696">
        <f t="shared" si="32"/>
        <v>442.69434542172456</v>
      </c>
      <c r="F15" s="2696">
        <f t="shared" si="32"/>
        <v>241.34030753190925</v>
      </c>
      <c r="G15" s="3439"/>
      <c r="H15" s="2687">
        <v>2</v>
      </c>
      <c r="I15" s="2687">
        <v>0.77</v>
      </c>
      <c r="J15" s="2687">
        <v>0.69</v>
      </c>
      <c r="K15" s="2687">
        <v>0.8</v>
      </c>
      <c r="L15" s="2698">
        <v>0.88</v>
      </c>
      <c r="N15" s="2691">
        <f t="shared" si="30"/>
        <v>7.7000000000000002E-3</v>
      </c>
      <c r="O15" s="2709">
        <f t="shared" si="26"/>
        <v>6.8999999999999999E-3</v>
      </c>
      <c r="P15" s="2709">
        <f t="shared" si="26"/>
        <v>8.0000000000000002E-3</v>
      </c>
      <c r="Q15" s="2709">
        <f t="shared" si="26"/>
        <v>8.8000000000000005E-3</v>
      </c>
      <c r="R15" s="2693"/>
      <c r="S15" s="2691"/>
      <c r="T15" s="2692"/>
      <c r="U15" s="2692"/>
      <c r="V15" s="2692"/>
      <c r="X15" s="2781">
        <f>ROUND(SUMPRODUCT(PRODUCT(1+N15:N$19)),4)</f>
        <v>1.048</v>
      </c>
      <c r="Y15" s="2781">
        <f>ROUND(SUMPRODUCT(PRODUCT(1+O15:O$19)),4)</f>
        <v>1.0524</v>
      </c>
      <c r="Z15" s="2781">
        <f t="shared" si="0"/>
        <v>1.0524</v>
      </c>
      <c r="AA15" s="2781">
        <f>ROUND(SUMPRODUCT(PRODUCT(1+P15:P$19)),4)</f>
        <v>1.0470999999999999</v>
      </c>
      <c r="AB15" s="2781">
        <f>ROUND(SUMPRODUCT(PRODUCT(1+Q15:Q$19)),4)</f>
        <v>1.0504</v>
      </c>
      <c r="AD15" s="2701">
        <f>ROUND(AVERAGE(I15:I$20)/100,4)</f>
        <v>1.2800000000000001E-2</v>
      </c>
      <c r="AE15" s="2701">
        <f>ROUND(AVERAGE(J15:J$20)/100,4)</f>
        <v>1.2500000000000001E-2</v>
      </c>
      <c r="AF15" s="2701">
        <f t="shared" si="1"/>
        <v>1.2500000000000001E-2</v>
      </c>
      <c r="AG15" s="2701">
        <f>ROUND(AVERAGE(K15:K$20)/100,4)</f>
        <v>1.32E-2</v>
      </c>
      <c r="AH15" s="2701">
        <f>ROUND(AVERAGE(L15:L$20)/100,4)</f>
        <v>1.0500000000000001E-2</v>
      </c>
    </row>
    <row r="16" spans="1:34">
      <c r="A16" s="2682" t="s">
        <v>965</v>
      </c>
      <c r="B16" s="2696">
        <f t="shared" si="31"/>
        <v>319.87748030386797</v>
      </c>
      <c r="C16" s="2696">
        <f t="shared" si="31"/>
        <v>269.60135833173649</v>
      </c>
      <c r="D16" s="2696">
        <f t="shared" si="28"/>
        <v>269.60135833173649</v>
      </c>
      <c r="E16" s="2696">
        <f t="shared" si="32"/>
        <v>439.18089823583784</v>
      </c>
      <c r="F16" s="2696">
        <f t="shared" si="32"/>
        <v>239.23503918706311</v>
      </c>
      <c r="G16" s="3440"/>
      <c r="H16" s="2686">
        <v>1</v>
      </c>
      <c r="I16" s="2686">
        <v>0.51</v>
      </c>
      <c r="J16" s="2686">
        <v>0.54</v>
      </c>
      <c r="K16" s="2686">
        <v>0.48</v>
      </c>
      <c r="L16" s="2697">
        <v>0.93</v>
      </c>
      <c r="N16" s="2699">
        <f t="shared" si="30"/>
        <v>5.1000000000000004E-3</v>
      </c>
      <c r="O16" s="2700">
        <f t="shared" si="26"/>
        <v>5.4000000000000003E-3</v>
      </c>
      <c r="P16" s="2700">
        <f t="shared" si="26"/>
        <v>4.7999999999999996E-3</v>
      </c>
      <c r="Q16" s="2700">
        <f t="shared" si="26"/>
        <v>9.300000000000001E-3</v>
      </c>
      <c r="R16" s="2693"/>
      <c r="S16" s="2699">
        <f>B16/B17-1</f>
        <v>5.9040261127922822E-3</v>
      </c>
      <c r="T16" s="2700">
        <f>C16/C17-1</f>
        <v>5.9752176557332781E-3</v>
      </c>
      <c r="U16" s="2700">
        <f>E16/E17-1</f>
        <v>4.9906138119859556E-3</v>
      </c>
      <c r="V16" s="2700">
        <f>F16/F17-1</f>
        <v>9.4305450930933787E-3</v>
      </c>
      <c r="X16" s="2781">
        <f>ROUND(SUMPRODUCT(PRODUCT(1+N16:N$19)),4)</f>
        <v>1.0399</v>
      </c>
      <c r="Y16" s="2781">
        <f>ROUND(SUMPRODUCT(PRODUCT(1+O16:O$19)),4)</f>
        <v>1.0451999999999999</v>
      </c>
      <c r="Z16" s="2781">
        <f t="shared" si="0"/>
        <v>1.0451999999999999</v>
      </c>
      <c r="AA16" s="2781">
        <f>ROUND(SUMPRODUCT(PRODUCT(1+P16:P$19)),4)</f>
        <v>1.0387999999999999</v>
      </c>
      <c r="AB16" s="2781">
        <f>ROUND(SUMPRODUCT(PRODUCT(1+Q16:Q$19)),4)</f>
        <v>1.0411999999999999</v>
      </c>
      <c r="AD16" s="2701">
        <f>ROUND(AVERAGE(I16:I$20)/100,4)</f>
        <v>1.38E-2</v>
      </c>
      <c r="AE16" s="2701">
        <f>ROUND(AVERAGE(J16:J$20)/100,4)</f>
        <v>1.3599999999999999E-2</v>
      </c>
      <c r="AF16" s="2701">
        <f t="shared" si="1"/>
        <v>1.3599999999999999E-2</v>
      </c>
      <c r="AG16" s="2701">
        <f>ROUND(AVERAGE(K16:K$20)/100,4)</f>
        <v>1.4200000000000001E-2</v>
      </c>
      <c r="AH16" s="2701">
        <f>ROUND(AVERAGE(L16:L$20)/100,4)</f>
        <v>1.0800000000000001E-2</v>
      </c>
    </row>
    <row r="17" spans="1:34" ht="13.5" thickBot="1">
      <c r="A17" s="2682" t="s">
        <v>964</v>
      </c>
      <c r="B17" s="2710">
        <v>318</v>
      </c>
      <c r="C17" s="2710">
        <v>268</v>
      </c>
      <c r="D17" s="2710">
        <f t="shared" si="28"/>
        <v>268</v>
      </c>
      <c r="E17" s="2710">
        <v>437</v>
      </c>
      <c r="F17" s="2711">
        <v>237</v>
      </c>
      <c r="G17" s="3438">
        <v>2014</v>
      </c>
      <c r="H17" s="2702">
        <v>4</v>
      </c>
      <c r="I17" s="2702">
        <v>0.21</v>
      </c>
      <c r="J17" s="2702">
        <v>0.41</v>
      </c>
      <c r="K17" s="2702">
        <v>0.12</v>
      </c>
      <c r="L17" s="2703">
        <v>0.89</v>
      </c>
      <c r="N17" s="2691">
        <f t="shared" si="30"/>
        <v>2.0999999999999999E-3</v>
      </c>
      <c r="O17" s="2692">
        <f t="shared" si="26"/>
        <v>4.0999999999999995E-3</v>
      </c>
      <c r="P17" s="2692">
        <f t="shared" si="26"/>
        <v>1.1999999999999999E-3</v>
      </c>
      <c r="Q17" s="2692">
        <f t="shared" si="26"/>
        <v>8.8999999999999999E-3</v>
      </c>
      <c r="R17" s="2693"/>
      <c r="S17" s="2694"/>
      <c r="T17" s="2695"/>
      <c r="U17" s="2695"/>
      <c r="V17" s="2695"/>
      <c r="X17" s="2781">
        <f>ROUND(SUMPRODUCT(PRODUCT(1+N17:N$19)),4)</f>
        <v>1.0347</v>
      </c>
      <c r="Y17" s="2781">
        <f>ROUND(SUMPRODUCT(PRODUCT(1+O17:O$19)),4)</f>
        <v>1.0395000000000001</v>
      </c>
      <c r="Z17" s="2781">
        <f t="shared" si="0"/>
        <v>1.0395000000000001</v>
      </c>
      <c r="AA17" s="2781">
        <f>ROUND(SUMPRODUCT(PRODUCT(1+P17:P$19)),4)</f>
        <v>1.0338000000000001</v>
      </c>
      <c r="AB17" s="2781">
        <f>ROUND(SUMPRODUCT(PRODUCT(1+Q17:Q$19)),4)</f>
        <v>1.0316000000000001</v>
      </c>
      <c r="AD17" s="2701">
        <f>ROUND(AVERAGE(I17:I$20)/100,4)</f>
        <v>1.6E-2</v>
      </c>
      <c r="AE17" s="2701">
        <f>ROUND(AVERAGE(J17:J$20)/100,4)</f>
        <v>1.5599999999999999E-2</v>
      </c>
      <c r="AF17" s="2701">
        <f t="shared" si="1"/>
        <v>1.5599999999999999E-2</v>
      </c>
      <c r="AG17" s="2701">
        <f>ROUND(AVERAGE(K17:K$20)/100,4)</f>
        <v>1.66E-2</v>
      </c>
      <c r="AH17" s="2701">
        <f>ROUND(AVERAGE(L17:L$20)/100,4)</f>
        <v>1.12E-2</v>
      </c>
    </row>
    <row r="18" spans="1:34">
      <c r="A18" s="2682" t="s">
        <v>963</v>
      </c>
      <c r="B18" s="2696">
        <f t="shared" ref="B18:C20" si="33">B17/(1+N17)</f>
        <v>317.33359944117353</v>
      </c>
      <c r="C18" s="2696">
        <f t="shared" si="33"/>
        <v>266.90568668459315</v>
      </c>
      <c r="D18" s="2696">
        <f t="shared" si="28"/>
        <v>266.90568668459315</v>
      </c>
      <c r="E18" s="2696">
        <f t="shared" ref="E18:F20" si="34">E17/(1+P17)</f>
        <v>436.47622852576905</v>
      </c>
      <c r="F18" s="2696">
        <f t="shared" si="34"/>
        <v>234.90930716622066</v>
      </c>
      <c r="G18" s="3439"/>
      <c r="H18" s="2712">
        <v>3</v>
      </c>
      <c r="I18" s="2712">
        <v>0.83</v>
      </c>
      <c r="J18" s="2712">
        <v>1.47</v>
      </c>
      <c r="K18" s="2712">
        <v>0.65</v>
      </c>
      <c r="L18" s="2713">
        <v>0.72</v>
      </c>
      <c r="N18" s="2691">
        <f t="shared" si="30"/>
        <v>8.3000000000000001E-3</v>
      </c>
      <c r="O18" s="2692">
        <f t="shared" si="26"/>
        <v>1.47E-2</v>
      </c>
      <c r="P18" s="2692">
        <f t="shared" si="26"/>
        <v>6.5000000000000006E-3</v>
      </c>
      <c r="Q18" s="2692">
        <f t="shared" si="26"/>
        <v>7.1999999999999998E-3</v>
      </c>
      <c r="R18" s="2693"/>
      <c r="S18" s="2691"/>
      <c r="T18" s="2692"/>
      <c r="U18" s="2692"/>
      <c r="V18" s="2692"/>
      <c r="X18" s="2781">
        <f>ROUND(SUMPRODUCT(PRODUCT(1+N18:N$19)),4)</f>
        <v>1.0325</v>
      </c>
      <c r="Y18" s="2781">
        <f>ROUND(SUMPRODUCT(PRODUCT(1+O18:O$19)),4)</f>
        <v>1.0353000000000001</v>
      </c>
      <c r="Z18" s="2781">
        <f t="shared" ref="Z18:Z19" si="35">Y18</f>
        <v>1.0353000000000001</v>
      </c>
      <c r="AA18" s="2781">
        <f>ROUND(SUMPRODUCT(PRODUCT(1+P18:P$19)),4)</f>
        <v>1.0326</v>
      </c>
      <c r="AB18" s="2781">
        <f>ROUND(SUMPRODUCT(PRODUCT(1+Q18:Q$19)),4)</f>
        <v>1.0225</v>
      </c>
      <c r="AD18" s="2701">
        <f>ROUND(AVERAGE(I18:I$20)/100,4)</f>
        <v>2.07E-2</v>
      </c>
      <c r="AE18" s="2701">
        <f>ROUND(AVERAGE(J18:J$20)/100,4)</f>
        <v>1.95E-2</v>
      </c>
      <c r="AF18" s="2701">
        <f t="shared" si="1"/>
        <v>1.95E-2</v>
      </c>
      <c r="AG18" s="2701">
        <f>ROUND(AVERAGE(K18:K$20)/100,4)</f>
        <v>2.1700000000000001E-2</v>
      </c>
      <c r="AH18" s="2701">
        <f>ROUND(AVERAGE(L18:L$20)/100,4)</f>
        <v>1.2E-2</v>
      </c>
    </row>
    <row r="19" spans="1:34" ht="13.5" thickBot="1">
      <c r="A19" s="2682" t="s">
        <v>962</v>
      </c>
      <c r="B19" s="2696">
        <f t="shared" si="33"/>
        <v>314.72141172386546</v>
      </c>
      <c r="C19" s="2696">
        <f t="shared" si="33"/>
        <v>263.03901319069001</v>
      </c>
      <c r="D19" s="2696">
        <f t="shared" si="28"/>
        <v>263.03901319069001</v>
      </c>
      <c r="E19" s="2696">
        <f t="shared" si="34"/>
        <v>433.65745506782821</v>
      </c>
      <c r="F19" s="2696">
        <f t="shared" si="34"/>
        <v>233.23005080045735</v>
      </c>
      <c r="G19" s="3439"/>
      <c r="H19" s="2702">
        <v>2</v>
      </c>
      <c r="I19" s="2702">
        <v>2.4</v>
      </c>
      <c r="J19" s="2702">
        <v>2.0299999999999998</v>
      </c>
      <c r="K19" s="2702">
        <v>2.59</v>
      </c>
      <c r="L19" s="2703">
        <v>1.52</v>
      </c>
      <c r="N19" s="2691">
        <f t="shared" si="30"/>
        <v>2.4E-2</v>
      </c>
      <c r="O19" s="2692">
        <f t="shared" si="26"/>
        <v>2.0299999999999999E-2</v>
      </c>
      <c r="P19" s="2692">
        <f t="shared" si="26"/>
        <v>2.5899999999999999E-2</v>
      </c>
      <c r="Q19" s="2692">
        <f t="shared" si="26"/>
        <v>1.52E-2</v>
      </c>
      <c r="R19" s="2693"/>
      <c r="S19" s="2691"/>
      <c r="T19" s="2692"/>
      <c r="U19" s="2692"/>
      <c r="V19" s="2692"/>
      <c r="X19" s="2781">
        <f>1+N19</f>
        <v>1.024</v>
      </c>
      <c r="Y19" s="2781">
        <f>1+O19</f>
        <v>1.0203</v>
      </c>
      <c r="Z19" s="2781">
        <f t="shared" si="35"/>
        <v>1.0203</v>
      </c>
      <c r="AA19" s="2781">
        <f>1+P19</f>
        <v>1.0259</v>
      </c>
      <c r="AB19" s="2781">
        <f>1+Q19</f>
        <v>1.0152000000000001</v>
      </c>
      <c r="AD19" s="2701">
        <f>ROUND(AVERAGE(I19:I$20)/100,4)</f>
        <v>2.69E-2</v>
      </c>
      <c r="AE19" s="2701">
        <f>ROUND(AVERAGE(J19:J$20)/100,4)</f>
        <v>2.1899999999999999E-2</v>
      </c>
      <c r="AF19" s="2701">
        <f t="shared" ref="AF19" si="36">AE19</f>
        <v>2.1899999999999999E-2</v>
      </c>
      <c r="AG19" s="2701">
        <f>ROUND(AVERAGE(K19:K$20)/100,4)</f>
        <v>2.9399999999999999E-2</v>
      </c>
      <c r="AH19" s="2701">
        <f>ROUND(AVERAGE(L19:L$20)/100,4)</f>
        <v>1.44E-2</v>
      </c>
    </row>
    <row r="20" spans="1:34" s="2718" customFormat="1" ht="13.5" thickBot="1">
      <c r="A20" s="2714" t="s">
        <v>961</v>
      </c>
      <c r="B20" s="2715">
        <f t="shared" si="33"/>
        <v>307.34512863658733</v>
      </c>
      <c r="C20" s="2715">
        <f t="shared" si="33"/>
        <v>257.80556031626975</v>
      </c>
      <c r="D20" s="2715">
        <f t="shared" si="28"/>
        <v>257.80556031626975</v>
      </c>
      <c r="E20" s="2715">
        <f t="shared" si="34"/>
        <v>422.70928459677179</v>
      </c>
      <c r="F20" s="2715">
        <f t="shared" si="34"/>
        <v>229.73803270336617</v>
      </c>
      <c r="G20" s="3440"/>
      <c r="H20" s="2716">
        <v>1</v>
      </c>
      <c r="I20" s="2716">
        <v>2.97</v>
      </c>
      <c r="J20" s="2716">
        <v>2.34</v>
      </c>
      <c r="K20" s="2716">
        <v>3.28</v>
      </c>
      <c r="L20" s="2717">
        <v>1.36</v>
      </c>
      <c r="N20" s="2719">
        <f t="shared" si="30"/>
        <v>2.9700000000000001E-2</v>
      </c>
      <c r="O20" s="2720">
        <f t="shared" si="26"/>
        <v>2.3399999999999997E-2</v>
      </c>
      <c r="P20" s="2720">
        <f t="shared" si="26"/>
        <v>3.2799999999999996E-2</v>
      </c>
      <c r="Q20" s="2720">
        <f t="shared" si="26"/>
        <v>1.3600000000000001E-2</v>
      </c>
      <c r="R20" s="2721"/>
      <c r="S20" s="2722">
        <f>B20/B21-1</f>
        <v>2.7910129219355539E-2</v>
      </c>
      <c r="T20" s="2723">
        <f>C20/C21-1</f>
        <v>2.3037937762975247E-2</v>
      </c>
      <c r="U20" s="2723">
        <f>E20/E21-1</f>
        <v>3.3519033243940788E-2</v>
      </c>
      <c r="V20" s="2723">
        <f>F20/F21-1</f>
        <v>1.2061818076502862E-2</v>
      </c>
      <c r="W20" s="2791" t="s">
        <v>2648</v>
      </c>
      <c r="X20" s="2793">
        <v>1</v>
      </c>
      <c r="Y20" s="2793">
        <v>1</v>
      </c>
      <c r="Z20" s="2793">
        <v>1</v>
      </c>
      <c r="AA20" s="2793">
        <v>1</v>
      </c>
      <c r="AB20" s="2793">
        <v>1</v>
      </c>
      <c r="AD20" s="3037">
        <f>I20/100</f>
        <v>2.9700000000000001E-2</v>
      </c>
      <c r="AE20" s="3037">
        <f>J20/100</f>
        <v>2.3399999999999997E-2</v>
      </c>
      <c r="AF20" s="3037">
        <f>AE20</f>
        <v>2.3399999999999997E-2</v>
      </c>
      <c r="AG20" s="3037">
        <f>K20/100</f>
        <v>3.2799999999999996E-2</v>
      </c>
      <c r="AH20" s="3037">
        <f>L20/100</f>
        <v>1.3600000000000001E-2</v>
      </c>
    </row>
    <row r="21" spans="1:34" ht="13.5" thickBot="1">
      <c r="A21" s="2682" t="s">
        <v>2590</v>
      </c>
      <c r="B21" s="2688">
        <v>299</v>
      </c>
      <c r="C21" s="2688">
        <v>252</v>
      </c>
      <c r="D21" s="2688">
        <f t="shared" si="28"/>
        <v>252</v>
      </c>
      <c r="E21" s="2688">
        <v>409</v>
      </c>
      <c r="F21" s="2689">
        <v>227</v>
      </c>
      <c r="G21" s="3441">
        <v>2013</v>
      </c>
      <c r="H21" s="2724">
        <v>4</v>
      </c>
      <c r="I21" s="2724">
        <v>1.83</v>
      </c>
      <c r="J21" s="2724">
        <v>1.68</v>
      </c>
      <c r="K21" s="2724">
        <v>1.97</v>
      </c>
      <c r="L21" s="2725">
        <v>0.87</v>
      </c>
      <c r="N21" s="2704">
        <f t="shared" si="30"/>
        <v>1.83E-2</v>
      </c>
      <c r="O21" s="2705">
        <f t="shared" si="26"/>
        <v>1.6799999999999999E-2</v>
      </c>
      <c r="P21" s="2705">
        <f t="shared" si="26"/>
        <v>1.9699999999999999E-2</v>
      </c>
      <c r="Q21" s="2705">
        <f t="shared" si="26"/>
        <v>8.6999999999999994E-3</v>
      </c>
      <c r="R21" s="2693"/>
      <c r="S21" s="2694"/>
      <c r="T21" s="2695"/>
      <c r="U21" s="2695"/>
      <c r="V21" s="2695"/>
      <c r="X21" s="2695"/>
      <c r="Y21" s="2695"/>
      <c r="Z21" s="2695"/>
    </row>
    <row r="22" spans="1:34">
      <c r="A22" s="2682" t="s">
        <v>2591</v>
      </c>
      <c r="B22" s="2696">
        <f t="shared" ref="B22:C24" si="37">B21/(1+N21)</f>
        <v>293.62663262299913</v>
      </c>
      <c r="C22" s="2696">
        <f t="shared" si="37"/>
        <v>247.83634933123525</v>
      </c>
      <c r="D22" s="2696">
        <f t="shared" si="28"/>
        <v>247.83634933123525</v>
      </c>
      <c r="E22" s="2696">
        <f t="shared" ref="E22:F24" si="38">E21/(1+P21)</f>
        <v>401.09836226341076</v>
      </c>
      <c r="F22" s="2696">
        <f t="shared" si="38"/>
        <v>225.04213343908003</v>
      </c>
      <c r="G22" s="3442"/>
      <c r="H22" s="2707">
        <v>3</v>
      </c>
      <c r="I22" s="2707">
        <v>1.86</v>
      </c>
      <c r="J22" s="2707">
        <v>1.72</v>
      </c>
      <c r="K22" s="2707">
        <v>1.98</v>
      </c>
      <c r="L22" s="2708">
        <v>0.88</v>
      </c>
      <c r="N22" s="2691">
        <f t="shared" si="30"/>
        <v>1.8600000000000002E-2</v>
      </c>
      <c r="O22" s="2709">
        <f t="shared" si="26"/>
        <v>1.72E-2</v>
      </c>
      <c r="P22" s="2709">
        <f t="shared" si="26"/>
        <v>1.9799999999999998E-2</v>
      </c>
      <c r="Q22" s="2709">
        <f t="shared" si="26"/>
        <v>8.8000000000000005E-3</v>
      </c>
      <c r="R22" s="2693"/>
      <c r="S22" s="2691"/>
      <c r="T22" s="2692"/>
      <c r="U22" s="2692"/>
      <c r="V22" s="2692"/>
    </row>
    <row r="23" spans="1:34">
      <c r="A23" s="2682" t="s">
        <v>2592</v>
      </c>
      <c r="B23" s="2696">
        <f t="shared" si="37"/>
        <v>288.2649053828776</v>
      </c>
      <c r="C23" s="2696">
        <f t="shared" si="37"/>
        <v>243.64564425013293</v>
      </c>
      <c r="D23" s="2696">
        <f t="shared" si="28"/>
        <v>243.64564425013293</v>
      </c>
      <c r="E23" s="2696">
        <f t="shared" si="38"/>
        <v>393.31080825986544</v>
      </c>
      <c r="F23" s="2696">
        <f t="shared" si="38"/>
        <v>223.07903790551154</v>
      </c>
      <c r="G23" s="3442"/>
      <c r="H23" s="2687">
        <v>2</v>
      </c>
      <c r="I23" s="2687">
        <v>2.04</v>
      </c>
      <c r="J23" s="2687">
        <v>2.33</v>
      </c>
      <c r="K23" s="2687">
        <v>2.0699999999999998</v>
      </c>
      <c r="L23" s="2698">
        <v>0.69</v>
      </c>
      <c r="N23" s="2691">
        <f t="shared" si="30"/>
        <v>2.0400000000000001E-2</v>
      </c>
      <c r="O23" s="2709">
        <f t="shared" si="26"/>
        <v>2.3300000000000001E-2</v>
      </c>
      <c r="P23" s="2709">
        <f t="shared" si="26"/>
        <v>2.07E-2</v>
      </c>
      <c r="Q23" s="2709">
        <f t="shared" si="26"/>
        <v>6.8999999999999999E-3</v>
      </c>
      <c r="R23" s="2693"/>
      <c r="S23" s="2691"/>
      <c r="T23" s="2692"/>
      <c r="U23" s="2692"/>
      <c r="V23" s="2692"/>
      <c r="X23" s="2794"/>
      <c r="Y23" s="2796"/>
    </row>
    <row r="24" spans="1:34">
      <c r="A24" s="2682" t="s">
        <v>2593</v>
      </c>
      <c r="B24" s="2696">
        <f t="shared" si="37"/>
        <v>282.50186729015837</v>
      </c>
      <c r="C24" s="2696">
        <f t="shared" si="37"/>
        <v>238.09796174155468</v>
      </c>
      <c r="D24" s="2696">
        <f t="shared" si="28"/>
        <v>238.09796174155468</v>
      </c>
      <c r="E24" s="2696">
        <f t="shared" si="38"/>
        <v>385.33438646014054</v>
      </c>
      <c r="F24" s="2696">
        <f t="shared" si="38"/>
        <v>221.55034055567739</v>
      </c>
      <c r="G24" s="3443"/>
      <c r="H24" s="2686">
        <v>1</v>
      </c>
      <c r="I24" s="2686">
        <v>1.67</v>
      </c>
      <c r="J24" s="2686">
        <v>1.31</v>
      </c>
      <c r="K24" s="2686">
        <v>1.85</v>
      </c>
      <c r="L24" s="2697">
        <v>0.96</v>
      </c>
      <c r="N24" s="2699">
        <f t="shared" si="30"/>
        <v>1.67E-2</v>
      </c>
      <c r="O24" s="2700">
        <f t="shared" si="26"/>
        <v>1.3100000000000001E-2</v>
      </c>
      <c r="P24" s="2700">
        <f t="shared" si="26"/>
        <v>1.8500000000000003E-2</v>
      </c>
      <c r="Q24" s="2700">
        <f t="shared" si="26"/>
        <v>9.5999999999999992E-3</v>
      </c>
      <c r="R24" s="2693"/>
      <c r="S24" s="2699">
        <f>B24/B25-1</f>
        <v>1.6193767230785472E-2</v>
      </c>
      <c r="T24" s="2700">
        <f>C24/C25-1</f>
        <v>1.7512657015190891E-2</v>
      </c>
      <c r="U24" s="2700">
        <f>E24/E25-1</f>
        <v>1.6713420739157048E-2</v>
      </c>
      <c r="V24" s="2700">
        <f>F24/F25-1</f>
        <v>7.0470025258062563E-3</v>
      </c>
      <c r="X24" s="2795"/>
      <c r="Y24" s="2701"/>
      <c r="Z24" s="2701"/>
    </row>
    <row r="25" spans="1:34" ht="13.5" thickBot="1">
      <c r="A25" s="2682" t="s">
        <v>2594</v>
      </c>
      <c r="B25" s="2726">
        <v>278</v>
      </c>
      <c r="C25" s="2726">
        <v>234</v>
      </c>
      <c r="D25" s="2726">
        <f t="shared" si="28"/>
        <v>234</v>
      </c>
      <c r="E25" s="2726">
        <v>379</v>
      </c>
      <c r="F25" s="2727">
        <v>220</v>
      </c>
      <c r="G25" s="3438">
        <v>2012</v>
      </c>
      <c r="H25" s="2702">
        <v>4</v>
      </c>
      <c r="I25" s="2702">
        <v>0.91</v>
      </c>
      <c r="J25" s="2702">
        <v>0.68</v>
      </c>
      <c r="K25" s="2702">
        <v>0.98</v>
      </c>
      <c r="L25" s="2703">
        <v>0.9</v>
      </c>
      <c r="N25" s="2691">
        <f t="shared" si="30"/>
        <v>9.1000000000000004E-3</v>
      </c>
      <c r="O25" s="2692">
        <f t="shared" si="30"/>
        <v>6.8000000000000005E-3</v>
      </c>
      <c r="P25" s="2692">
        <f t="shared" si="30"/>
        <v>9.7999999999999997E-3</v>
      </c>
      <c r="Q25" s="2692">
        <f t="shared" si="30"/>
        <v>9.0000000000000011E-3</v>
      </c>
      <c r="R25" s="2693"/>
      <c r="S25" s="2694"/>
      <c r="T25" s="2695"/>
      <c r="U25" s="2695"/>
      <c r="V25" s="2695"/>
      <c r="X25" s="2695"/>
      <c r="Y25" s="2695"/>
      <c r="Z25" s="2695"/>
    </row>
    <row r="26" spans="1:34">
      <c r="A26" s="2682" t="s">
        <v>2595</v>
      </c>
      <c r="B26" s="2696">
        <f>B25/(1+N25)</f>
        <v>275.49301357645425</v>
      </c>
      <c r="C26" s="2696">
        <f>C25/(1+O25)</f>
        <v>232.41954707985698</v>
      </c>
      <c r="D26" s="2696">
        <f t="shared" si="28"/>
        <v>232.41954707985698</v>
      </c>
      <c r="E26" s="2696">
        <f t="shared" ref="E26:F28" si="39">E25/(1+P25)</f>
        <v>375.32184591008121</v>
      </c>
      <c r="F26" s="2696">
        <f t="shared" si="39"/>
        <v>218.03766105054513</v>
      </c>
      <c r="G26" s="3439"/>
      <c r="H26" s="2707">
        <v>3</v>
      </c>
      <c r="I26" s="2707">
        <v>0.09</v>
      </c>
      <c r="J26" s="2707">
        <v>0.28999999999999998</v>
      </c>
      <c r="K26" s="2707">
        <v>-0.01</v>
      </c>
      <c r="L26" s="2708">
        <v>0.57999999999999996</v>
      </c>
      <c r="N26" s="2691">
        <f t="shared" si="30"/>
        <v>8.9999999999999998E-4</v>
      </c>
      <c r="O26" s="2692">
        <f t="shared" si="30"/>
        <v>2.8999999999999998E-3</v>
      </c>
      <c r="P26" s="2692">
        <f t="shared" si="30"/>
        <v>-1E-4</v>
      </c>
      <c r="Q26" s="2692">
        <f t="shared" si="30"/>
        <v>5.7999999999999996E-3</v>
      </c>
      <c r="R26" s="2693"/>
      <c r="S26" s="2691"/>
      <c r="T26" s="2692"/>
      <c r="U26" s="2692"/>
      <c r="V26" s="2692"/>
    </row>
    <row r="27" spans="1:34">
      <c r="A27" s="2682" t="s">
        <v>2596</v>
      </c>
      <c r="B27" s="2696">
        <f>B26/(1+N26)</f>
        <v>275.24529281292263</v>
      </c>
      <c r="C27" s="2696">
        <f>C26/(1+O26)</f>
        <v>231.74747938962707</v>
      </c>
      <c r="D27" s="2696">
        <f t="shared" si="28"/>
        <v>231.74747938962707</v>
      </c>
      <c r="E27" s="2696">
        <f t="shared" si="39"/>
        <v>375.35938184826603</v>
      </c>
      <c r="F27" s="2696">
        <f t="shared" si="39"/>
        <v>216.78033510692495</v>
      </c>
      <c r="G27" s="3439"/>
      <c r="H27" s="2687">
        <v>2</v>
      </c>
      <c r="I27" s="2687">
        <v>0.02</v>
      </c>
      <c r="J27" s="2687">
        <v>0.12</v>
      </c>
      <c r="K27" s="2687">
        <v>-0.08</v>
      </c>
      <c r="L27" s="2698">
        <v>1.24</v>
      </c>
      <c r="N27" s="2691">
        <f t="shared" si="30"/>
        <v>2.0000000000000001E-4</v>
      </c>
      <c r="O27" s="2692">
        <f t="shared" si="30"/>
        <v>1.1999999999999999E-3</v>
      </c>
      <c r="P27" s="2692">
        <f t="shared" si="30"/>
        <v>-8.0000000000000004E-4</v>
      </c>
      <c r="Q27" s="2692">
        <f t="shared" si="30"/>
        <v>1.24E-2</v>
      </c>
      <c r="R27" s="2693"/>
      <c r="S27" s="2691"/>
      <c r="T27" s="2692"/>
      <c r="U27" s="2692"/>
      <c r="V27" s="2692"/>
    </row>
    <row r="28" spans="1:34" ht="13.5" thickBot="1">
      <c r="A28" s="2682" t="s">
        <v>2597</v>
      </c>
      <c r="B28" s="2696">
        <f>B27/(1+N27)</f>
        <v>275.19025476197027</v>
      </c>
      <c r="C28" s="2728">
        <v>232</v>
      </c>
      <c r="D28" s="2728">
        <f t="shared" si="28"/>
        <v>232</v>
      </c>
      <c r="E28" s="2696">
        <f t="shared" si="39"/>
        <v>375.65990977608692</v>
      </c>
      <c r="F28" s="2696">
        <f t="shared" si="39"/>
        <v>214.12518283971252</v>
      </c>
      <c r="G28" s="3440"/>
      <c r="H28" s="2686">
        <v>1</v>
      </c>
      <c r="I28" s="2686">
        <v>0.02</v>
      </c>
      <c r="J28" s="2686">
        <v>0.13</v>
      </c>
      <c r="K28" s="2686">
        <v>-0.04</v>
      </c>
      <c r="L28" s="2697">
        <v>0.46</v>
      </c>
      <c r="N28" s="2691">
        <f t="shared" si="30"/>
        <v>2.0000000000000001E-4</v>
      </c>
      <c r="O28" s="2692">
        <f t="shared" si="30"/>
        <v>1.2999999999999999E-3</v>
      </c>
      <c r="P28" s="2692">
        <f t="shared" si="30"/>
        <v>-4.0000000000000002E-4</v>
      </c>
      <c r="Q28" s="2692">
        <f t="shared" si="30"/>
        <v>4.5999999999999999E-3</v>
      </c>
      <c r="R28" s="2693"/>
      <c r="S28" s="2699">
        <f>B28/B29-1</f>
        <v>6.9183549807361189E-4</v>
      </c>
      <c r="T28" s="2700">
        <f>C28/C29-1</f>
        <v>0</v>
      </c>
      <c r="U28" s="2700">
        <f>E28/E29-1</f>
        <v>-9.0449527636460303E-4</v>
      </c>
      <c r="V28" s="2700">
        <f>F28/F29-1</f>
        <v>5.2825485432512753E-3</v>
      </c>
      <c r="X28" s="2701"/>
      <c r="Y28" s="2701"/>
      <c r="Z28" s="2701"/>
    </row>
    <row r="29" spans="1:34" ht="13.5" thickBot="1">
      <c r="A29" s="2682" t="s">
        <v>2598</v>
      </c>
      <c r="B29" s="2688">
        <v>275</v>
      </c>
      <c r="C29" s="2688">
        <v>232</v>
      </c>
      <c r="D29" s="2688">
        <f t="shared" si="28"/>
        <v>232</v>
      </c>
      <c r="E29" s="2688">
        <v>376</v>
      </c>
      <c r="F29" s="2689">
        <v>213</v>
      </c>
      <c r="G29" s="3438">
        <v>2011</v>
      </c>
      <c r="H29" s="2702">
        <v>4</v>
      </c>
      <c r="I29" s="2702">
        <v>-0.2</v>
      </c>
      <c r="J29" s="2702">
        <v>0.04</v>
      </c>
      <c r="K29" s="2702">
        <v>-0.34</v>
      </c>
      <c r="L29" s="2703">
        <v>0.46</v>
      </c>
      <c r="N29" s="2704">
        <f t="shared" si="30"/>
        <v>-2E-3</v>
      </c>
      <c r="O29" s="2705">
        <f t="shared" si="30"/>
        <v>4.0000000000000002E-4</v>
      </c>
      <c r="P29" s="2705">
        <f t="shared" si="30"/>
        <v>-3.4000000000000002E-3</v>
      </c>
      <c r="Q29" s="2705">
        <f t="shared" si="30"/>
        <v>4.5999999999999999E-3</v>
      </c>
      <c r="R29" s="2693"/>
      <c r="S29" s="2694"/>
      <c r="T29" s="2695"/>
      <c r="U29" s="2695"/>
      <c r="V29" s="2695"/>
      <c r="X29" s="2695"/>
      <c r="Y29" s="2695"/>
      <c r="Z29" s="2695"/>
    </row>
    <row r="30" spans="1:34">
      <c r="A30" s="2682" t="s">
        <v>2599</v>
      </c>
      <c r="B30" s="2696">
        <f t="shared" ref="B30:C32" si="40">B29/(1+N29)</f>
        <v>275.55110220440883</v>
      </c>
      <c r="C30" s="2696">
        <f t="shared" si="40"/>
        <v>231.90723710515795</v>
      </c>
      <c r="D30" s="2696">
        <f t="shared" si="28"/>
        <v>231.90723710515795</v>
      </c>
      <c r="E30" s="2696">
        <f t="shared" ref="E30:F32" si="41">E29/(1+P29)</f>
        <v>377.28276138872161</v>
      </c>
      <c r="F30" s="2696">
        <f t="shared" si="41"/>
        <v>212.02468644236512</v>
      </c>
      <c r="G30" s="3439">
        <v>2011</v>
      </c>
      <c r="H30" s="2707">
        <v>3</v>
      </c>
      <c r="I30" s="2707">
        <v>0.13</v>
      </c>
      <c r="J30" s="2707">
        <v>0.75</v>
      </c>
      <c r="K30" s="2707">
        <v>-0.08</v>
      </c>
      <c r="L30" s="2708">
        <v>0.53</v>
      </c>
      <c r="N30" s="2691">
        <f t="shared" si="30"/>
        <v>1.2999999999999999E-3</v>
      </c>
      <c r="O30" s="2709">
        <f t="shared" si="30"/>
        <v>7.4999999999999997E-3</v>
      </c>
      <c r="P30" s="2709">
        <f t="shared" si="30"/>
        <v>-8.0000000000000004E-4</v>
      </c>
      <c r="Q30" s="2709">
        <f t="shared" si="30"/>
        <v>5.3E-3</v>
      </c>
      <c r="R30" s="2693"/>
      <c r="S30" s="2691"/>
      <c r="T30" s="2692"/>
      <c r="U30" s="2692"/>
      <c r="V30" s="2692"/>
    </row>
    <row r="31" spans="1:34">
      <c r="A31" s="2682" t="s">
        <v>2600</v>
      </c>
      <c r="B31" s="2696">
        <f t="shared" si="40"/>
        <v>275.19335084830601</v>
      </c>
      <c r="C31" s="2696">
        <f t="shared" si="40"/>
        <v>230.18088050139744</v>
      </c>
      <c r="D31" s="2696">
        <f t="shared" si="28"/>
        <v>230.18088050139744</v>
      </c>
      <c r="E31" s="2696">
        <f t="shared" si="41"/>
        <v>377.58482925212331</v>
      </c>
      <c r="F31" s="2696">
        <f t="shared" si="41"/>
        <v>210.90687997847917</v>
      </c>
      <c r="G31" s="3439">
        <v>2011</v>
      </c>
      <c r="H31" s="2687">
        <v>2</v>
      </c>
      <c r="I31" s="2687">
        <v>-0.4</v>
      </c>
      <c r="J31" s="2687">
        <v>0.17</v>
      </c>
      <c r="K31" s="2687">
        <v>-0.57999999999999996</v>
      </c>
      <c r="L31" s="2698">
        <v>-0.2</v>
      </c>
      <c r="N31" s="2691">
        <f t="shared" si="30"/>
        <v>-4.0000000000000001E-3</v>
      </c>
      <c r="O31" s="2709">
        <f t="shared" si="30"/>
        <v>1.7000000000000001E-3</v>
      </c>
      <c r="P31" s="2709">
        <f t="shared" si="30"/>
        <v>-5.7999999999999996E-3</v>
      </c>
      <c r="Q31" s="2709">
        <f t="shared" si="30"/>
        <v>-2E-3</v>
      </c>
      <c r="R31" s="2693"/>
      <c r="S31" s="2691"/>
      <c r="T31" s="2692"/>
      <c r="U31" s="2692"/>
      <c r="V31" s="2692"/>
    </row>
    <row r="32" spans="1:34" ht="13.5" thickBot="1">
      <c r="A32" s="2682" t="s">
        <v>2601</v>
      </c>
      <c r="B32" s="2696">
        <f t="shared" si="40"/>
        <v>276.29854502841971</v>
      </c>
      <c r="C32" s="2696">
        <f t="shared" si="40"/>
        <v>229.79023709833027</v>
      </c>
      <c r="D32" s="2696">
        <f t="shared" si="28"/>
        <v>229.79023709833027</v>
      </c>
      <c r="E32" s="2696">
        <f t="shared" si="41"/>
        <v>379.78759731655936</v>
      </c>
      <c r="F32" s="2696">
        <f t="shared" si="41"/>
        <v>211.32953905659235</v>
      </c>
      <c r="G32" s="3440">
        <v>2011</v>
      </c>
      <c r="H32" s="2686">
        <v>1</v>
      </c>
      <c r="I32" s="2686">
        <v>2.65</v>
      </c>
      <c r="J32" s="2686">
        <v>3.76</v>
      </c>
      <c r="K32" s="2686">
        <v>1.89</v>
      </c>
      <c r="L32" s="2697">
        <v>7.95</v>
      </c>
      <c r="N32" s="2699">
        <f t="shared" si="30"/>
        <v>2.6499999999999999E-2</v>
      </c>
      <c r="O32" s="2700">
        <f t="shared" si="30"/>
        <v>3.7599999999999995E-2</v>
      </c>
      <c r="P32" s="2700">
        <f t="shared" si="30"/>
        <v>1.89E-2</v>
      </c>
      <c r="Q32" s="2700">
        <f t="shared" si="30"/>
        <v>7.9500000000000001E-2</v>
      </c>
      <c r="R32" s="2693"/>
      <c r="S32" s="2699">
        <f>B32/B33-1</f>
        <v>2.713213765211786E-2</v>
      </c>
      <c r="T32" s="2700">
        <f>C32/C33-1</f>
        <v>3.9774828499231862E-2</v>
      </c>
      <c r="U32" s="2700">
        <f>E32/E33-1</f>
        <v>1.8197311840641772E-2</v>
      </c>
      <c r="V32" s="2700">
        <f>F32/F33-1</f>
        <v>7.8211933962205826E-2</v>
      </c>
      <c r="X32" s="2701"/>
      <c r="Y32" s="2701"/>
      <c r="Z32" s="2701"/>
    </row>
    <row r="33" spans="1:26" ht="13.5" thickBot="1">
      <c r="A33" s="2682" t="s">
        <v>2602</v>
      </c>
      <c r="B33" s="2688">
        <v>269</v>
      </c>
      <c r="C33" s="2688">
        <v>221</v>
      </c>
      <c r="D33" s="2688">
        <f t="shared" si="28"/>
        <v>221</v>
      </c>
      <c r="E33" s="2688">
        <v>373</v>
      </c>
      <c r="F33" s="2689">
        <v>196</v>
      </c>
      <c r="G33" s="3438">
        <v>2010</v>
      </c>
      <c r="H33" s="2702">
        <v>4</v>
      </c>
      <c r="I33" s="2702">
        <v>5.72</v>
      </c>
      <c r="J33" s="2702">
        <v>6.57</v>
      </c>
      <c r="K33" s="2702">
        <v>5.72</v>
      </c>
      <c r="L33" s="2703">
        <v>2.72</v>
      </c>
      <c r="N33" s="2691">
        <f t="shared" si="30"/>
        <v>5.7200000000000001E-2</v>
      </c>
      <c r="O33" s="2692">
        <f t="shared" si="30"/>
        <v>6.5700000000000008E-2</v>
      </c>
      <c r="P33" s="2692">
        <f t="shared" si="30"/>
        <v>5.7200000000000001E-2</v>
      </c>
      <c r="Q33" s="2692">
        <f t="shared" si="30"/>
        <v>2.7200000000000002E-2</v>
      </c>
      <c r="R33" s="2693"/>
      <c r="S33" s="2694"/>
      <c r="T33" s="2695"/>
      <c r="U33" s="2695"/>
      <c r="V33" s="2695"/>
      <c r="X33" s="2695"/>
      <c r="Y33" s="2695"/>
      <c r="Z33" s="2695"/>
    </row>
    <row r="34" spans="1:26">
      <c r="A34" s="2682" t="s">
        <v>2603</v>
      </c>
      <c r="B34" s="2696">
        <f t="shared" ref="B34:C36" si="42">B33/(1+N33)</f>
        <v>254.44570563753314</v>
      </c>
      <c r="C34" s="2696">
        <f t="shared" si="42"/>
        <v>207.37543398705074</v>
      </c>
      <c r="D34" s="2696">
        <f t="shared" si="28"/>
        <v>207.37543398705074</v>
      </c>
      <c r="E34" s="2696">
        <f t="shared" ref="E34:F36" si="43">E33/(1+P33)</f>
        <v>352.81876655315932</v>
      </c>
      <c r="F34" s="2696">
        <f t="shared" si="43"/>
        <v>190.809968847352</v>
      </c>
      <c r="G34" s="3439">
        <v>2010</v>
      </c>
      <c r="H34" s="2707">
        <v>3</v>
      </c>
      <c r="I34" s="2707">
        <v>4.7300000000000004</v>
      </c>
      <c r="J34" s="2707">
        <v>3.9</v>
      </c>
      <c r="K34" s="2707">
        <v>5.03</v>
      </c>
      <c r="L34" s="2708">
        <v>4.21</v>
      </c>
      <c r="N34" s="2691">
        <f t="shared" si="30"/>
        <v>4.7300000000000002E-2</v>
      </c>
      <c r="O34" s="2692">
        <f t="shared" si="30"/>
        <v>3.9E-2</v>
      </c>
      <c r="P34" s="2692">
        <f t="shared" si="30"/>
        <v>5.0300000000000004E-2</v>
      </c>
      <c r="Q34" s="2692">
        <f t="shared" si="30"/>
        <v>4.2099999999999999E-2</v>
      </c>
      <c r="R34" s="2693"/>
      <c r="S34" s="2691"/>
      <c r="T34" s="2692"/>
      <c r="U34" s="2692"/>
      <c r="V34" s="2692"/>
    </row>
    <row r="35" spans="1:26">
      <c r="A35" s="2682" t="s">
        <v>2604</v>
      </c>
      <c r="B35" s="2696">
        <f t="shared" si="42"/>
        <v>242.95398227588385</v>
      </c>
      <c r="C35" s="2696">
        <f t="shared" si="42"/>
        <v>199.59137053614126</v>
      </c>
      <c r="D35" s="2696">
        <f t="shared" si="28"/>
        <v>199.59137053614126</v>
      </c>
      <c r="E35" s="2696">
        <f t="shared" si="43"/>
        <v>335.92189522342125</v>
      </c>
      <c r="F35" s="2696">
        <f t="shared" si="43"/>
        <v>183.10139991109489</v>
      </c>
      <c r="G35" s="3439">
        <v>2010</v>
      </c>
      <c r="H35" s="2687">
        <v>2</v>
      </c>
      <c r="I35" s="2687">
        <v>4.6900000000000004</v>
      </c>
      <c r="J35" s="2687">
        <v>3.55</v>
      </c>
      <c r="K35" s="2687">
        <v>5.07</v>
      </c>
      <c r="L35" s="2698">
        <v>4.2300000000000004</v>
      </c>
      <c r="N35" s="2691">
        <f t="shared" si="30"/>
        <v>4.6900000000000004E-2</v>
      </c>
      <c r="O35" s="2692">
        <f t="shared" si="30"/>
        <v>3.5499999999999997E-2</v>
      </c>
      <c r="P35" s="2692">
        <f t="shared" si="30"/>
        <v>5.0700000000000002E-2</v>
      </c>
      <c r="Q35" s="2692">
        <f t="shared" si="30"/>
        <v>4.2300000000000004E-2</v>
      </c>
      <c r="R35" s="2693"/>
      <c r="S35" s="2691"/>
      <c r="T35" s="2692"/>
      <c r="U35" s="2692"/>
      <c r="V35" s="2692"/>
    </row>
    <row r="36" spans="1:26" ht="13.5" thickBot="1">
      <c r="A36" s="2682" t="s">
        <v>2605</v>
      </c>
      <c r="B36" s="2696">
        <f t="shared" si="42"/>
        <v>232.06990378821649</v>
      </c>
      <c r="C36" s="2696">
        <f t="shared" si="42"/>
        <v>192.74878854286936</v>
      </c>
      <c r="D36" s="2696">
        <f t="shared" si="28"/>
        <v>192.74878854286936</v>
      </c>
      <c r="E36" s="2696">
        <f t="shared" si="43"/>
        <v>319.71247284992984</v>
      </c>
      <c r="F36" s="2696">
        <f t="shared" si="43"/>
        <v>175.67053622862409</v>
      </c>
      <c r="G36" s="3440">
        <v>2010</v>
      </c>
      <c r="H36" s="2686">
        <v>1</v>
      </c>
      <c r="I36" s="2686">
        <v>5.4</v>
      </c>
      <c r="J36" s="2686">
        <v>3.2</v>
      </c>
      <c r="K36" s="2686">
        <v>6.16</v>
      </c>
      <c r="L36" s="2697">
        <v>4.51</v>
      </c>
      <c r="N36" s="2691">
        <f t="shared" si="30"/>
        <v>5.4000000000000006E-2</v>
      </c>
      <c r="O36" s="2692">
        <f t="shared" si="30"/>
        <v>3.2000000000000001E-2</v>
      </c>
      <c r="P36" s="2692">
        <f t="shared" si="30"/>
        <v>6.1600000000000002E-2</v>
      </c>
      <c r="Q36" s="2692">
        <f t="shared" si="30"/>
        <v>4.5100000000000001E-2</v>
      </c>
      <c r="R36" s="2693"/>
      <c r="S36" s="2699">
        <f>B36/B37-1</f>
        <v>5.4863199037347599E-2</v>
      </c>
      <c r="T36" s="2700">
        <f>C36/C37-1</f>
        <v>3.0742184721226584E-2</v>
      </c>
      <c r="U36" s="2700">
        <f>E36/E37-1</f>
        <v>6.2167683886810154E-2</v>
      </c>
      <c r="V36" s="2700">
        <f>F36/F37-1</f>
        <v>4.5657953741810031E-2</v>
      </c>
      <c r="X36" s="2701"/>
      <c r="Y36" s="2701"/>
      <c r="Z36" s="2701"/>
    </row>
    <row r="37" spans="1:26" ht="13.5" thickBot="1">
      <c r="A37" s="2682" t="s">
        <v>2606</v>
      </c>
      <c r="B37" s="2688">
        <v>220</v>
      </c>
      <c r="C37" s="2688">
        <v>187</v>
      </c>
      <c r="D37" s="2688">
        <f t="shared" si="28"/>
        <v>187</v>
      </c>
      <c r="E37" s="2688">
        <v>301</v>
      </c>
      <c r="F37" s="2689">
        <v>168</v>
      </c>
      <c r="G37" s="3438">
        <v>2009</v>
      </c>
      <c r="H37" s="2702">
        <v>4</v>
      </c>
      <c r="I37" s="2702">
        <v>2.2999999999999998</v>
      </c>
      <c r="J37" s="2702">
        <v>1.04</v>
      </c>
      <c r="K37" s="2702">
        <v>2.84</v>
      </c>
      <c r="L37" s="2703">
        <v>0.67</v>
      </c>
      <c r="N37" s="2704">
        <f t="shared" si="30"/>
        <v>2.3E-2</v>
      </c>
      <c r="O37" s="2705">
        <f t="shared" si="30"/>
        <v>1.04E-2</v>
      </c>
      <c r="P37" s="2705">
        <f t="shared" si="30"/>
        <v>2.8399999999999998E-2</v>
      </c>
      <c r="Q37" s="2705">
        <f t="shared" si="30"/>
        <v>6.7000000000000002E-3</v>
      </c>
      <c r="R37" s="2693"/>
      <c r="S37" s="2694"/>
      <c r="T37" s="2695"/>
      <c r="U37" s="2695"/>
      <c r="V37" s="2695"/>
      <c r="X37" s="2695"/>
      <c r="Y37" s="2695"/>
      <c r="Z37" s="2695"/>
    </row>
    <row r="38" spans="1:26">
      <c r="A38" s="2682" t="s">
        <v>2607</v>
      </c>
      <c r="B38" s="2696">
        <f t="shared" ref="B38:C40" si="44">B37/(1+N37)</f>
        <v>215.05376344086022</v>
      </c>
      <c r="C38" s="2696">
        <f t="shared" si="44"/>
        <v>185.0752177355503</v>
      </c>
      <c r="D38" s="2696">
        <f t="shared" si="28"/>
        <v>185.0752177355503</v>
      </c>
      <c r="E38" s="2696">
        <f t="shared" ref="E38:F40" si="45">E37/(1+P37)</f>
        <v>292.68767016725008</v>
      </c>
      <c r="F38" s="2696">
        <f t="shared" si="45"/>
        <v>166.88189132810174</v>
      </c>
      <c r="G38" s="3439">
        <v>2009</v>
      </c>
      <c r="H38" s="2707">
        <v>3</v>
      </c>
      <c r="I38" s="2707">
        <v>2.1</v>
      </c>
      <c r="J38" s="2707">
        <v>1.86</v>
      </c>
      <c r="K38" s="2707">
        <v>2.29</v>
      </c>
      <c r="L38" s="2708">
        <v>0.85</v>
      </c>
      <c r="N38" s="2691">
        <f t="shared" si="30"/>
        <v>2.1000000000000001E-2</v>
      </c>
      <c r="O38" s="2709">
        <f t="shared" si="30"/>
        <v>1.8600000000000002E-2</v>
      </c>
      <c r="P38" s="2709">
        <f t="shared" si="30"/>
        <v>2.29E-2</v>
      </c>
      <c r="Q38" s="2709">
        <f t="shared" si="30"/>
        <v>8.5000000000000006E-3</v>
      </c>
      <c r="R38" s="2693"/>
      <c r="S38" s="2691"/>
      <c r="T38" s="2692"/>
      <c r="U38" s="2692"/>
      <c r="V38" s="2692"/>
    </row>
    <row r="39" spans="1:26">
      <c r="A39" s="2682" t="s">
        <v>2608</v>
      </c>
      <c r="B39" s="2696">
        <f t="shared" si="44"/>
        <v>210.630522469011</v>
      </c>
      <c r="C39" s="2696">
        <f t="shared" si="44"/>
        <v>181.69567812247232</v>
      </c>
      <c r="D39" s="2696">
        <f t="shared" si="28"/>
        <v>181.69567812247232</v>
      </c>
      <c r="E39" s="2696">
        <f t="shared" si="45"/>
        <v>286.13517466736738</v>
      </c>
      <c r="F39" s="2696">
        <f t="shared" si="45"/>
        <v>165.47535084591149</v>
      </c>
      <c r="G39" s="3439">
        <v>2009</v>
      </c>
      <c r="H39" s="2687">
        <v>2</v>
      </c>
      <c r="I39" s="2687">
        <v>0.86</v>
      </c>
      <c r="J39" s="2687">
        <v>-1.1299999999999999</v>
      </c>
      <c r="K39" s="2687">
        <v>1.79</v>
      </c>
      <c r="L39" s="2698">
        <v>-2.0699999999999998</v>
      </c>
      <c r="N39" s="2691">
        <f t="shared" si="30"/>
        <v>8.6E-3</v>
      </c>
      <c r="O39" s="2709">
        <f t="shared" si="30"/>
        <v>-1.1299999999999999E-2</v>
      </c>
      <c r="P39" s="2709">
        <f t="shared" si="30"/>
        <v>1.7899999999999999E-2</v>
      </c>
      <c r="Q39" s="2709">
        <f t="shared" si="30"/>
        <v>-2.07E-2</v>
      </c>
      <c r="R39" s="2693"/>
      <c r="S39" s="2691"/>
      <c r="T39" s="2692"/>
      <c r="U39" s="2692"/>
      <c r="V39" s="2692"/>
    </row>
    <row r="40" spans="1:26">
      <c r="A40" s="2682" t="s">
        <v>2609</v>
      </c>
      <c r="B40" s="2696">
        <f t="shared" si="44"/>
        <v>208.83454537875372</v>
      </c>
      <c r="C40" s="2696">
        <f t="shared" si="44"/>
        <v>183.77230517090351</v>
      </c>
      <c r="D40" s="2696">
        <f t="shared" si="28"/>
        <v>183.77230517090351</v>
      </c>
      <c r="E40" s="2696">
        <f t="shared" si="45"/>
        <v>281.10342338870947</v>
      </c>
      <c r="F40" s="2696">
        <f t="shared" si="45"/>
        <v>168.97309388942256</v>
      </c>
      <c r="G40" s="3440">
        <v>2009</v>
      </c>
      <c r="H40" s="2686">
        <v>1</v>
      </c>
      <c r="I40" s="2686">
        <v>-2.64</v>
      </c>
      <c r="J40" s="2686">
        <v>-2.5299999999999998</v>
      </c>
      <c r="K40" s="2686">
        <v>-3.02</v>
      </c>
      <c r="L40" s="2697">
        <v>1.52</v>
      </c>
      <c r="N40" s="2699">
        <f t="shared" si="30"/>
        <v>-2.64E-2</v>
      </c>
      <c r="O40" s="2700">
        <f t="shared" si="30"/>
        <v>-2.53E-2</v>
      </c>
      <c r="P40" s="2700">
        <f t="shared" si="30"/>
        <v>-3.0200000000000001E-2</v>
      </c>
      <c r="Q40" s="2700">
        <f t="shared" si="30"/>
        <v>1.52E-2</v>
      </c>
      <c r="R40" s="2693"/>
      <c r="S40" s="2699">
        <f>B40/B41-1</f>
        <v>-2.4137638417038754E-2</v>
      </c>
      <c r="T40" s="2700">
        <f>C40/C41-1</f>
        <v>-2.248773845264096E-2</v>
      </c>
      <c r="U40" s="2700">
        <f>E40/E41-1</f>
        <v>-2.7323794502735366E-2</v>
      </c>
      <c r="V40" s="2700">
        <f>F40/F41-1</f>
        <v>1.7910204153148035E-2</v>
      </c>
      <c r="X40" s="2701"/>
      <c r="Y40" s="2701"/>
      <c r="Z40" s="2701"/>
    </row>
    <row r="41" spans="1:26" ht="13.5" thickBot="1">
      <c r="A41" s="2682" t="s">
        <v>2610</v>
      </c>
      <c r="B41" s="2726">
        <v>214</v>
      </c>
      <c r="C41" s="2726">
        <v>188</v>
      </c>
      <c r="D41" s="2726">
        <f t="shared" si="28"/>
        <v>188</v>
      </c>
      <c r="E41" s="2726">
        <v>289</v>
      </c>
      <c r="F41" s="2727">
        <v>166</v>
      </c>
      <c r="G41" s="3438">
        <v>2008</v>
      </c>
      <c r="H41" s="2702">
        <v>4</v>
      </c>
      <c r="I41" s="2702">
        <v>1.73</v>
      </c>
      <c r="J41" s="2702">
        <v>0.03</v>
      </c>
      <c r="K41" s="2702">
        <v>2.59</v>
      </c>
      <c r="L41" s="2703">
        <v>-1.66</v>
      </c>
      <c r="N41" s="2691">
        <f t="shared" si="30"/>
        <v>1.7299999999999999E-2</v>
      </c>
      <c r="O41" s="2692">
        <f t="shared" si="30"/>
        <v>2.9999999999999997E-4</v>
      </c>
      <c r="P41" s="2692">
        <f t="shared" si="30"/>
        <v>2.5899999999999999E-2</v>
      </c>
      <c r="Q41" s="2692">
        <f t="shared" si="30"/>
        <v>-1.66E-2</v>
      </c>
      <c r="R41" s="2693"/>
      <c r="S41" s="2694"/>
      <c r="T41" s="2695"/>
      <c r="U41" s="2695"/>
      <c r="V41" s="2695"/>
      <c r="X41" s="2695"/>
      <c r="Y41" s="2695"/>
      <c r="Z41" s="2695"/>
    </row>
    <row r="42" spans="1:26">
      <c r="A42" s="2682" t="s">
        <v>2611</v>
      </c>
      <c r="B42" s="2696">
        <f t="shared" ref="B42:C44" si="46">B41/(1+N41)</f>
        <v>210.36075887152265</v>
      </c>
      <c r="C42" s="2696">
        <f t="shared" si="46"/>
        <v>187.94361691492554</v>
      </c>
      <c r="D42" s="2696">
        <f t="shared" si="28"/>
        <v>187.94361691492554</v>
      </c>
      <c r="E42" s="2696">
        <f t="shared" ref="E42:F44" si="47">E41/(1+P41)</f>
        <v>281.70386977288234</v>
      </c>
      <c r="F42" s="2696">
        <f t="shared" si="47"/>
        <v>168.80211511083994</v>
      </c>
      <c r="G42" s="3439">
        <v>2008</v>
      </c>
      <c r="H42" s="2707">
        <v>3</v>
      </c>
      <c r="I42" s="2707">
        <v>1.96</v>
      </c>
      <c r="J42" s="2707">
        <v>2.36</v>
      </c>
      <c r="K42" s="2707">
        <v>1.82</v>
      </c>
      <c r="L42" s="2708">
        <v>2.2200000000000002</v>
      </c>
      <c r="N42" s="2691">
        <f t="shared" si="30"/>
        <v>1.9599999999999999E-2</v>
      </c>
      <c r="O42" s="2692">
        <f t="shared" si="30"/>
        <v>2.3599999999999999E-2</v>
      </c>
      <c r="P42" s="2692">
        <f t="shared" si="30"/>
        <v>1.8200000000000001E-2</v>
      </c>
      <c r="Q42" s="2692">
        <f t="shared" si="30"/>
        <v>2.2200000000000001E-2</v>
      </c>
      <c r="R42" s="2693"/>
      <c r="S42" s="2691"/>
      <c r="T42" s="2692"/>
      <c r="U42" s="2692"/>
      <c r="V42" s="2692"/>
    </row>
    <row r="43" spans="1:26">
      <c r="A43" s="2682" t="s">
        <v>2612</v>
      </c>
      <c r="B43" s="2696">
        <f t="shared" si="46"/>
        <v>206.31694671589116</v>
      </c>
      <c r="C43" s="2696">
        <f t="shared" si="46"/>
        <v>183.61041121036101</v>
      </c>
      <c r="D43" s="2696">
        <f t="shared" si="28"/>
        <v>183.61041121036101</v>
      </c>
      <c r="E43" s="2696">
        <f t="shared" si="47"/>
        <v>276.66850301795557</v>
      </c>
      <c r="F43" s="2696">
        <f t="shared" si="47"/>
        <v>165.1360938278614</v>
      </c>
      <c r="G43" s="3439">
        <v>2008</v>
      </c>
      <c r="H43" s="2687">
        <v>2</v>
      </c>
      <c r="I43" s="2687">
        <v>4.93</v>
      </c>
      <c r="J43" s="2687">
        <v>7.38</v>
      </c>
      <c r="K43" s="2687">
        <v>3.98</v>
      </c>
      <c r="L43" s="2698">
        <v>6.86</v>
      </c>
      <c r="N43" s="2691">
        <f t="shared" si="30"/>
        <v>4.9299999999999997E-2</v>
      </c>
      <c r="O43" s="2692">
        <f t="shared" si="30"/>
        <v>7.3800000000000004E-2</v>
      </c>
      <c r="P43" s="2692">
        <f t="shared" si="30"/>
        <v>3.9800000000000002E-2</v>
      </c>
      <c r="Q43" s="2692">
        <f t="shared" si="30"/>
        <v>6.8600000000000008E-2</v>
      </c>
      <c r="R43" s="2693"/>
      <c r="S43" s="2691"/>
      <c r="T43" s="2692"/>
      <c r="U43" s="2692"/>
      <c r="V43" s="2692"/>
    </row>
    <row r="44" spans="1:26" s="2732" customFormat="1" ht="13.5" thickBot="1">
      <c r="A44" s="2682" t="s">
        <v>2613</v>
      </c>
      <c r="B44" s="2729">
        <f t="shared" si="46"/>
        <v>196.62341248059772</v>
      </c>
      <c r="C44" s="2729">
        <f t="shared" si="46"/>
        <v>170.99125648199012</v>
      </c>
      <c r="D44" s="2729">
        <f t="shared" si="28"/>
        <v>170.99125648199012</v>
      </c>
      <c r="E44" s="2729">
        <f t="shared" si="47"/>
        <v>266.07857570490052</v>
      </c>
      <c r="F44" s="2729">
        <f t="shared" si="47"/>
        <v>154.53499328828505</v>
      </c>
      <c r="G44" s="3440">
        <v>2008</v>
      </c>
      <c r="H44" s="2730">
        <v>1</v>
      </c>
      <c r="I44" s="2730">
        <v>4.1399999999999997</v>
      </c>
      <c r="J44" s="2730">
        <v>3.45</v>
      </c>
      <c r="K44" s="2730">
        <v>4.95</v>
      </c>
      <c r="L44" s="2731">
        <v>4.82</v>
      </c>
      <c r="N44" s="2733">
        <f t="shared" si="30"/>
        <v>4.1399999999999999E-2</v>
      </c>
      <c r="O44" s="2734">
        <f t="shared" si="30"/>
        <v>3.4500000000000003E-2</v>
      </c>
      <c r="P44" s="2734">
        <f t="shared" si="30"/>
        <v>4.9500000000000002E-2</v>
      </c>
      <c r="Q44" s="2734">
        <f t="shared" si="30"/>
        <v>4.82E-2</v>
      </c>
      <c r="R44" s="2735"/>
      <c r="S44" s="2733">
        <f>B44/B45-1</f>
        <v>4.5869215322328349E-2</v>
      </c>
      <c r="T44" s="2734">
        <f>C44/C45-1</f>
        <v>3.6310645345394743E-2</v>
      </c>
      <c r="U44" s="2734">
        <f>E44/E45-1</f>
        <v>4.7553447657088688E-2</v>
      </c>
      <c r="V44" s="2734">
        <f>F44/F45-1</f>
        <v>4.4155360055980086E-2</v>
      </c>
      <c r="X44" s="2736"/>
      <c r="Y44" s="2736"/>
      <c r="Z44" s="2736"/>
    </row>
    <row r="45" spans="1:26" ht="13.5" thickBot="1">
      <c r="A45" s="2682" t="s">
        <v>2614</v>
      </c>
      <c r="B45" s="2688">
        <v>188</v>
      </c>
      <c r="C45" s="2688">
        <v>165</v>
      </c>
      <c r="D45" s="2688">
        <f t="shared" si="28"/>
        <v>165</v>
      </c>
      <c r="E45" s="2688">
        <v>254</v>
      </c>
      <c r="F45" s="2689">
        <v>148</v>
      </c>
      <c r="G45" s="3438">
        <v>2007</v>
      </c>
      <c r="H45" s="2737">
        <v>4</v>
      </c>
      <c r="I45" s="2737">
        <v>5.51</v>
      </c>
      <c r="J45" s="2737">
        <v>4.8899999999999997</v>
      </c>
      <c r="K45" s="2737">
        <v>6.43</v>
      </c>
      <c r="L45" s="2738">
        <v>5.36</v>
      </c>
      <c r="N45" s="2739">
        <f t="shared" ref="N45:O48" si="48">B45/B46-1</f>
        <v>4.1339718365245526E-2</v>
      </c>
      <c r="O45" s="2740">
        <f t="shared" si="48"/>
        <v>4.0324492593776018E-2</v>
      </c>
      <c r="P45" s="2740">
        <f t="shared" ref="P45:Q48" si="49">E45/E46-1</f>
        <v>6.1625555347990968E-2</v>
      </c>
      <c r="Q45" s="2740">
        <f t="shared" si="49"/>
        <v>4.6757569250590603E-2</v>
      </c>
      <c r="R45" s="2693"/>
      <c r="S45" s="2694"/>
      <c r="T45" s="2695"/>
      <c r="U45" s="2695"/>
      <c r="V45" s="2695"/>
      <c r="X45" s="2695"/>
      <c r="Y45" s="2695"/>
      <c r="Z45" s="2695"/>
    </row>
    <row r="46" spans="1:26">
      <c r="A46" s="2682" t="s">
        <v>2615</v>
      </c>
      <c r="B46" s="2696">
        <f t="shared" ref="B46:C48" si="50">B47+(B$45-B$49)*I46/SUM(I$45:I$48)</f>
        <v>180.5366651097618</v>
      </c>
      <c r="C46" s="2696">
        <f t="shared" si="50"/>
        <v>158.60435967302453</v>
      </c>
      <c r="D46" s="2696">
        <f t="shared" si="28"/>
        <v>158.60435967302453</v>
      </c>
      <c r="E46" s="2696">
        <f t="shared" ref="E46:F48" si="51">E47+(E$45-E$49)*K46/SUM(K$45:K$48)</f>
        <v>239.25573260785075</v>
      </c>
      <c r="F46" s="2696">
        <f t="shared" si="51"/>
        <v>141.38899430740037</v>
      </c>
      <c r="G46" s="3439">
        <v>2007</v>
      </c>
      <c r="H46" s="2707">
        <v>3</v>
      </c>
      <c r="I46" s="2707">
        <v>8.65</v>
      </c>
      <c r="J46" s="2707">
        <v>8.06</v>
      </c>
      <c r="K46" s="2707">
        <v>9.94</v>
      </c>
      <c r="L46" s="2708">
        <v>5.8</v>
      </c>
      <c r="N46" s="2739">
        <f t="shared" si="48"/>
        <v>6.940217571740015E-2</v>
      </c>
      <c r="O46" s="2740">
        <f t="shared" si="48"/>
        <v>7.1197482471153428E-2</v>
      </c>
      <c r="P46" s="2740">
        <f t="shared" si="49"/>
        <v>0.10529679922579582</v>
      </c>
      <c r="Q46" s="2740">
        <f t="shared" si="49"/>
        <v>5.3292245059512133E-2</v>
      </c>
      <c r="R46" s="2693"/>
      <c r="S46" s="2691"/>
      <c r="T46" s="2692"/>
      <c r="U46" s="2692"/>
      <c r="V46" s="2692"/>
      <c r="X46" s="2741"/>
      <c r="Y46" s="2741"/>
      <c r="Z46" s="2741"/>
    </row>
    <row r="47" spans="1:26">
      <c r="A47" s="2682" t="s">
        <v>2616</v>
      </c>
      <c r="B47" s="2696">
        <f t="shared" si="50"/>
        <v>168.82017748715555</v>
      </c>
      <c r="C47" s="2696">
        <f t="shared" si="50"/>
        <v>148.06267029972753</v>
      </c>
      <c r="D47" s="2696">
        <f t="shared" si="28"/>
        <v>148.06267029972753</v>
      </c>
      <c r="E47" s="2696">
        <f t="shared" si="51"/>
        <v>216.46288379323747</v>
      </c>
      <c r="F47" s="2696">
        <f t="shared" si="51"/>
        <v>134.23529411764704</v>
      </c>
      <c r="G47" s="3439">
        <v>2007</v>
      </c>
      <c r="H47" s="2687">
        <v>2</v>
      </c>
      <c r="I47" s="2687">
        <v>3.67</v>
      </c>
      <c r="J47" s="2687">
        <v>2.3199999999999998</v>
      </c>
      <c r="K47" s="2687">
        <v>5.0199999999999996</v>
      </c>
      <c r="L47" s="2698">
        <v>6.71</v>
      </c>
      <c r="N47" s="2739">
        <f t="shared" si="48"/>
        <v>3.0339138143848032E-2</v>
      </c>
      <c r="O47" s="2740">
        <f t="shared" si="48"/>
        <v>2.0922341588790472E-2</v>
      </c>
      <c r="P47" s="2740">
        <f t="shared" si="49"/>
        <v>5.6164796592717003E-2</v>
      </c>
      <c r="Q47" s="2740">
        <f t="shared" si="49"/>
        <v>6.5704536723887319E-2</v>
      </c>
      <c r="R47" s="2693"/>
      <c r="S47" s="2691"/>
      <c r="T47" s="2692"/>
      <c r="U47" s="2692"/>
      <c r="V47" s="2692"/>
      <c r="X47" s="2741"/>
      <c r="Y47" s="2741"/>
      <c r="Z47" s="2741"/>
    </row>
    <row r="48" spans="1:26">
      <c r="A48" s="2682" t="s">
        <v>2617</v>
      </c>
      <c r="B48" s="2696">
        <f t="shared" si="50"/>
        <v>163.84913591779542</v>
      </c>
      <c r="C48" s="2696">
        <f t="shared" si="50"/>
        <v>145.0283378746594</v>
      </c>
      <c r="D48" s="2696">
        <f t="shared" si="28"/>
        <v>145.0283378746594</v>
      </c>
      <c r="E48" s="2696">
        <f t="shared" si="51"/>
        <v>204.95180722891567</v>
      </c>
      <c r="F48" s="2696">
        <f t="shared" si="51"/>
        <v>125.95920303605313</v>
      </c>
      <c r="G48" s="3440">
        <v>2007</v>
      </c>
      <c r="H48" s="2686">
        <v>1</v>
      </c>
      <c r="I48" s="2686">
        <v>3.58</v>
      </c>
      <c r="J48" s="2686">
        <v>3.08</v>
      </c>
      <c r="K48" s="2686">
        <v>4.34</v>
      </c>
      <c r="L48" s="2697">
        <v>3.21</v>
      </c>
      <c r="N48" s="2742">
        <f t="shared" si="48"/>
        <v>3.0497710174814063E-2</v>
      </c>
      <c r="O48" s="2743">
        <f t="shared" si="48"/>
        <v>2.8569772160704998E-2</v>
      </c>
      <c r="P48" s="2743">
        <f t="shared" si="49"/>
        <v>5.1034908866234296E-2</v>
      </c>
      <c r="Q48" s="2743">
        <f t="shared" si="49"/>
        <v>3.245248390207478E-2</v>
      </c>
      <c r="R48" s="2693"/>
      <c r="S48" s="2699">
        <f>B48/B49-1</f>
        <v>3.0497710174814063E-2</v>
      </c>
      <c r="T48" s="2700">
        <f>C48/C49-1</f>
        <v>2.8569772160704998E-2</v>
      </c>
      <c r="U48" s="2700">
        <f>E48/E49-1</f>
        <v>5.1034908866234296E-2</v>
      </c>
      <c r="V48" s="2700">
        <f>F48/F49-1</f>
        <v>3.245248390207478E-2</v>
      </c>
      <c r="X48" s="2741"/>
      <c r="Y48" s="2741"/>
      <c r="Z48" s="2741"/>
    </row>
    <row r="49" spans="1:26" ht="13.5" thickBot="1">
      <c r="A49" s="2682" t="s">
        <v>2618</v>
      </c>
      <c r="B49" s="2710">
        <v>159</v>
      </c>
      <c r="C49" s="2710">
        <v>141</v>
      </c>
      <c r="D49" s="2710">
        <f t="shared" si="28"/>
        <v>141</v>
      </c>
      <c r="E49" s="2710">
        <v>195</v>
      </c>
      <c r="F49" s="2711">
        <v>122</v>
      </c>
      <c r="G49" s="3438">
        <v>2006</v>
      </c>
      <c r="H49" s="2702">
        <v>4</v>
      </c>
      <c r="I49" s="2702">
        <v>3.79</v>
      </c>
      <c r="J49" s="2702">
        <v>2.21</v>
      </c>
      <c r="K49" s="2702">
        <v>5.65</v>
      </c>
      <c r="L49" s="2703">
        <v>5.41</v>
      </c>
      <c r="N49" s="2739">
        <f t="shared" ref="N49:O52" si="52">I49/SUM(I$49:I$52)*(B$49/B$53-1)</f>
        <v>7.245466462748526E-2</v>
      </c>
      <c r="O49" s="2740">
        <f t="shared" si="52"/>
        <v>2.3237230038062766E-2</v>
      </c>
      <c r="P49" s="2740">
        <f t="shared" ref="P49:Q52" si="53">K49/SUM(K$49:K$52)*(E$49/E$53-1)</f>
        <v>0.16146893866323722</v>
      </c>
      <c r="Q49" s="2740">
        <f t="shared" si="53"/>
        <v>5.0755230321793784E-2</v>
      </c>
      <c r="R49" s="2693"/>
      <c r="S49" s="2694"/>
      <c r="T49" s="2695"/>
      <c r="U49" s="2695"/>
      <c r="V49" s="2695"/>
      <c r="X49" s="2741"/>
      <c r="Y49" s="2741"/>
      <c r="Z49" s="2741"/>
    </row>
    <row r="50" spans="1:26">
      <c r="A50" s="2682" t="s">
        <v>2619</v>
      </c>
      <c r="B50" s="2696">
        <f t="shared" ref="B50:C52" si="54">B51+(B$49-B$53)*I50/SUM(I$49:I$52)</f>
        <v>149.00125628140702</v>
      </c>
      <c r="C50" s="2696">
        <f t="shared" si="54"/>
        <v>137.95592286501378</v>
      </c>
      <c r="D50" s="2696">
        <f t="shared" si="28"/>
        <v>137.95592286501378</v>
      </c>
      <c r="E50" s="2696">
        <f t="shared" ref="E50:F52" si="55">E51+(E$49-E$53)*K50/SUM(K$49:K$52)</f>
        <v>169.97231450719823</v>
      </c>
      <c r="F50" s="2696">
        <f t="shared" si="55"/>
        <v>116.21390374331551</v>
      </c>
      <c r="G50" s="3439">
        <v>2006</v>
      </c>
      <c r="H50" s="2707">
        <v>3</v>
      </c>
      <c r="I50" s="2707">
        <v>0.92</v>
      </c>
      <c r="J50" s="2707">
        <v>1.08</v>
      </c>
      <c r="K50" s="2707">
        <v>0.73</v>
      </c>
      <c r="L50" s="2708">
        <v>1.08</v>
      </c>
      <c r="N50" s="2739">
        <f t="shared" si="52"/>
        <v>1.7587939698492462E-2</v>
      </c>
      <c r="O50" s="2740">
        <f t="shared" si="52"/>
        <v>1.1355750425840628E-2</v>
      </c>
      <c r="P50" s="2740">
        <f t="shared" si="53"/>
        <v>2.0862358446754544E-2</v>
      </c>
      <c r="Q50" s="2740">
        <f t="shared" si="53"/>
        <v>1.0132282578103011E-2</v>
      </c>
      <c r="R50" s="2693"/>
      <c r="S50" s="2691"/>
      <c r="T50" s="2692"/>
      <c r="U50" s="2692"/>
      <c r="V50" s="2692"/>
      <c r="X50" s="2741"/>
      <c r="Y50" s="2741"/>
      <c r="Z50" s="2741"/>
    </row>
    <row r="51" spans="1:26">
      <c r="A51" s="2682" t="s">
        <v>2620</v>
      </c>
      <c r="B51" s="2696">
        <f t="shared" si="54"/>
        <v>146.57412060301507</v>
      </c>
      <c r="C51" s="2696">
        <f t="shared" si="54"/>
        <v>136.46831955922866</v>
      </c>
      <c r="D51" s="2696">
        <f t="shared" si="28"/>
        <v>136.46831955922866</v>
      </c>
      <c r="E51" s="2696">
        <f t="shared" si="55"/>
        <v>166.73864894795128</v>
      </c>
      <c r="F51" s="2696">
        <f t="shared" si="55"/>
        <v>115.05882352941177</v>
      </c>
      <c r="G51" s="3439">
        <v>2006</v>
      </c>
      <c r="H51" s="2687">
        <v>2</v>
      </c>
      <c r="I51" s="2687">
        <v>0.96</v>
      </c>
      <c r="J51" s="2687">
        <v>0.25</v>
      </c>
      <c r="K51" s="2687">
        <v>1.9</v>
      </c>
      <c r="L51" s="2698">
        <v>0.95</v>
      </c>
      <c r="N51" s="2739">
        <f t="shared" si="52"/>
        <v>1.8352632728861701E-2</v>
      </c>
      <c r="O51" s="2740">
        <f t="shared" si="52"/>
        <v>2.6286459319075526E-3</v>
      </c>
      <c r="P51" s="2740">
        <f t="shared" si="53"/>
        <v>5.4299289107991269E-2</v>
      </c>
      <c r="Q51" s="2740">
        <f t="shared" si="53"/>
        <v>8.9126559714794995E-3</v>
      </c>
      <c r="R51" s="2693"/>
      <c r="S51" s="2691"/>
      <c r="T51" s="2692"/>
      <c r="U51" s="2692"/>
      <c r="V51" s="2692"/>
      <c r="X51" s="2741"/>
      <c r="Y51" s="2741"/>
      <c r="Z51" s="2741"/>
    </row>
    <row r="52" spans="1:26">
      <c r="A52" s="2682" t="s">
        <v>2621</v>
      </c>
      <c r="B52" s="2696">
        <f t="shared" si="54"/>
        <v>144.04145728643215</v>
      </c>
      <c r="C52" s="2696">
        <f t="shared" si="54"/>
        <v>136.12396694214877</v>
      </c>
      <c r="D52" s="2696">
        <f t="shared" si="28"/>
        <v>136.12396694214877</v>
      </c>
      <c r="E52" s="2696">
        <f t="shared" si="55"/>
        <v>158.32225913621264</v>
      </c>
      <c r="F52" s="2696">
        <f t="shared" si="55"/>
        <v>114.04278074866311</v>
      </c>
      <c r="G52" s="3440">
        <v>2006</v>
      </c>
      <c r="H52" s="2686">
        <v>1</v>
      </c>
      <c r="I52" s="2686">
        <v>2.29</v>
      </c>
      <c r="J52" s="2686">
        <v>3.72</v>
      </c>
      <c r="K52" s="2686">
        <v>0.75</v>
      </c>
      <c r="L52" s="2697">
        <v>0.04</v>
      </c>
      <c r="N52" s="2742">
        <f t="shared" si="52"/>
        <v>4.3778675988638847E-2</v>
      </c>
      <c r="O52" s="2743">
        <f t="shared" si="52"/>
        <v>3.9114251466784385E-2</v>
      </c>
      <c r="P52" s="2743">
        <f t="shared" si="53"/>
        <v>2.1433929911049188E-2</v>
      </c>
      <c r="Q52" s="2743">
        <f t="shared" si="53"/>
        <v>3.7526972511492629E-4</v>
      </c>
      <c r="R52" s="2693"/>
      <c r="S52" s="2699">
        <f>B52/B53-1</f>
        <v>4.3778675988638716E-2</v>
      </c>
      <c r="T52" s="2700">
        <f>C52/C53-1</f>
        <v>3.91142514667846E-2</v>
      </c>
      <c r="U52" s="2700">
        <f>E52/E53-1</f>
        <v>2.143392991104931E-2</v>
      </c>
      <c r="V52" s="2700">
        <f>F52/F53-1</f>
        <v>3.7526972511492396E-4</v>
      </c>
      <c r="X52" s="2741"/>
      <c r="Y52" s="2741"/>
      <c r="Z52" s="2741"/>
    </row>
    <row r="53" spans="1:26" ht="13.5" thickBot="1">
      <c r="A53" s="2682" t="s">
        <v>2622</v>
      </c>
      <c r="B53" s="2710">
        <v>138</v>
      </c>
      <c r="C53" s="2710">
        <v>131</v>
      </c>
      <c r="D53" s="2710">
        <f t="shared" si="28"/>
        <v>131</v>
      </c>
      <c r="E53" s="2710">
        <v>155</v>
      </c>
      <c r="F53" s="2711">
        <v>114</v>
      </c>
      <c r="G53" s="3438">
        <v>2005</v>
      </c>
      <c r="H53" s="2702">
        <v>4</v>
      </c>
      <c r="I53" s="2702">
        <v>3.29</v>
      </c>
      <c r="J53" s="2702">
        <v>1.44</v>
      </c>
      <c r="K53" s="2702">
        <v>0.66</v>
      </c>
      <c r="L53" s="2703">
        <v>7.78</v>
      </c>
      <c r="N53" s="2739">
        <f t="shared" ref="N53:O56" si="56">I53/SUM(I$53:I$56)*(B$53/B$57-1)</f>
        <v>9.9404603216919935E-2</v>
      </c>
      <c r="O53" s="2740">
        <f t="shared" si="56"/>
        <v>4.7636550760861554E-2</v>
      </c>
      <c r="P53" s="2740">
        <f t="shared" ref="P53:Q56" si="57">K53/SUM(K$53:K$56)*(E$53/E$57-1)</f>
        <v>8.3756345177664976E-2</v>
      </c>
      <c r="Q53" s="2740">
        <f t="shared" si="57"/>
        <v>5.2148766661559584E-2</v>
      </c>
      <c r="R53" s="2693"/>
      <c r="S53" s="2694"/>
      <c r="T53" s="2695"/>
      <c r="U53" s="2695"/>
      <c r="V53" s="2695"/>
      <c r="X53" s="2741"/>
      <c r="Y53" s="2741"/>
      <c r="Z53" s="2741"/>
    </row>
    <row r="54" spans="1:26">
      <c r="A54" s="2682" t="s">
        <v>2623</v>
      </c>
      <c r="B54" s="2696">
        <f t="shared" ref="B54:C56" si="58">B55+(B$53-B$57)*I54/SUM(I$53:I$56)</f>
        <v>125.9720430107527</v>
      </c>
      <c r="C54" s="2696">
        <f t="shared" si="58"/>
        <v>125.1883408071749</v>
      </c>
      <c r="D54" s="2696">
        <f t="shared" si="28"/>
        <v>125.1883408071749</v>
      </c>
      <c r="E54" s="2696">
        <f t="shared" ref="E54:F56" si="59">E55+(E$53-E$57)*K54/SUM(K$53:K$56)</f>
        <v>144.61421319796952</v>
      </c>
      <c r="F54" s="2696">
        <f t="shared" si="59"/>
        <v>108.42008196721311</v>
      </c>
      <c r="G54" s="3439">
        <v>2005</v>
      </c>
      <c r="H54" s="2707">
        <v>3</v>
      </c>
      <c r="I54" s="2707">
        <v>0.46</v>
      </c>
      <c r="J54" s="2707">
        <v>0.32</v>
      </c>
      <c r="K54" s="2707">
        <v>0.42</v>
      </c>
      <c r="L54" s="2708">
        <v>0.64</v>
      </c>
      <c r="N54" s="2739">
        <f t="shared" si="56"/>
        <v>1.3898515951301874E-2</v>
      </c>
      <c r="O54" s="2740">
        <f t="shared" si="56"/>
        <v>1.0585900169080346E-2</v>
      </c>
      <c r="P54" s="2740">
        <f t="shared" si="57"/>
        <v>5.3299492385786795E-2</v>
      </c>
      <c r="Q54" s="2740">
        <f t="shared" si="57"/>
        <v>4.2898728359123568E-3</v>
      </c>
      <c r="R54" s="2693"/>
      <c r="S54" s="2691"/>
      <c r="T54" s="2692"/>
      <c r="U54" s="2692"/>
      <c r="V54" s="2692"/>
      <c r="X54" s="2741"/>
      <c r="Y54" s="2741"/>
      <c r="Z54" s="2741"/>
    </row>
    <row r="55" spans="1:26">
      <c r="A55" s="2682" t="s">
        <v>2624</v>
      </c>
      <c r="B55" s="2696">
        <f t="shared" si="58"/>
        <v>124.29032258064517</v>
      </c>
      <c r="C55" s="2696">
        <f t="shared" si="58"/>
        <v>123.8968609865471</v>
      </c>
      <c r="D55" s="2696">
        <f t="shared" si="28"/>
        <v>123.8968609865471</v>
      </c>
      <c r="E55" s="2696">
        <f t="shared" si="59"/>
        <v>138.00507614213197</v>
      </c>
      <c r="F55" s="2696">
        <f t="shared" si="59"/>
        <v>107.96106557377048</v>
      </c>
      <c r="G55" s="3439">
        <v>2005</v>
      </c>
      <c r="H55" s="2687">
        <v>2</v>
      </c>
      <c r="I55" s="2687">
        <v>0.47</v>
      </c>
      <c r="J55" s="2687">
        <v>0.1</v>
      </c>
      <c r="K55" s="2687">
        <v>0.52</v>
      </c>
      <c r="L55" s="2698">
        <v>0.79</v>
      </c>
      <c r="N55" s="2739">
        <f t="shared" si="56"/>
        <v>1.420065760241713E-2</v>
      </c>
      <c r="O55" s="2740">
        <f t="shared" si="56"/>
        <v>3.3080938028376083E-3</v>
      </c>
      <c r="P55" s="2740">
        <f t="shared" si="57"/>
        <v>6.598984771573603E-2</v>
      </c>
      <c r="Q55" s="2740">
        <f t="shared" si="57"/>
        <v>5.2953117818293153E-3</v>
      </c>
      <c r="R55" s="2693"/>
      <c r="S55" s="2691"/>
      <c r="T55" s="2692"/>
      <c r="U55" s="2692"/>
      <c r="V55" s="2692"/>
      <c r="X55" s="2741"/>
      <c r="Y55" s="2741"/>
      <c r="Z55" s="2741"/>
    </row>
    <row r="56" spans="1:26">
      <c r="A56" s="2682" t="s">
        <v>2625</v>
      </c>
      <c r="B56" s="2696">
        <f t="shared" si="58"/>
        <v>122.57204301075269</v>
      </c>
      <c r="C56" s="2696">
        <f t="shared" si="58"/>
        <v>123.4932735426009</v>
      </c>
      <c r="D56" s="2696">
        <f t="shared" si="28"/>
        <v>123.4932735426009</v>
      </c>
      <c r="E56" s="2696">
        <f t="shared" si="59"/>
        <v>129.82233502538071</v>
      </c>
      <c r="F56" s="2696">
        <f t="shared" si="59"/>
        <v>107.39446721311475</v>
      </c>
      <c r="G56" s="3440">
        <v>2005</v>
      </c>
      <c r="H56" s="2686">
        <v>1</v>
      </c>
      <c r="I56" s="2686">
        <v>0.43</v>
      </c>
      <c r="J56" s="2686">
        <v>0.37</v>
      </c>
      <c r="K56" s="2686">
        <v>0.37</v>
      </c>
      <c r="L56" s="2697">
        <v>0.55000000000000004</v>
      </c>
      <c r="N56" s="2742">
        <f t="shared" si="56"/>
        <v>1.2992090997956099E-2</v>
      </c>
      <c r="O56" s="2743">
        <f t="shared" si="56"/>
        <v>1.2239947070499151E-2</v>
      </c>
      <c r="P56" s="2743">
        <f t="shared" si="57"/>
        <v>4.6954314720812178E-2</v>
      </c>
      <c r="Q56" s="2743">
        <f t="shared" si="57"/>
        <v>3.6866094683621815E-3</v>
      </c>
      <c r="R56" s="2693"/>
      <c r="S56" s="2699">
        <f>B56/B57-1</f>
        <v>1.2992090997956174E-2</v>
      </c>
      <c r="T56" s="2700">
        <f>C56/C57-1</f>
        <v>1.2239947070499246E-2</v>
      </c>
      <c r="U56" s="2700">
        <f>E56/E57-1</f>
        <v>4.695431472081224E-2</v>
      </c>
      <c r="V56" s="2700">
        <f>F56/F57-1</f>
        <v>3.6866094683620787E-3</v>
      </c>
      <c r="X56" s="2741"/>
      <c r="Y56" s="2741"/>
      <c r="Z56" s="2741"/>
    </row>
    <row r="57" spans="1:26" ht="13.5" thickBot="1">
      <c r="A57" s="2682" t="s">
        <v>2626</v>
      </c>
      <c r="B57" s="2726">
        <v>121</v>
      </c>
      <c r="C57" s="2726">
        <v>122</v>
      </c>
      <c r="D57" s="2726">
        <f t="shared" si="28"/>
        <v>122</v>
      </c>
      <c r="E57" s="2726">
        <v>124</v>
      </c>
      <c r="F57" s="2727">
        <v>107</v>
      </c>
      <c r="G57" s="3438">
        <v>2004</v>
      </c>
      <c r="H57" s="2702">
        <v>4</v>
      </c>
      <c r="I57" s="2702">
        <v>0.33</v>
      </c>
      <c r="J57" s="2702">
        <v>0.5</v>
      </c>
      <c r="K57" s="2702">
        <v>0.5</v>
      </c>
      <c r="L57" s="2703">
        <v>0</v>
      </c>
      <c r="N57" s="2739">
        <f t="shared" ref="N57:O60" si="60">I57/SUM(I$57:I$60)*(B$57/B$61-1)</f>
        <v>1.3391770148526898E-2</v>
      </c>
      <c r="O57" s="2740">
        <f t="shared" si="60"/>
        <v>1.063264221158958E-2</v>
      </c>
      <c r="P57" s="2740">
        <f t="shared" ref="P57:Q60" si="61">K57/SUM(K$57:K$60)*(E$57/E$61-1)</f>
        <v>2.2244466688911134E-2</v>
      </c>
      <c r="Q57" s="2740">
        <f t="shared" si="61"/>
        <v>0</v>
      </c>
      <c r="R57" s="2693"/>
      <c r="S57" s="2694"/>
      <c r="T57" s="2695"/>
      <c r="U57" s="2695"/>
      <c r="V57" s="2695"/>
      <c r="X57" s="2741"/>
      <c r="Y57" s="2741"/>
      <c r="Z57" s="2741"/>
    </row>
    <row r="58" spans="1:26">
      <c r="A58" s="2682" t="s">
        <v>2627</v>
      </c>
      <c r="B58" s="2696">
        <f t="shared" ref="B58:C60" si="62">B59+(B$57-B$61)*I58/SUM(I$57:I$60)</f>
        <v>119.51351351351352</v>
      </c>
      <c r="C58" s="2696">
        <f t="shared" si="62"/>
        <v>120.7878787878788</v>
      </c>
      <c r="D58" s="2696">
        <f t="shared" si="28"/>
        <v>120.7878787878788</v>
      </c>
      <c r="E58" s="2696">
        <f t="shared" ref="E58:F60" si="63">E59+(E$57-E$61)*K58/SUM(K$57:K$60)</f>
        <v>121.5975975975976</v>
      </c>
      <c r="F58" s="2696">
        <f t="shared" si="63"/>
        <v>107</v>
      </c>
      <c r="G58" s="3439">
        <v>2004</v>
      </c>
      <c r="H58" s="2707">
        <v>3</v>
      </c>
      <c r="I58" s="2707">
        <v>0.56000000000000005</v>
      </c>
      <c r="J58" s="2707">
        <v>0.8</v>
      </c>
      <c r="K58" s="2707">
        <v>0.83</v>
      </c>
      <c r="L58" s="2708">
        <v>0.06</v>
      </c>
      <c r="N58" s="2739">
        <f t="shared" si="60"/>
        <v>2.2725428130833527E-2</v>
      </c>
      <c r="O58" s="2740">
        <f t="shared" si="60"/>
        <v>1.7012227538543329E-2</v>
      </c>
      <c r="P58" s="2740">
        <f t="shared" si="61"/>
        <v>3.6925814703592477E-2</v>
      </c>
      <c r="Q58" s="2740">
        <f t="shared" si="61"/>
        <v>2.8846153846153744E-2</v>
      </c>
      <c r="R58" s="2693"/>
      <c r="S58" s="2691"/>
      <c r="T58" s="2692"/>
      <c r="U58" s="2692"/>
      <c r="V58" s="2692"/>
      <c r="X58" s="2741"/>
      <c r="Y58" s="2741"/>
      <c r="Z58" s="2741"/>
    </row>
    <row r="59" spans="1:26">
      <c r="A59" s="2682" t="s">
        <v>2628</v>
      </c>
      <c r="B59" s="2696">
        <f t="shared" si="62"/>
        <v>116.99099099099099</v>
      </c>
      <c r="C59" s="2696">
        <f t="shared" si="62"/>
        <v>118.84848484848486</v>
      </c>
      <c r="D59" s="2696">
        <f t="shared" si="28"/>
        <v>118.84848484848486</v>
      </c>
      <c r="E59" s="2696">
        <f t="shared" si="63"/>
        <v>117.60960960960961</v>
      </c>
      <c r="F59" s="2696">
        <f t="shared" si="63"/>
        <v>104</v>
      </c>
      <c r="G59" s="3439">
        <v>2004</v>
      </c>
      <c r="H59" s="2687">
        <v>2</v>
      </c>
      <c r="I59" s="2687">
        <v>1</v>
      </c>
      <c r="J59" s="2687">
        <v>1.5</v>
      </c>
      <c r="K59" s="2687">
        <v>1.5</v>
      </c>
      <c r="L59" s="2698">
        <v>0</v>
      </c>
      <c r="N59" s="2739">
        <f t="shared" si="60"/>
        <v>4.0581121662202721E-2</v>
      </c>
      <c r="O59" s="2740">
        <f t="shared" si="60"/>
        <v>3.1897926634768738E-2</v>
      </c>
      <c r="P59" s="2740">
        <f t="shared" si="61"/>
        <v>6.6733400066733395E-2</v>
      </c>
      <c r="Q59" s="2740">
        <f t="shared" si="61"/>
        <v>0</v>
      </c>
      <c r="R59" s="2693"/>
      <c r="S59" s="2691"/>
      <c r="T59" s="2692"/>
      <c r="U59" s="2692"/>
      <c r="V59" s="2692"/>
      <c r="X59" s="2741"/>
      <c r="Y59" s="2741"/>
      <c r="Z59" s="2741"/>
    </row>
    <row r="60" spans="1:26" s="2732" customFormat="1" ht="13.5" thickBot="1">
      <c r="A60" s="2682" t="s">
        <v>2629</v>
      </c>
      <c r="B60" s="2729">
        <f t="shared" si="62"/>
        <v>112.48648648648648</v>
      </c>
      <c r="C60" s="2729">
        <f t="shared" si="62"/>
        <v>115.21212121212122</v>
      </c>
      <c r="D60" s="2729">
        <f t="shared" si="28"/>
        <v>115.21212121212122</v>
      </c>
      <c r="E60" s="2729">
        <f t="shared" si="63"/>
        <v>110.4024024024024</v>
      </c>
      <c r="F60" s="2729">
        <f t="shared" si="63"/>
        <v>104</v>
      </c>
      <c r="G60" s="3440">
        <v>2004</v>
      </c>
      <c r="H60" s="2730">
        <v>1</v>
      </c>
      <c r="I60" s="2730">
        <v>0.33</v>
      </c>
      <c r="J60" s="2730">
        <v>0.5</v>
      </c>
      <c r="K60" s="2730">
        <v>0.5</v>
      </c>
      <c r="L60" s="2731">
        <v>0</v>
      </c>
      <c r="N60" s="2744">
        <f t="shared" si="60"/>
        <v>1.3391770148526898E-2</v>
      </c>
      <c r="O60" s="2745">
        <f t="shared" si="60"/>
        <v>1.063264221158958E-2</v>
      </c>
      <c r="P60" s="2745">
        <f t="shared" si="61"/>
        <v>2.2244466688911134E-2</v>
      </c>
      <c r="Q60" s="2745">
        <f t="shared" si="61"/>
        <v>0</v>
      </c>
      <c r="R60" s="2735"/>
      <c r="S60" s="2733">
        <f>B60/B61-1</f>
        <v>1.3391770148526883E-2</v>
      </c>
      <c r="T60" s="2734">
        <f>C60/C61-1</f>
        <v>1.063264221158966E-2</v>
      </c>
      <c r="U60" s="2734">
        <f>E60/E61-1</f>
        <v>2.2244466688911224E-2</v>
      </c>
      <c r="V60" s="2734">
        <f>F60/F61-1</f>
        <v>0</v>
      </c>
      <c r="X60" s="2746"/>
      <c r="Y60" s="2746"/>
      <c r="Z60" s="2746"/>
    </row>
    <row r="61" spans="1:26" ht="13.5" thickBot="1">
      <c r="A61" s="2682" t="s">
        <v>2630</v>
      </c>
      <c r="B61" s="2747">
        <v>111</v>
      </c>
      <c r="C61" s="2747">
        <v>114</v>
      </c>
      <c r="D61" s="2747">
        <f t="shared" si="28"/>
        <v>114</v>
      </c>
      <c r="E61" s="2747">
        <v>108</v>
      </c>
      <c r="F61" s="2748">
        <v>104</v>
      </c>
      <c r="G61" s="3438">
        <v>2003</v>
      </c>
      <c r="H61" s="2737">
        <v>4</v>
      </c>
      <c r="I61" s="2749"/>
      <c r="J61" s="2749"/>
      <c r="K61" s="2749"/>
      <c r="L61" s="2749"/>
      <c r="N61" s="2750"/>
      <c r="O61" s="2749"/>
      <c r="P61" s="2749"/>
      <c r="Q61" s="2749"/>
      <c r="S61" s="2750"/>
      <c r="T61" s="2749"/>
      <c r="U61" s="2749"/>
      <c r="V61" s="2749"/>
      <c r="X61" s="2741"/>
      <c r="Y61" s="2741"/>
      <c r="Z61" s="2741"/>
    </row>
    <row r="62" spans="1:26">
      <c r="A62" s="2682" t="s">
        <v>2631</v>
      </c>
      <c r="B62" s="2751">
        <f t="shared" ref="B62:C64" si="64">B63+(B$61-B$65)/4</f>
        <v>109.75</v>
      </c>
      <c r="C62" s="2751">
        <f t="shared" si="64"/>
        <v>112.25</v>
      </c>
      <c r="D62" s="2751">
        <f t="shared" si="28"/>
        <v>112.25</v>
      </c>
      <c r="E62" s="2751">
        <f t="shared" ref="E62:F64" si="65">E63+(E$61-E$65)/4</f>
        <v>107.25</v>
      </c>
      <c r="F62" s="2751">
        <f t="shared" si="65"/>
        <v>103.5</v>
      </c>
      <c r="G62" s="3439">
        <v>2003</v>
      </c>
      <c r="H62" s="2707">
        <v>3</v>
      </c>
      <c r="I62" s="2749"/>
      <c r="J62" s="2749"/>
      <c r="K62" s="2749"/>
      <c r="L62" s="2749"/>
      <c r="X62" s="2741"/>
      <c r="Y62" s="2741"/>
      <c r="Z62" s="2741"/>
    </row>
    <row r="63" spans="1:26">
      <c r="A63" s="2682" t="s">
        <v>2632</v>
      </c>
      <c r="B63" s="2751">
        <f t="shared" si="64"/>
        <v>108.5</v>
      </c>
      <c r="C63" s="2751">
        <f t="shared" si="64"/>
        <v>110.5</v>
      </c>
      <c r="D63" s="2751">
        <f t="shared" si="28"/>
        <v>110.5</v>
      </c>
      <c r="E63" s="2751">
        <f t="shared" si="65"/>
        <v>106.5</v>
      </c>
      <c r="F63" s="2751">
        <f t="shared" si="65"/>
        <v>103</v>
      </c>
      <c r="G63" s="3439">
        <v>2003</v>
      </c>
      <c r="H63" s="2687">
        <v>2</v>
      </c>
      <c r="I63" s="2749"/>
      <c r="J63" s="2749"/>
      <c r="K63" s="2749"/>
      <c r="L63" s="2749"/>
      <c r="X63" s="2741"/>
      <c r="Y63" s="2741"/>
      <c r="Z63" s="2741"/>
    </row>
    <row r="64" spans="1:26" ht="13.5" thickBot="1">
      <c r="A64" s="2682" t="s">
        <v>2633</v>
      </c>
      <c r="B64" s="2751">
        <f t="shared" si="64"/>
        <v>107.25</v>
      </c>
      <c r="C64" s="2751">
        <f t="shared" si="64"/>
        <v>108.75</v>
      </c>
      <c r="D64" s="2751">
        <f t="shared" si="28"/>
        <v>108.75</v>
      </c>
      <c r="E64" s="2751">
        <f t="shared" si="65"/>
        <v>105.75</v>
      </c>
      <c r="F64" s="2751">
        <f t="shared" si="65"/>
        <v>102.5</v>
      </c>
      <c r="G64" s="3440">
        <v>2003</v>
      </c>
      <c r="H64" s="2752">
        <v>1</v>
      </c>
      <c r="I64" s="2749"/>
      <c r="J64" s="2749"/>
      <c r="K64" s="2749"/>
      <c r="L64" s="2749"/>
      <c r="S64" s="2691"/>
      <c r="T64" s="2692"/>
      <c r="U64" s="2692"/>
      <c r="X64" s="2741"/>
      <c r="Y64" s="2741"/>
      <c r="Z64" s="2741"/>
    </row>
    <row r="65" spans="1:26" ht="13.5" thickBot="1">
      <c r="A65" s="2682" t="s">
        <v>2634</v>
      </c>
      <c r="B65" s="2753">
        <v>106</v>
      </c>
      <c r="C65" s="2753">
        <v>107</v>
      </c>
      <c r="D65" s="2753">
        <f t="shared" si="28"/>
        <v>107</v>
      </c>
      <c r="E65" s="2753">
        <v>105</v>
      </c>
      <c r="F65" s="2754">
        <v>102</v>
      </c>
      <c r="G65" s="3438">
        <v>2002</v>
      </c>
      <c r="H65" s="2702">
        <v>4</v>
      </c>
      <c r="I65" s="2749"/>
      <c r="J65" s="2749"/>
      <c r="K65" s="2749"/>
      <c r="L65" s="2749"/>
      <c r="N65" s="2750"/>
      <c r="O65" s="2749"/>
      <c r="P65" s="2749"/>
      <c r="Q65" s="2749"/>
      <c r="S65" s="2750"/>
      <c r="T65" s="2749"/>
      <c r="U65" s="2749"/>
      <c r="V65" s="2749"/>
      <c r="X65" s="2741"/>
      <c r="Y65" s="2741"/>
      <c r="Z65" s="2741"/>
    </row>
    <row r="66" spans="1:26">
      <c r="A66" s="2682" t="s">
        <v>2635</v>
      </c>
      <c r="B66" s="2751">
        <f t="shared" ref="B66:C68" si="66">B67+(B$65-B$69)/4</f>
        <v>105</v>
      </c>
      <c r="C66" s="2751">
        <f t="shared" si="66"/>
        <v>106</v>
      </c>
      <c r="D66" s="2751">
        <f t="shared" si="28"/>
        <v>106</v>
      </c>
      <c r="E66" s="2751">
        <f t="shared" ref="E66:F68" si="67">E67+(E$65-E$69)/4</f>
        <v>104.5</v>
      </c>
      <c r="F66" s="2751">
        <f t="shared" si="67"/>
        <v>101.5</v>
      </c>
      <c r="G66" s="3439">
        <v>2002</v>
      </c>
      <c r="H66" s="2707">
        <v>3</v>
      </c>
      <c r="I66" s="2749"/>
      <c r="J66" s="2749"/>
      <c r="K66" s="2749"/>
      <c r="L66" s="2749"/>
      <c r="X66" s="2741"/>
      <c r="Y66" s="2741"/>
      <c r="Z66" s="2741"/>
    </row>
    <row r="67" spans="1:26">
      <c r="A67" s="2682" t="s">
        <v>2636</v>
      </c>
      <c r="B67" s="2751">
        <f t="shared" si="66"/>
        <v>104</v>
      </c>
      <c r="C67" s="2751">
        <f t="shared" si="66"/>
        <v>105</v>
      </c>
      <c r="D67" s="2751">
        <f t="shared" si="28"/>
        <v>105</v>
      </c>
      <c r="E67" s="2751">
        <f t="shared" si="67"/>
        <v>104</v>
      </c>
      <c r="F67" s="2751">
        <f t="shared" si="67"/>
        <v>101</v>
      </c>
      <c r="G67" s="3439">
        <v>2002</v>
      </c>
      <c r="H67" s="2687">
        <v>2</v>
      </c>
      <c r="I67" s="2749"/>
      <c r="J67" s="2749"/>
      <c r="K67" s="2749"/>
      <c r="L67" s="2749"/>
      <c r="X67" s="2741"/>
      <c r="Y67" s="2741"/>
      <c r="Z67" s="2741"/>
    </row>
    <row r="68" spans="1:26" s="2718" customFormat="1" ht="13.5" thickBot="1">
      <c r="A68" s="2714" t="s">
        <v>2637</v>
      </c>
      <c r="B68" s="2755">
        <f t="shared" si="66"/>
        <v>103</v>
      </c>
      <c r="C68" s="2755">
        <f t="shared" si="66"/>
        <v>104</v>
      </c>
      <c r="D68" s="2755">
        <f t="shared" si="28"/>
        <v>104</v>
      </c>
      <c r="E68" s="2755">
        <f t="shared" si="67"/>
        <v>103.5</v>
      </c>
      <c r="F68" s="2755">
        <f t="shared" si="67"/>
        <v>100.5</v>
      </c>
      <c r="G68" s="3440">
        <v>2002</v>
      </c>
      <c r="H68" s="2756">
        <v>1</v>
      </c>
      <c r="I68" s="2757"/>
      <c r="J68" s="2757"/>
      <c r="K68" s="2757"/>
      <c r="L68" s="2757"/>
      <c r="N68" s="2758"/>
      <c r="S68" s="2758"/>
      <c r="X68" s="2759"/>
      <c r="Y68" s="2759"/>
      <c r="Z68" s="2759"/>
    </row>
    <row r="69" spans="1:26" ht="13.5" thickBot="1">
      <c r="B69" s="2760">
        <v>102</v>
      </c>
      <c r="C69" s="2761">
        <v>103</v>
      </c>
      <c r="D69" s="2761">
        <f t="shared" si="28"/>
        <v>103</v>
      </c>
      <c r="E69" s="2761">
        <v>103</v>
      </c>
      <c r="F69" s="2762">
        <v>100</v>
      </c>
      <c r="I69" s="2749"/>
      <c r="J69" s="2749"/>
      <c r="K69" s="2749"/>
      <c r="L69" s="2749"/>
      <c r="N69" s="2750"/>
      <c r="O69" s="2749"/>
      <c r="P69" s="2749"/>
      <c r="Q69" s="2749"/>
      <c r="S69" s="2750"/>
      <c r="T69" s="2749"/>
      <c r="U69" s="2749"/>
      <c r="V69" s="2749"/>
      <c r="X69" s="2695"/>
      <c r="Y69" s="2695"/>
      <c r="Z69" s="2695"/>
    </row>
    <row r="71" spans="1:26" s="2764" customFormat="1">
      <c r="A71" s="2763" t="s">
        <v>2638</v>
      </c>
      <c r="G71" s="2765"/>
      <c r="N71" s="2765"/>
      <c r="S71" s="2765"/>
    </row>
    <row r="72" spans="1:26" s="2764" customFormat="1">
      <c r="A72" s="2764" t="s">
        <v>2639</v>
      </c>
      <c r="G72" s="2765"/>
      <c r="N72" s="2765"/>
      <c r="S72" s="2765"/>
    </row>
    <row r="73" spans="1:26" s="2764" customFormat="1">
      <c r="A73" s="2764" t="s">
        <v>2640</v>
      </c>
      <c r="G73" s="2765"/>
      <c r="I73" s="2766"/>
      <c r="J73" s="2766"/>
      <c r="K73" s="2766"/>
      <c r="L73" s="2766"/>
      <c r="N73" s="2767"/>
      <c r="O73" s="2766"/>
      <c r="P73" s="2766"/>
      <c r="Q73" s="2766"/>
      <c r="S73" s="2767"/>
      <c r="T73" s="2766"/>
      <c r="U73" s="2766"/>
      <c r="V73" s="2766"/>
    </row>
    <row r="74" spans="1:26" s="2764" customFormat="1">
      <c r="A74" s="2764" t="s">
        <v>2641</v>
      </c>
      <c r="G74" s="2765"/>
      <c r="N74" s="2765"/>
      <c r="S74" s="2765"/>
    </row>
    <row r="81" spans="7:22" ht="13.5" thickBot="1"/>
    <row r="82" spans="7:22">
      <c r="G82" s="2690"/>
      <c r="S82" s="2768" t="s">
        <v>2642</v>
      </c>
      <c r="T82" s="2769" t="s">
        <v>2643</v>
      </c>
      <c r="U82" s="2769" t="s">
        <v>2644</v>
      </c>
      <c r="V82" s="2769" t="s">
        <v>2645</v>
      </c>
    </row>
    <row r="83" spans="7:22">
      <c r="G83" s="2690"/>
      <c r="N83" s="2694"/>
      <c r="O83" s="2695"/>
      <c r="P83" s="2695"/>
      <c r="Q83" s="2695"/>
      <c r="S83" s="2770">
        <v>2006</v>
      </c>
      <c r="T83" s="2771">
        <v>15.1</v>
      </c>
      <c r="U83" s="2771">
        <v>7.43</v>
      </c>
      <c r="V83" s="2771">
        <v>26.26</v>
      </c>
    </row>
    <row r="84" spans="7:22">
      <c r="G84" s="2690"/>
      <c r="N84" s="2694"/>
      <c r="O84" s="2695"/>
      <c r="P84" s="2695"/>
      <c r="Q84" s="2695"/>
      <c r="S84" s="2773">
        <v>2005</v>
      </c>
      <c r="T84" s="2772">
        <v>13.9</v>
      </c>
      <c r="U84" s="2772">
        <v>7.49</v>
      </c>
      <c r="V84" s="2772">
        <v>24.92</v>
      </c>
    </row>
    <row r="85" spans="7:22">
      <c r="G85" s="2690"/>
      <c r="N85" s="2694"/>
      <c r="O85" s="2695"/>
      <c r="P85" s="2695"/>
      <c r="Q85" s="2695"/>
      <c r="S85" s="2770">
        <v>2004</v>
      </c>
      <c r="T85" s="2771">
        <v>9.48</v>
      </c>
      <c r="U85" s="2771">
        <v>7.2</v>
      </c>
      <c r="V85" s="2771">
        <v>14.68</v>
      </c>
    </row>
    <row r="86" spans="7:22">
      <c r="G86" s="2690"/>
      <c r="N86" s="2694"/>
      <c r="O86" s="2695"/>
      <c r="P86" s="2695"/>
      <c r="Q86" s="2695"/>
      <c r="S86" s="2773">
        <v>2003</v>
      </c>
      <c r="T86" s="2772">
        <v>4.5</v>
      </c>
      <c r="U86" s="2772">
        <v>6.12</v>
      </c>
      <c r="V86" s="2772">
        <v>2.34</v>
      </c>
    </row>
    <row r="87" spans="7:22" ht="13.5" thickBot="1">
      <c r="G87" s="2690"/>
      <c r="N87" s="2694"/>
      <c r="O87" s="2695"/>
      <c r="P87" s="2695"/>
      <c r="Q87" s="2695"/>
      <c r="S87" s="2774">
        <v>2002</v>
      </c>
      <c r="T87" s="2775">
        <v>3.59</v>
      </c>
      <c r="U87" s="2775">
        <v>4.54</v>
      </c>
      <c r="V87" s="2775">
        <v>2.5499999999999998</v>
      </c>
    </row>
    <row r="88" spans="7:22">
      <c r="G88" s="2690"/>
      <c r="N88" s="2694"/>
      <c r="O88" s="2695"/>
      <c r="P88" s="2695"/>
      <c r="Q88" s="2695"/>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c r="S98" s="2690"/>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D21" sqref="D2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3099</v>
      </c>
      <c r="D1" s="3160" t="s">
        <v>952</v>
      </c>
      <c r="E1" s="2413" t="s">
        <v>2378</v>
      </c>
      <c r="F1" s="2414">
        <f ca="1">J53</f>
        <v>39.79</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48582</v>
      </c>
      <c r="C2" s="2059"/>
      <c r="D2" s="2057"/>
      <c r="E2" s="2058"/>
      <c r="F2" s="2058"/>
      <c r="G2" s="1591"/>
      <c r="H2" s="2059"/>
      <c r="I2" s="2059"/>
      <c r="J2" s="2059"/>
      <c r="K2" s="2060"/>
      <c r="L2" s="2059"/>
      <c r="M2" s="2059"/>
    </row>
    <row r="3" spans="1:33" ht="18" customHeight="1" thickBot="1">
      <c r="A3" s="833" t="s">
        <v>1728</v>
      </c>
      <c r="B3" s="834">
        <f ca="1">IF(ISERROR(B2*10000/F43),0,ROUND(B2*10000/F43,0))</f>
        <v>8425</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2463</v>
      </c>
      <c r="C5" s="55">
        <f ca="1">C6+C10+C12</f>
        <v>3531</v>
      </c>
      <c r="D5" s="2522" t="s">
        <v>2466</v>
      </c>
      <c r="E5" s="2516"/>
      <c r="F5" s="2517"/>
      <c r="G5" s="1593"/>
      <c r="H5" s="781">
        <v>1</v>
      </c>
      <c r="I5" s="782" t="s">
        <v>2463</v>
      </c>
      <c r="J5" s="55">
        <f ca="1">J6+J10+J12</f>
        <v>0</v>
      </c>
      <c r="K5" s="2522" t="s">
        <v>2466</v>
      </c>
      <c r="L5" s="2516"/>
      <c r="M5" s="2517"/>
    </row>
    <row r="6" spans="1:33" ht="18" customHeight="1">
      <c r="A6" s="1832" t="s">
        <v>1825</v>
      </c>
      <c r="B6" s="3429" t="s">
        <v>2468</v>
      </c>
      <c r="C6" s="783">
        <f ca="1">ROUND(F6*F8*F7*(1-F9)/10000,0)</f>
        <v>3526</v>
      </c>
      <c r="D6" s="2523" t="s">
        <v>2467</v>
      </c>
      <c r="E6" s="784" t="s">
        <v>1739</v>
      </c>
      <c r="F6" s="785">
        <f ca="1">INDIRECT("'数据-取费表'!u"&amp;$G$1)</f>
        <v>2</v>
      </c>
      <c r="G6" s="1593"/>
      <c r="H6" s="2530" t="s">
        <v>2474</v>
      </c>
      <c r="I6" s="3429" t="s">
        <v>2468</v>
      </c>
      <c r="J6" s="783">
        <f ca="1">ROUND(M6*M8*M7*(1-M9)/10000,0)</f>
        <v>0</v>
      </c>
      <c r="K6" s="341" t="s">
        <v>1738</v>
      </c>
      <c r="L6" s="784" t="s">
        <v>1739</v>
      </c>
      <c r="M6" s="785">
        <f ca="1">INDIRECT("'数据-取费表'!z"&amp;$G$1)</f>
        <v>0</v>
      </c>
    </row>
    <row r="7" spans="1:33" ht="18" customHeight="1">
      <c r="A7" s="2526"/>
      <c r="B7" s="3430"/>
      <c r="C7" s="788"/>
      <c r="D7" s="789"/>
      <c r="E7" s="784" t="s">
        <v>1740</v>
      </c>
      <c r="F7" s="785">
        <f ca="1">IF(INDIRECT("'数据-取费表'!ah"&amp;$G$1)="",INDIRECT("'数据-取费表'!k"&amp;$G$1),INDIRECT("'数据-取费表'!ah"&amp;$G$1))</f>
        <v>53666.67</v>
      </c>
      <c r="G7" s="1593"/>
      <c r="H7" s="2515"/>
      <c r="I7" s="3430"/>
      <c r="J7" s="788"/>
      <c r="K7" s="789"/>
      <c r="L7" s="784" t="s">
        <v>1740</v>
      </c>
      <c r="M7" s="785">
        <f ca="1">F7</f>
        <v>53666.67</v>
      </c>
    </row>
    <row r="8" spans="1:33" ht="18" customHeight="1">
      <c r="A8" s="2519"/>
      <c r="B8" s="3431"/>
      <c r="C8" s="788"/>
      <c r="D8" s="789"/>
      <c r="E8" s="784" t="s">
        <v>1741</v>
      </c>
      <c r="F8" s="785">
        <f ca="1">INDIRECT("'数据-取费表'!ai"&amp;$G$1)</f>
        <v>365</v>
      </c>
      <c r="G8" s="1593"/>
      <c r="H8" s="2515"/>
      <c r="I8" s="3431"/>
      <c r="J8" s="788"/>
      <c r="K8" s="789"/>
      <c r="L8" s="784" t="s">
        <v>1741</v>
      </c>
      <c r="M8" s="785">
        <f ca="1">INDIRECT("'数据-取费表'!ai"&amp;$G$1)</f>
        <v>365</v>
      </c>
    </row>
    <row r="9" spans="1:33" ht="18" customHeight="1">
      <c r="A9" s="786"/>
      <c r="B9" s="3432"/>
      <c r="C9" s="788"/>
      <c r="D9" s="789"/>
      <c r="E9" s="784" t="s">
        <v>1742</v>
      </c>
      <c r="F9" s="794">
        <f ca="1">INDIRECT("'数据-取费表'!w"&amp;$G$1)</f>
        <v>0.1</v>
      </c>
      <c r="G9" s="1593"/>
      <c r="H9" s="2531"/>
      <c r="I9" s="3431"/>
      <c r="J9" s="788"/>
      <c r="K9" s="789"/>
      <c r="L9" s="795" t="s">
        <v>1742</v>
      </c>
      <c r="M9" s="796">
        <f ca="1">INDIRECT("'数据-取费表'!ab"&amp;$G$1)</f>
        <v>0</v>
      </c>
    </row>
    <row r="10" spans="1:33" ht="18" customHeight="1">
      <c r="A10" s="1832" t="s">
        <v>2472</v>
      </c>
      <c r="B10" s="2520" t="s">
        <v>2464</v>
      </c>
      <c r="C10" s="799">
        <f ca="1">ROUND(IF(F10="押一",F6*F8*F7/12*F11,IF(F10="押二",F6*F8*F7/12*2*F11,IF(F10="押三",F6*F8*F7/12*3*F11,C11*F11)))/10000,0)</f>
        <v>5</v>
      </c>
      <c r="D10" s="2527" t="s">
        <v>2471</v>
      </c>
      <c r="E10" s="2524" t="s">
        <v>2469</v>
      </c>
      <c r="F10" s="2647" t="s">
        <v>3107</v>
      </c>
      <c r="G10" s="1593"/>
      <c r="H10" s="2587" t="s">
        <v>2475</v>
      </c>
      <c r="I10" s="2592" t="s">
        <v>2464</v>
      </c>
      <c r="J10" s="783">
        <f ca="1">ROUND(IF(M10="押一",M6*M8*M7/12*M11,IF(M10="押二",M6*M8*M7/12*2*M11,IF(M10="押三",M6*M8*M7/12*3*M11,J11*M11)))/10000,0)</f>
        <v>0</v>
      </c>
      <c r="K10" s="2527" t="s">
        <v>2471</v>
      </c>
      <c r="L10" s="2524" t="s">
        <v>2469</v>
      </c>
      <c r="M10" s="2647"/>
    </row>
    <row r="11" spans="1:33" ht="18" customHeight="1">
      <c r="A11" s="790"/>
      <c r="B11" s="2521" t="s">
        <v>2579</v>
      </c>
      <c r="C11" s="2525"/>
      <c r="D11" s="789"/>
      <c r="E11" s="2524" t="s">
        <v>2470</v>
      </c>
      <c r="F11" s="796">
        <f ca="1">'数据-取费表'!B39</f>
        <v>1.4999999999999999E-2</v>
      </c>
      <c r="G11" s="1593"/>
      <c r="H11" s="2588"/>
      <c r="I11" s="2521" t="s">
        <v>2579</v>
      </c>
      <c r="J11" s="2525"/>
      <c r="K11" s="2589"/>
      <c r="L11" s="2524" t="s">
        <v>2470</v>
      </c>
      <c r="M11" s="2518">
        <f ca="1">'数据-取费表'!B39</f>
        <v>1.4999999999999999E-2</v>
      </c>
    </row>
    <row r="12" spans="1:33" ht="18" customHeight="1" thickBot="1">
      <c r="A12" s="2563" t="s">
        <v>2473</v>
      </c>
      <c r="B12" s="2564" t="s">
        <v>2465</v>
      </c>
      <c r="C12" s="2565"/>
      <c r="D12" s="2566"/>
      <c r="E12" s="2567"/>
      <c r="F12" s="2568"/>
      <c r="G12" s="1593"/>
      <c r="H12" s="2577" t="s">
        <v>2476</v>
      </c>
      <c r="I12" s="2590" t="s">
        <v>2465</v>
      </c>
      <c r="J12" s="2591"/>
      <c r="K12" s="2566"/>
      <c r="L12" s="2567"/>
      <c r="M12" s="2580"/>
    </row>
    <row r="13" spans="1:33" ht="18" customHeight="1" thickTop="1">
      <c r="A13" s="1831">
        <v>2</v>
      </c>
      <c r="B13" s="1829" t="s">
        <v>1743</v>
      </c>
      <c r="C13" s="792">
        <f ca="1">ROUND(C29*F13,0)</f>
        <v>29225</v>
      </c>
      <c r="D13" s="1836" t="s">
        <v>2300</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17916</v>
      </c>
      <c r="D14" s="1981" t="s">
        <v>1746</v>
      </c>
      <c r="E14" s="1982"/>
      <c r="F14" s="805"/>
      <c r="G14" s="1593"/>
      <c r="H14" s="1650" t="s">
        <v>1831</v>
      </c>
      <c r="I14" s="2233" t="s">
        <v>2834</v>
      </c>
      <c r="J14" s="53">
        <f ca="1">C29</f>
        <v>29225</v>
      </c>
      <c r="K14" s="26"/>
      <c r="L14" s="801"/>
      <c r="M14" s="802"/>
    </row>
    <row r="15" spans="1:33" s="2066" customFormat="1" ht="18" customHeight="1" thickBot="1">
      <c r="A15" s="1649" t="s">
        <v>1886</v>
      </c>
      <c r="B15" s="784" t="s">
        <v>647</v>
      </c>
      <c r="C15" s="53">
        <f ca="1">ROUND(C14*F15,0)</f>
        <v>537</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698</v>
      </c>
      <c r="K16" s="1823" t="s">
        <v>1751</v>
      </c>
      <c r="L16" s="2512"/>
      <c r="M16" s="2517"/>
    </row>
    <row r="17" spans="1:33" s="2066" customFormat="1" ht="18" customHeight="1">
      <c r="A17" s="1649" t="s">
        <v>1888</v>
      </c>
      <c r="B17" s="784" t="s">
        <v>653</v>
      </c>
      <c r="C17" s="53">
        <f ca="1">ROUND(F17*(F43+INDIRECT("'数据-取费表'!S"&amp;$G$1))/10000,0)</f>
        <v>1542</v>
      </c>
      <c r="D17" s="784" t="s">
        <v>1752</v>
      </c>
      <c r="E17" s="784" t="s">
        <v>1753</v>
      </c>
      <c r="F17" s="56">
        <f>'数据-取费表'!B35</f>
        <v>200</v>
      </c>
      <c r="G17" s="1594"/>
      <c r="H17" s="1650" t="s">
        <v>1831</v>
      </c>
      <c r="I17" s="784" t="s">
        <v>656</v>
      </c>
      <c r="J17" s="53">
        <f ca="1">ROUND(IF(项目基本情况!B11="自然人",J5*M17,J18+J19+J20),0)</f>
        <v>260</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269</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20264</v>
      </c>
      <c r="D19" s="261" t="s">
        <v>1758</v>
      </c>
      <c r="E19" s="1984"/>
      <c r="F19" s="56"/>
      <c r="G19" s="1593"/>
      <c r="H19" s="1649" t="s">
        <v>1886</v>
      </c>
      <c r="I19" s="784" t="s">
        <v>1759</v>
      </c>
      <c r="J19" s="53">
        <f ca="1">IF(K19="按租金收入计税",ROUND(J5*M19,1),ROUND(C29*F33*0.7,1))</f>
        <v>245.5</v>
      </c>
      <c r="K19" s="811" t="s">
        <v>665</v>
      </c>
      <c r="L19" s="784" t="s">
        <v>1748</v>
      </c>
      <c r="M19" s="809">
        <f>IF(K19="按租金收入计税",'数据-取费表'!B51,'数据-取费表'!B50)</f>
        <v>1.2E-2</v>
      </c>
    </row>
    <row r="20" spans="1:33" s="2066" customFormat="1" ht="18" customHeight="1">
      <c r="A20" s="1650" t="s">
        <v>1890</v>
      </c>
      <c r="B20" s="784" t="s">
        <v>666</v>
      </c>
      <c r="C20" s="53">
        <f ca="1">ROUND(C19*F20,0)</f>
        <v>608</v>
      </c>
      <c r="D20" s="812" t="s">
        <v>1760</v>
      </c>
      <c r="E20" s="784" t="s">
        <v>1748</v>
      </c>
      <c r="F20" s="809">
        <f>'数据-取费表'!B37</f>
        <v>0.03</v>
      </c>
      <c r="G20" s="1594"/>
      <c r="H20" s="1652" t="s">
        <v>1881</v>
      </c>
      <c r="I20" s="341" t="s">
        <v>1761</v>
      </c>
      <c r="J20" s="54">
        <f ca="1">ROUND(M20*M21/10000,0)</f>
        <v>14</v>
      </c>
      <c r="K20" s="814" t="s">
        <v>1762</v>
      </c>
      <c r="L20" s="784" t="s">
        <v>1763</v>
      </c>
      <c r="M20" s="640">
        <f>'数据-取费表'!B52</f>
        <v>5</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2301</v>
      </c>
      <c r="E21" s="784" t="s">
        <v>1766</v>
      </c>
      <c r="F21" s="809">
        <f>'数据-取费表'!B38</f>
        <v>0.03</v>
      </c>
      <c r="G21" s="1594"/>
      <c r="H21" s="2532"/>
      <c r="I21" s="793"/>
      <c r="J21" s="69"/>
      <c r="K21" s="816"/>
      <c r="L21" s="784" t="s">
        <v>1767</v>
      </c>
      <c r="M21" s="785">
        <f ca="1">INDIRECT("'数据-取费表'!r"&amp;$G$1)</f>
        <v>27851.409999999996</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438</v>
      </c>
      <c r="K22" s="2510" t="s">
        <v>1770</v>
      </c>
      <c r="L22" s="784" t="s">
        <v>1748</v>
      </c>
      <c r="M22" s="817">
        <f ca="1">INDIRECT("'数据-取费表'!Ak"&amp;$G$1)</f>
        <v>1.4999999999999999E-2</v>
      </c>
    </row>
    <row r="23" spans="1:33" s="2066" customFormat="1" ht="18" customHeight="1">
      <c r="A23" s="1649" t="s">
        <v>1832</v>
      </c>
      <c r="B23" s="784" t="s">
        <v>2541</v>
      </c>
      <c r="C23" s="53">
        <f ca="1">ROUND(IF('数据-取费表'!B22&lt;=1,(C19+C20)*F24*F23/2,(C19+C20)*(POWER((1+F24),F23/2)-1)),0)</f>
        <v>1505</v>
      </c>
      <c r="D23" s="2597" t="str">
        <f>IF(F23&lt;=1,"(建造成本+管理费用)×利率×(建设周期÷2)","(建造成本+管理费用)×((1+利率)^(建设周期÷2)-1)")</f>
        <v>(建造成本+管理费用)×((1+利率)^(建设周期÷2)-1)</v>
      </c>
      <c r="E23" s="784" t="s">
        <v>1771</v>
      </c>
      <c r="F23" s="640">
        <f>'数据-取费表'!B20</f>
        <v>3</v>
      </c>
      <c r="G23" s="1594"/>
      <c r="H23" s="1650" t="s">
        <v>1891</v>
      </c>
      <c r="I23" s="784" t="s">
        <v>679</v>
      </c>
      <c r="J23" s="53">
        <f ca="1">ROUND(J13*M23,0)</f>
        <v>0</v>
      </c>
      <c r="K23" s="2510" t="s">
        <v>1772</v>
      </c>
      <c r="L23" s="784" t="s">
        <v>1748</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2.2000000000000001E-3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0.03</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8" t="s">
        <v>2830</v>
      </c>
      <c r="J25" s="792">
        <f ca="1">J5-J16</f>
        <v>-698</v>
      </c>
      <c r="K25" s="2574" t="s">
        <v>1778</v>
      </c>
      <c r="L25" s="2575"/>
      <c r="M25" s="2576"/>
    </row>
    <row r="26" spans="1:33" ht="18" customHeight="1">
      <c r="A26" s="1649" t="s">
        <v>1832</v>
      </c>
      <c r="B26" s="784" t="s">
        <v>2442</v>
      </c>
      <c r="C26" s="53">
        <f ca="1">ROUND((C19+C20)*F26,0)</f>
        <v>4174</v>
      </c>
      <c r="D26" s="812" t="s">
        <v>1779</v>
      </c>
      <c r="E26" s="795" t="s">
        <v>1780</v>
      </c>
      <c r="F26" s="794">
        <f ca="1">INDIRECT("'数据-取费表'!q"&amp;$G$1)</f>
        <v>0.2</v>
      </c>
      <c r="G26" s="1593"/>
      <c r="H26" s="2528" t="s">
        <v>1781</v>
      </c>
      <c r="I26" s="2234" t="s">
        <v>2835</v>
      </c>
      <c r="J26" s="783">
        <f ca="1">IF(J5&lt;&gt;0,ROUND(J25*(1-((1+M28)/(1+M26))^M27)/(M26-M28),0),0)</f>
        <v>0</v>
      </c>
      <c r="K26" s="814" t="s">
        <v>1782</v>
      </c>
      <c r="L26" s="784" t="s">
        <v>2423</v>
      </c>
      <c r="M26" s="794">
        <f ca="1">INDIRECT("'数据-取费表'!I"&amp;$G$1)</f>
        <v>0.06</v>
      </c>
    </row>
    <row r="27" spans="1:33" ht="18" customHeight="1">
      <c r="A27" s="1649" t="s">
        <v>1833</v>
      </c>
      <c r="B27" s="784" t="s">
        <v>686</v>
      </c>
      <c r="C27" s="53">
        <f ca="1">ROUND(F21*F26,4)</f>
        <v>6.0000000000000001E-3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2303</v>
      </c>
      <c r="C29" s="2570">
        <f ca="1">ROUND((C19+C20+C23+C26)/(1-F21-C24-C27-C28),0)</f>
        <v>29225</v>
      </c>
      <c r="D29" s="2571"/>
      <c r="E29" s="2572"/>
      <c r="F29" s="2573"/>
      <c r="G29" s="1594"/>
      <c r="H29" s="823" t="s">
        <v>1788</v>
      </c>
      <c r="I29" s="824" t="s">
        <v>1789</v>
      </c>
      <c r="J29" s="825">
        <f ca="1">ROUND(J26/(1+F40)^F41,0)</f>
        <v>0</v>
      </c>
      <c r="K29" s="826" t="s">
        <v>1790</v>
      </c>
      <c r="L29" s="827"/>
      <c r="M29" s="828">
        <f ca="1">INDIRECT("'数据-取费表'!k"&amp;$G$1)</f>
        <v>57666.67</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1051</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447.7</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188.3</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245.5</v>
      </c>
      <c r="D33" s="811" t="s">
        <v>1681</v>
      </c>
      <c r="E33" s="784" t="s">
        <v>1797</v>
      </c>
      <c r="F33" s="809">
        <f>IF(D33="按租金收入计税",'数据-取费表'!B51,'数据-取费表'!B50)</f>
        <v>1.2E-2</v>
      </c>
      <c r="G33" s="2064"/>
      <c r="H33" s="2079"/>
      <c r="I33" s="2079"/>
      <c r="J33" s="2079"/>
      <c r="K33" s="2080"/>
      <c r="L33" s="2079"/>
      <c r="M33" s="2079"/>
    </row>
    <row r="34" spans="1:18" ht="18" customHeight="1">
      <c r="A34" s="1652" t="s">
        <v>1834</v>
      </c>
      <c r="B34" s="341" t="s">
        <v>1799</v>
      </c>
      <c r="C34" s="54">
        <f ca="1">ROUND(F34*F35/10000,1)</f>
        <v>13.9</v>
      </c>
      <c r="D34" s="814" t="s">
        <v>1800</v>
      </c>
      <c r="E34" s="784" t="s">
        <v>1801</v>
      </c>
      <c r="F34" s="640">
        <f>'数据-取费表'!B52</f>
        <v>5</v>
      </c>
      <c r="G34" s="2064"/>
      <c r="H34" s="2067"/>
      <c r="I34" s="835" t="s">
        <v>1814</v>
      </c>
      <c r="J34" s="836"/>
      <c r="K34" s="2082"/>
      <c r="L34" s="2081"/>
      <c r="M34" s="2081"/>
    </row>
    <row r="35" spans="1:18" ht="18" customHeight="1">
      <c r="A35" s="815"/>
      <c r="B35" s="793"/>
      <c r="C35" s="69"/>
      <c r="D35" s="816"/>
      <c r="E35" s="784" t="s">
        <v>1802</v>
      </c>
      <c r="F35" s="785">
        <f ca="1">INDIRECT("'数据-取费表'!r"&amp;$G$1)</f>
        <v>27851.409999999996</v>
      </c>
      <c r="G35" s="2064"/>
      <c r="H35" s="2067"/>
      <c r="I35" s="837" t="s">
        <v>1815</v>
      </c>
      <c r="J35" s="838">
        <f ca="1">ROUND(C13*J36,0)</f>
        <v>2484</v>
      </c>
      <c r="K35" s="2080"/>
      <c r="L35" s="2079"/>
      <c r="M35" s="2079"/>
    </row>
    <row r="36" spans="1:18" ht="18" customHeight="1">
      <c r="A36" s="1650" t="s">
        <v>1890</v>
      </c>
      <c r="B36" s="784" t="s">
        <v>1803</v>
      </c>
      <c r="C36" s="53">
        <f ca="1">ROUND(C29*F36,1)</f>
        <v>438.4</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58.5</v>
      </c>
      <c r="D37" s="1979" t="s">
        <v>1805</v>
      </c>
      <c r="E37" s="784" t="s">
        <v>1797</v>
      </c>
      <c r="F37" s="818">
        <f ca="1">INDIRECT("'数据-取费表'!Al"&amp;$G$1)</f>
        <v>2E-3</v>
      </c>
      <c r="G37" s="2064"/>
      <c r="H37" s="2079"/>
      <c r="I37" s="841" t="s">
        <v>1817</v>
      </c>
      <c r="J37" s="842"/>
      <c r="K37" s="2084"/>
      <c r="L37" s="2079"/>
      <c r="M37" s="2079"/>
    </row>
    <row r="38" spans="1:18" ht="18" customHeight="1" thickBot="1">
      <c r="A38" s="2577" t="s">
        <v>1892</v>
      </c>
      <c r="B38" s="2572" t="s">
        <v>666</v>
      </c>
      <c r="C38" s="2570">
        <f ca="1">ROUND(C5*F38,1)</f>
        <v>105.9</v>
      </c>
      <c r="D38" s="2571" t="s">
        <v>1806</v>
      </c>
      <c r="E38" s="2572" t="s">
        <v>1797</v>
      </c>
      <c r="F38" s="2568">
        <f ca="1">INDIRECT("'数据-取费表'!Am"&amp;$G$1)</f>
        <v>0.03</v>
      </c>
      <c r="G38" s="2064"/>
      <c r="H38" s="2079"/>
      <c r="I38" s="843" t="s">
        <v>1818</v>
      </c>
      <c r="J38" s="844"/>
      <c r="K38" s="2085"/>
      <c r="L38" s="2079"/>
      <c r="M38" s="2079"/>
    </row>
    <row r="39" spans="1:18" ht="24.6" customHeight="1" thickTop="1">
      <c r="A39" s="1831" t="s">
        <v>1895</v>
      </c>
      <c r="B39" s="3038" t="s">
        <v>2830</v>
      </c>
      <c r="C39" s="792">
        <f ca="1">C5-C30</f>
        <v>2480</v>
      </c>
      <c r="D39" s="2574" t="s">
        <v>1807</v>
      </c>
      <c r="E39" s="2575"/>
      <c r="F39" s="2576"/>
      <c r="G39" s="2064"/>
      <c r="H39" s="2079"/>
      <c r="I39" s="837" t="s">
        <v>1819</v>
      </c>
      <c r="J39" s="845">
        <f ca="1">ROUND(J35/C39,3)</f>
        <v>1.002</v>
      </c>
      <c r="K39" s="2085"/>
      <c r="L39" s="2079"/>
      <c r="M39" s="2079"/>
    </row>
    <row r="40" spans="1:18" ht="18" customHeight="1">
      <c r="A40" s="781" t="s">
        <v>1896</v>
      </c>
      <c r="B40" s="2234" t="s">
        <v>2304</v>
      </c>
      <c r="C40" s="783">
        <f ca="1">ROUND(C39*(1-((1+F42)/(1+F40))^F41)/(F40-F42),0)</f>
        <v>48582</v>
      </c>
      <c r="D40" s="814" t="s">
        <v>1808</v>
      </c>
      <c r="E40" s="784" t="s">
        <v>2423</v>
      </c>
      <c r="F40" s="794">
        <f ca="1">INDIRECT("'数据-取费表'!I"&amp;$G$1)</f>
        <v>0.06</v>
      </c>
      <c r="G40" s="2064"/>
      <c r="H40" s="2064"/>
      <c r="I40" s="837" t="s">
        <v>1820</v>
      </c>
      <c r="J40" s="845">
        <f ca="1">1-J39</f>
        <v>-2.0000000000000018E-3</v>
      </c>
      <c r="K40" s="2085"/>
      <c r="L40" s="2064"/>
      <c r="M40" s="2064"/>
    </row>
    <row r="41" spans="1:18" ht="18" customHeight="1">
      <c r="A41" s="786"/>
      <c r="B41" s="787"/>
      <c r="C41" s="788"/>
      <c r="D41" s="821" t="s">
        <v>1809</v>
      </c>
      <c r="E41" s="784" t="s">
        <v>2977</v>
      </c>
      <c r="F41" s="822">
        <f ca="1">IF(INDIRECT("'数据-取费表'!af"&amp;$G$1)=0,INDIRECT("'数据-取费表'!ae"&amp;$G$1),INDIRECT("'数据-取费表'!af"&amp;$G$1))</f>
        <v>39.79</v>
      </c>
      <c r="G41" s="2064"/>
      <c r="H41" s="1990"/>
      <c r="I41" s="843" t="s">
        <v>1821</v>
      </c>
      <c r="J41" s="846"/>
      <c r="K41" s="2084"/>
      <c r="L41" s="1990"/>
      <c r="M41" s="1990"/>
    </row>
    <row r="42" spans="1:18" ht="18" customHeight="1">
      <c r="A42" s="790"/>
      <c r="B42" s="791"/>
      <c r="C42" s="792"/>
      <c r="D42" s="816"/>
      <c r="E42" s="784" t="s">
        <v>1810</v>
      </c>
      <c r="F42" s="794">
        <f ca="1">INDIRECT("'数据-取费表'!v"&amp;$G$1)</f>
        <v>0.02</v>
      </c>
      <c r="G42" s="2064"/>
      <c r="H42" s="1990"/>
      <c r="I42" s="847" t="s">
        <v>1822</v>
      </c>
      <c r="J42" s="845">
        <f ca="1">ROUND(C13/C40,3)</f>
        <v>0.60199999999999998</v>
      </c>
      <c r="K42" s="2084"/>
      <c r="L42" s="1990"/>
      <c r="M42" s="1990"/>
    </row>
    <row r="43" spans="1:18" ht="18" customHeight="1" thickBot="1">
      <c r="A43" s="823" t="s">
        <v>1788</v>
      </c>
      <c r="B43" s="824" t="s">
        <v>1811</v>
      </c>
      <c r="C43" s="825">
        <f ca="1">ROUND(C40*10000/F43,0)</f>
        <v>8425</v>
      </c>
      <c r="D43" s="826" t="s">
        <v>1812</v>
      </c>
      <c r="E43" s="827" t="s">
        <v>1813</v>
      </c>
      <c r="F43" s="828">
        <f ca="1">INDIRECT("'数据-取费表'!k"&amp;$G$1)</f>
        <v>57666.67</v>
      </c>
      <c r="G43" s="2064"/>
      <c r="H43" s="1990"/>
      <c r="I43" s="847" t="s">
        <v>1823</v>
      </c>
      <c r="J43" s="848">
        <f ca="1">1-J42</f>
        <v>0.39800000000000002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2298</v>
      </c>
      <c r="B46" s="2087"/>
      <c r="C46" s="2600">
        <f ca="1">C67-C40</f>
        <v>-59942</v>
      </c>
      <c r="D46" s="2087"/>
      <c r="E46" s="2087"/>
      <c r="F46" s="2087"/>
      <c r="I46" s="2380" t="s">
        <v>2346</v>
      </c>
      <c r="J46" s="2381"/>
      <c r="K46" s="2382"/>
      <c r="L46" s="2383" t="str">
        <f ca="1">IF(M47="住宅",0,IF(L48&gt;J51,L60,J60))</f>
        <v>0</v>
      </c>
      <c r="O46" s="2420" t="s">
        <v>2414</v>
      </c>
      <c r="P46" s="1593"/>
      <c r="Q46" s="1605"/>
      <c r="R46" s="1593"/>
    </row>
    <row r="47" spans="1:18" s="2061" customFormat="1" ht="18" customHeight="1" thickBot="1">
      <c r="A47" s="2374">
        <v>1</v>
      </c>
      <c r="B47" s="2375" t="s">
        <v>635</v>
      </c>
      <c r="C47" s="2600">
        <f ca="1">C48+C52+C54</f>
        <v>0</v>
      </c>
      <c r="D47" s="2087"/>
      <c r="E47" s="2087"/>
      <c r="F47" s="2087"/>
      <c r="I47" s="2384" t="s">
        <v>2347</v>
      </c>
      <c r="J47" s="2389" t="s">
        <v>3106</v>
      </c>
      <c r="K47" s="2390" t="s">
        <v>2353</v>
      </c>
      <c r="L47" s="2391">
        <f ca="1">INDIRECT("'数据-取费表'!d"&amp;$G$1)</f>
        <v>40</v>
      </c>
      <c r="M47" s="1605" t="str">
        <f>IF(ISNUMBER(FIND("住宅",C1)),"住宅","非住宅")</f>
        <v>非住宅</v>
      </c>
      <c r="O47" s="2421" t="s">
        <v>2379</v>
      </c>
      <c r="P47" s="2422" t="s">
        <v>2380</v>
      </c>
      <c r="Q47" s="2423" t="s">
        <v>2381</v>
      </c>
      <c r="R47" s="2422" t="s">
        <v>2382</v>
      </c>
    </row>
    <row r="48" spans="1:18" s="2061" customFormat="1" ht="18" customHeight="1" thickBot="1">
      <c r="A48" s="2669" t="s">
        <v>2543</v>
      </c>
      <c r="B48" s="2670" t="s">
        <v>2544</v>
      </c>
      <c r="C48" s="2376">
        <f ca="1">ROUND(F48*F50*F49*(1-F51)/10000,0)</f>
        <v>0</v>
      </c>
      <c r="D48" s="2377" t="s">
        <v>636</v>
      </c>
      <c r="E48" s="2378" t="s">
        <v>2299</v>
      </c>
      <c r="F48" s="2379"/>
      <c r="G48" s="2092"/>
      <c r="I48" s="2385" t="s">
        <v>2348</v>
      </c>
      <c r="J48" s="2392" t="s">
        <v>2354</v>
      </c>
      <c r="K48" s="2393" t="s">
        <v>2355</v>
      </c>
      <c r="L48" s="2394">
        <f ca="1">INDIRECT("'数据-取费表'!f"&amp;$G$1)</f>
        <v>39.79</v>
      </c>
      <c r="O48" s="2424" t="s">
        <v>2383</v>
      </c>
      <c r="P48" s="2425" t="s">
        <v>2409</v>
      </c>
      <c r="Q48" s="2426">
        <f ca="1">C40+J29</f>
        <v>48582</v>
      </c>
      <c r="R48" s="2425" t="s">
        <v>2384</v>
      </c>
    </row>
    <row r="49" spans="1:18" s="2061" customFormat="1" ht="18" customHeight="1" thickBot="1">
      <c r="A49" s="786"/>
      <c r="B49" s="787"/>
      <c r="C49" s="788"/>
      <c r="D49" s="789"/>
      <c r="E49" s="784" t="s">
        <v>1740</v>
      </c>
      <c r="F49" s="785">
        <f ca="1">F7</f>
        <v>53666.67</v>
      </c>
      <c r="G49" s="2092"/>
      <c r="H49" s="2095"/>
      <c r="I49" s="2385" t="s">
        <v>2349</v>
      </c>
      <c r="J49" s="2395">
        <v>2017</v>
      </c>
      <c r="K49" s="2396" t="s">
        <v>2356</v>
      </c>
      <c r="L49" s="2397"/>
      <c r="O49" s="2424" t="s">
        <v>2385</v>
      </c>
      <c r="P49" s="2425" t="s">
        <v>2410</v>
      </c>
      <c r="Q49" s="2426" t="str">
        <f ca="1">J60</f>
        <v>0</v>
      </c>
      <c r="R49" s="2425" t="s">
        <v>2386</v>
      </c>
    </row>
    <row r="50" spans="1:18" s="2061" customFormat="1" ht="18" customHeight="1" thickBot="1">
      <c r="A50" s="786"/>
      <c r="B50" s="787"/>
      <c r="C50" s="788"/>
      <c r="D50" s="789"/>
      <c r="E50" s="784" t="s">
        <v>1741</v>
      </c>
      <c r="F50" s="785">
        <f ca="1">F8</f>
        <v>365</v>
      </c>
      <c r="G50" s="2097"/>
      <c r="H50" s="2095"/>
      <c r="I50" s="2385" t="s">
        <v>2350</v>
      </c>
      <c r="J50" s="2398">
        <f>SUMPRODUCT((I63:I65=J47)*(J62:L62=J48)*(J63:L65))</f>
        <v>60</v>
      </c>
      <c r="K50" s="2396" t="s">
        <v>2357</v>
      </c>
      <c r="L50" s="2397"/>
      <c r="O50" s="2427" t="s">
        <v>2387</v>
      </c>
      <c r="P50" s="2425" t="s">
        <v>2411</v>
      </c>
      <c r="Q50" s="2426">
        <f ca="1">C29</f>
        <v>29225</v>
      </c>
      <c r="R50" s="2425" t="s">
        <v>2384</v>
      </c>
    </row>
    <row r="51" spans="1:18" s="2061" customFormat="1" ht="18" customHeight="1" thickBot="1">
      <c r="A51" s="786"/>
      <c r="B51" s="787"/>
      <c r="C51" s="788"/>
      <c r="D51" s="789"/>
      <c r="E51" s="784" t="s">
        <v>640</v>
      </c>
      <c r="F51" s="2373"/>
      <c r="H51" s="2095"/>
      <c r="I51" s="2386" t="s">
        <v>2351</v>
      </c>
      <c r="J51" s="2399">
        <f>IF(J49="",J50,J49+J50-YEAR('数据-取费表'!B2))</f>
        <v>60</v>
      </c>
      <c r="K51" s="2385" t="s">
        <v>2358</v>
      </c>
      <c r="L51" s="2400">
        <f ca="1">ROUND(-PV(INDIRECT("'数据-取费表'!h"&amp;$G$1),L48,(C39-C13*J36),0),0)</f>
        <v>-71</v>
      </c>
      <c r="O51" s="2427" t="s">
        <v>2388</v>
      </c>
      <c r="P51" s="2425" t="s">
        <v>2389</v>
      </c>
      <c r="Q51" s="2428" t="e">
        <f ca="1">J58</f>
        <v>#VALUE!</v>
      </c>
      <c r="R51" s="2429"/>
    </row>
    <row r="52" spans="1:18" s="2061" customFormat="1" ht="18" customHeight="1" thickBot="1">
      <c r="A52" s="781" t="s">
        <v>2542</v>
      </c>
      <c r="B52" s="2520" t="s">
        <v>2464</v>
      </c>
      <c r="C52" s="799">
        <f ca="1">ROUND(IF(F52="押一",F48*F50*F49/12*F11,IF(F52="押二",F48*F50*F49/12*2*F11,IF(F52="押三",F48*F50*F49/12*3*F11,C53*F11)))/10000,0)</f>
        <v>0</v>
      </c>
      <c r="D52" s="2527" t="s">
        <v>2471</v>
      </c>
      <c r="E52" s="2524" t="s">
        <v>2469</v>
      </c>
      <c r="F52" s="2647"/>
      <c r="I52" s="2387" t="s">
        <v>2425</v>
      </c>
      <c r="J52" s="2401">
        <v>0.09</v>
      </c>
      <c r="K52" s="2387" t="s">
        <v>2424</v>
      </c>
      <c r="L52" s="2401"/>
      <c r="O52" s="2427" t="s">
        <v>2390</v>
      </c>
      <c r="P52" s="2425" t="s">
        <v>2391</v>
      </c>
      <c r="Q52" s="2428">
        <f>J52</f>
        <v>0.09</v>
      </c>
      <c r="R52" s="2429"/>
    </row>
    <row r="53" spans="1:18" s="2061" customFormat="1" ht="39.75" customHeight="1" thickBot="1">
      <c r="A53" s="786"/>
      <c r="B53" s="2521" t="s">
        <v>2579</v>
      </c>
      <c r="C53" s="2525"/>
      <c r="D53" s="2527"/>
      <c r="E53" s="2524"/>
      <c r="F53" s="800"/>
      <c r="I53" s="2388" t="s">
        <v>2352</v>
      </c>
      <c r="J53" s="2402">
        <f ca="1">IF(M47="住宅",J51,IF(D1="——",MIN(J51,L48),IF(D1="土地（套用方法）",MIN(J51,L48-'数据-取费表'!B20))))</f>
        <v>39.79</v>
      </c>
      <c r="K53" s="3445" t="s">
        <v>2979</v>
      </c>
      <c r="L53" s="3446"/>
      <c r="O53" s="2427" t="s">
        <v>2392</v>
      </c>
      <c r="P53" s="2425" t="s">
        <v>2393</v>
      </c>
      <c r="Q53" s="2426">
        <f ca="1">J53</f>
        <v>39.79</v>
      </c>
      <c r="R53" s="2425" t="s">
        <v>2394</v>
      </c>
    </row>
    <row r="54" spans="1:18" s="2061" customFormat="1" ht="18" customHeight="1" thickBot="1">
      <c r="A54" s="2563" t="s">
        <v>2473</v>
      </c>
      <c r="B54" s="2564" t="s">
        <v>2465</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2395</v>
      </c>
      <c r="P54" s="2425" t="s">
        <v>2412</v>
      </c>
      <c r="Q54" s="2426">
        <f ca="1">Q48+Q49</f>
        <v>48582</v>
      </c>
      <c r="R54" s="2429" t="s">
        <v>2396</v>
      </c>
    </row>
    <row r="55" spans="1:18" s="2061" customFormat="1" ht="18" customHeight="1" thickTop="1" thickBot="1">
      <c r="A55" s="797">
        <v>2</v>
      </c>
      <c r="B55" s="798" t="s">
        <v>644</v>
      </c>
      <c r="C55" s="799">
        <f ca="1">C13</f>
        <v>29225</v>
      </c>
      <c r="D55" s="795"/>
      <c r="E55" s="795"/>
      <c r="F55" s="800"/>
      <c r="I55" s="3131" t="s">
        <v>2359</v>
      </c>
      <c r="J55" s="3130" t="e">
        <f ca="1">ROUND(IF(J47="钢混",J57/J50,1-(1-2%)*(J50-J57)/J50),3)</f>
        <v>#VALUE!</v>
      </c>
      <c r="K55" s="2403" t="s">
        <v>2360</v>
      </c>
      <c r="L55" s="2404"/>
      <c r="O55" s="2430" t="s">
        <v>2415</v>
      </c>
      <c r="P55" s="1593"/>
      <c r="Q55" s="1605"/>
      <c r="R55" s="1593"/>
    </row>
    <row r="56" spans="1:18" s="2061" customFormat="1" ht="42.75" customHeight="1" thickBot="1">
      <c r="A56" s="1651"/>
      <c r="B56" s="2233" t="s">
        <v>2305</v>
      </c>
      <c r="C56" s="53">
        <f ca="1">C29</f>
        <v>29225</v>
      </c>
      <c r="D56" s="2666"/>
      <c r="E56" s="784"/>
      <c r="F56" s="809"/>
      <c r="I56" s="2405" t="s">
        <v>2361</v>
      </c>
      <c r="J56" s="3154" t="s">
        <v>1679</v>
      </c>
      <c r="K56" s="2385" t="s">
        <v>2366</v>
      </c>
      <c r="L56" s="2394" t="str">
        <f ca="1">IF(L48&lt;J51,"——",L48-J51)</f>
        <v>——</v>
      </c>
      <c r="O56" s="2421" t="s">
        <v>2379</v>
      </c>
      <c r="P56" s="2422" t="s">
        <v>2380</v>
      </c>
      <c r="Q56" s="2423" t="s">
        <v>2381</v>
      </c>
      <c r="R56" s="2422" t="s">
        <v>2382</v>
      </c>
    </row>
    <row r="57" spans="1:18" s="2061" customFormat="1" ht="28.5" customHeight="1" thickBot="1">
      <c r="A57" s="797" t="s">
        <v>1749</v>
      </c>
      <c r="B57" s="798" t="s">
        <v>651</v>
      </c>
      <c r="C57" s="799">
        <f ca="1">ROUND(C58+C63+C64+C65,0)</f>
        <v>756</v>
      </c>
      <c r="D57" s="26" t="s">
        <v>1751</v>
      </c>
      <c r="E57" s="2667"/>
      <c r="F57" s="56"/>
      <c r="I57" s="2406" t="s">
        <v>2362</v>
      </c>
      <c r="J57" s="2408" t="str">
        <f ca="1">IF(OR(M47="住宅",J51&lt;L48,J56="是"),"——",J51-L48)</f>
        <v>——</v>
      </c>
      <c r="K57" s="2385" t="s">
        <v>2367</v>
      </c>
      <c r="L57" s="2394" t="str">
        <f ca="1">IF(L48&lt;J51,"——",IF(L55="比较法",L49,IF(L55="基准地价",L50,L51)))</f>
        <v>——</v>
      </c>
      <c r="O57" s="2424" t="s">
        <v>2383</v>
      </c>
      <c r="P57" s="2425" t="s">
        <v>2413</v>
      </c>
      <c r="Q57" s="2426">
        <f ca="1">C40+J29</f>
        <v>48582</v>
      </c>
      <c r="R57" s="2425" t="s">
        <v>2384</v>
      </c>
    </row>
    <row r="58" spans="1:18" s="2061" customFormat="1" ht="28.5" customHeight="1" thickBot="1">
      <c r="A58" s="1650" t="s">
        <v>1825</v>
      </c>
      <c r="B58" s="784" t="s">
        <v>656</v>
      </c>
      <c r="C58" s="53">
        <f ca="1">ROUND(IF(项目基本情况!B11="自然人",C47*F58,C59+C60+C61),1)</f>
        <v>259.39999999999998</v>
      </c>
      <c r="D58" s="2665" t="s">
        <v>657</v>
      </c>
      <c r="E58" s="2666" t="s">
        <v>690</v>
      </c>
      <c r="F58" s="810" t="str">
        <f ca="1">IF(项目基本情况!B11="企业","",IF(INDIRECT("'数据-取费表'!c"&amp;$G$1)="住宅",5%,IF(F48*F49*F50/12/(1+'数据-取费表'!C42)&gt;20000,12%,7%)))</f>
        <v/>
      </c>
      <c r="I58" s="2406" t="s">
        <v>2363</v>
      </c>
      <c r="J58" s="3132" t="e">
        <f ca="1">IF(J55&lt;0.4,0.4,J55)</f>
        <v>#VALUE!</v>
      </c>
      <c r="K58" s="2385" t="s">
        <v>2368</v>
      </c>
      <c r="L58" s="2394" t="e">
        <f ca="1">ROUND(POWER(1+L52,L47-L48)*(POWER(1+L52,L48)-1)/(POWER(1+L52,L47)-1),4)</f>
        <v>#DIV/0!</v>
      </c>
      <c r="O58" s="2424" t="s">
        <v>2385</v>
      </c>
      <c r="P58" s="2425" t="s">
        <v>2416</v>
      </c>
      <c r="Q58" s="2426">
        <f ca="1">L60</f>
        <v>0</v>
      </c>
      <c r="R58" s="2429" t="s">
        <v>2418</v>
      </c>
    </row>
    <row r="59" spans="1:18" s="2061" customFormat="1" ht="28.5" customHeight="1" thickBot="1">
      <c r="A59" s="1649" t="s">
        <v>1832</v>
      </c>
      <c r="B59" s="784" t="s">
        <v>660</v>
      </c>
      <c r="C59" s="53">
        <f ca="1">ROUND(C47*F59/1.05,1)</f>
        <v>0</v>
      </c>
      <c r="D59" s="2666" t="s">
        <v>1757</v>
      </c>
      <c r="E59" s="784" t="s">
        <v>1748</v>
      </c>
      <c r="F59" s="809">
        <f t="shared" ref="F59:F65" si="0">F32</f>
        <v>5.6000000000000001E-2</v>
      </c>
      <c r="I59" s="2406" t="s">
        <v>2364</v>
      </c>
      <c r="J59" s="2408" t="str">
        <f ca="1">IF(OR(M47="住宅",J51&lt;L48,J56="是"),"——",ROUND(C29*J58,0))</f>
        <v>——</v>
      </c>
      <c r="K59" s="3161" t="str">
        <f>IF(D1="——","建筑物剩余耐用年限下的土地年期修正系数Kn","建设期及建筑物耐用年限下的土地年期修正系数Kn")</f>
        <v>建筑物剩余耐用年限下的土地年期修正系数Kn</v>
      </c>
      <c r="L59" s="2394" t="e">
        <f ca="1">ROUND(IF(D1="土地（套用方法）",POWER(1+L52,L47-(J51+'数据-取费表'!B20))*(POWER(1+L52,(J51+'数据-取费表'!B20))-1)/(POWER(1+L52,L47)-1),POWER(1+L52,L47-J51)*(POWER(1+L52,J51)-1)/(POWER(1+L52,L47)-1)),4)</f>
        <v>#DIV/0!</v>
      </c>
      <c r="O59" s="2427" t="s">
        <v>2387</v>
      </c>
      <c r="P59" s="2425" t="s">
        <v>2417</v>
      </c>
      <c r="Q59" s="2426">
        <f>IF(L55="比较法",L49,IF(L55="基准地价",L50,0))</f>
        <v>0</v>
      </c>
      <c r="R59" s="2425" t="s">
        <v>2384</v>
      </c>
    </row>
    <row r="60" spans="1:18" s="2061" customFormat="1" ht="18" customHeight="1" thickBot="1">
      <c r="A60" s="1649" t="s">
        <v>1833</v>
      </c>
      <c r="B60" s="784" t="s">
        <v>1759</v>
      </c>
      <c r="C60" s="53">
        <f ca="1">IF(D60="按租金收入计税",ROUND(C47*F60,1),IF(D60="按房产原值计税",ROUND(C56*F60*0.7,1),INDIRECT("'数据-取费表'!Aj"&amp;$G$1)))</f>
        <v>245.5</v>
      </c>
      <c r="D60" s="2666" t="str">
        <f>D33</f>
        <v>按房产原值计税</v>
      </c>
      <c r="E60" s="784" t="s">
        <v>1748</v>
      </c>
      <c r="F60" s="809">
        <f t="shared" si="0"/>
        <v>1.2E-2</v>
      </c>
      <c r="I60" s="2407" t="s">
        <v>2365</v>
      </c>
      <c r="J60" s="2409" t="str">
        <f ca="1">IF(OR(M47="住宅",J51&lt;L48,J56="是"),"0",ROUND(J59/(1+J52)^J53,0))</f>
        <v>0</v>
      </c>
      <c r="K60" s="2410" t="s">
        <v>2370</v>
      </c>
      <c r="L60" s="2409">
        <f ca="1">IF(OR(M47="住宅",L48&lt;J51),0,ROUND(L57*(L58/L59-1),0))</f>
        <v>0</v>
      </c>
      <c r="O60" s="2427" t="s">
        <v>2388</v>
      </c>
      <c r="P60" s="2425" t="s">
        <v>2397</v>
      </c>
      <c r="Q60" s="2428">
        <f>L52</f>
        <v>0</v>
      </c>
      <c r="R60" s="2429"/>
    </row>
    <row r="61" spans="1:18" s="2061" customFormat="1" ht="18" customHeight="1" thickBot="1">
      <c r="A61" s="1652" t="s">
        <v>1834</v>
      </c>
      <c r="B61" s="341" t="s">
        <v>668</v>
      </c>
      <c r="C61" s="54">
        <f ca="1">ROUND(F61*F62/10000,1)</f>
        <v>13.9</v>
      </c>
      <c r="D61" s="814" t="s">
        <v>669</v>
      </c>
      <c r="E61" s="784" t="s">
        <v>670</v>
      </c>
      <c r="F61" s="640">
        <f t="shared" si="0"/>
        <v>5</v>
      </c>
      <c r="K61" s="2088"/>
      <c r="O61" s="2427" t="s">
        <v>2390</v>
      </c>
      <c r="P61" s="2425" t="s">
        <v>2398</v>
      </c>
      <c r="Q61" s="2426" t="e">
        <f ca="1">L58</f>
        <v>#DIV/0!</v>
      </c>
      <c r="R61" s="2429" t="s">
        <v>2399</v>
      </c>
    </row>
    <row r="62" spans="1:18" s="2061" customFormat="1" ht="15.75" thickBot="1">
      <c r="A62" s="815"/>
      <c r="B62" s="793"/>
      <c r="C62" s="69"/>
      <c r="D62" s="816"/>
      <c r="E62" s="784" t="s">
        <v>674</v>
      </c>
      <c r="F62" s="785">
        <f t="shared" ca="1" si="0"/>
        <v>27851.409999999996</v>
      </c>
      <c r="I62" s="2411" t="s">
        <v>2371</v>
      </c>
      <c r="J62" s="2412" t="s">
        <v>2372</v>
      </c>
      <c r="K62" s="2412" t="s">
        <v>2373</v>
      </c>
      <c r="L62" s="2412" t="s">
        <v>2354</v>
      </c>
      <c r="M62" s="3133" t="s">
        <v>2954</v>
      </c>
      <c r="O62" s="2427" t="s">
        <v>2392</v>
      </c>
      <c r="P62" s="2425" t="str">
        <f>K59</f>
        <v>建筑物剩余耐用年限下的土地年期修正系数Kn</v>
      </c>
      <c r="Q62" s="2426" t="e">
        <f ca="1">L59</f>
        <v>#DIV/0!</v>
      </c>
      <c r="R62" s="2429" t="s">
        <v>2401</v>
      </c>
    </row>
    <row r="63" spans="1:18" s="2061" customFormat="1" ht="15.75" thickBot="1">
      <c r="A63" s="1650" t="s">
        <v>1890</v>
      </c>
      <c r="B63" s="784" t="s">
        <v>676</v>
      </c>
      <c r="C63" s="53">
        <f ca="1">ROUND(C56*F63,1)</f>
        <v>438.4</v>
      </c>
      <c r="D63" s="2666" t="s">
        <v>1804</v>
      </c>
      <c r="E63" s="784" t="s">
        <v>1748</v>
      </c>
      <c r="F63" s="817">
        <f t="shared" ca="1" si="0"/>
        <v>1.4999999999999999E-2</v>
      </c>
      <c r="I63" s="2411" t="s">
        <v>2374</v>
      </c>
      <c r="J63" s="2412">
        <v>70</v>
      </c>
      <c r="K63" s="2412">
        <v>50</v>
      </c>
      <c r="L63" s="2412">
        <v>80</v>
      </c>
      <c r="M63" s="3134">
        <v>0.02</v>
      </c>
      <c r="O63" s="2424" t="s">
        <v>2395</v>
      </c>
      <c r="P63" s="2425" t="s">
        <v>2412</v>
      </c>
      <c r="Q63" s="2426">
        <f ca="1">Q57+Q58</f>
        <v>48582</v>
      </c>
      <c r="R63" s="2429" t="s">
        <v>2396</v>
      </c>
    </row>
    <row r="64" spans="1:18" s="2061" customFormat="1" ht="16.5" thickBot="1">
      <c r="A64" s="1650" t="s">
        <v>1891</v>
      </c>
      <c r="B64" s="784" t="s">
        <v>679</v>
      </c>
      <c r="C64" s="53">
        <f ca="1">ROUND(C55*F64,1)</f>
        <v>58.5</v>
      </c>
      <c r="D64" s="2666" t="s">
        <v>680</v>
      </c>
      <c r="E64" s="784" t="s">
        <v>1748</v>
      </c>
      <c r="F64" s="818">
        <f t="shared" ca="1" si="0"/>
        <v>2E-3</v>
      </c>
      <c r="I64" s="2411" t="s">
        <v>2375</v>
      </c>
      <c r="J64" s="2412">
        <v>50</v>
      </c>
      <c r="K64" s="2412">
        <v>35</v>
      </c>
      <c r="L64" s="2412">
        <v>60</v>
      </c>
      <c r="M64" s="3135">
        <v>0</v>
      </c>
      <c r="O64" s="2430" t="s">
        <v>2419</v>
      </c>
      <c r="P64" s="1593"/>
      <c r="Q64" s="1605"/>
      <c r="R64" s="1593"/>
    </row>
    <row r="65" spans="1:18" s="2061" customFormat="1" ht="15.75" thickBot="1">
      <c r="A65" s="1650" t="s">
        <v>1892</v>
      </c>
      <c r="B65" s="784" t="s">
        <v>666</v>
      </c>
      <c r="C65" s="53">
        <f ca="1">ROUND(C47*F65,1)</f>
        <v>0</v>
      </c>
      <c r="D65" s="2666" t="s">
        <v>683</v>
      </c>
      <c r="E65" s="784" t="s">
        <v>1748</v>
      </c>
      <c r="F65" s="794">
        <f t="shared" ca="1" si="0"/>
        <v>0.03</v>
      </c>
      <c r="I65" s="2411" t="s">
        <v>2376</v>
      </c>
      <c r="J65" s="2412">
        <v>40</v>
      </c>
      <c r="K65" s="2412">
        <v>30</v>
      </c>
      <c r="L65" s="2412">
        <v>50</v>
      </c>
      <c r="M65" s="3134">
        <v>0.02</v>
      </c>
      <c r="O65" s="2421" t="s">
        <v>2379</v>
      </c>
      <c r="P65" s="2422" t="s">
        <v>2380</v>
      </c>
      <c r="Q65" s="2423" t="s">
        <v>2381</v>
      </c>
      <c r="R65" s="2422" t="s">
        <v>2382</v>
      </c>
    </row>
    <row r="66" spans="1:18" s="2061" customFormat="1" ht="24.75" thickBot="1">
      <c r="A66" s="797" t="s">
        <v>1777</v>
      </c>
      <c r="B66" s="3039" t="s">
        <v>2830</v>
      </c>
      <c r="C66" s="799">
        <f ca="1">C47-C57</f>
        <v>-756</v>
      </c>
      <c r="D66" s="2665" t="s">
        <v>700</v>
      </c>
      <c r="E66" s="2664"/>
      <c r="F66" s="820"/>
      <c r="K66" s="2088"/>
      <c r="O66" s="2424" t="s">
        <v>2383</v>
      </c>
      <c r="P66" s="2425" t="s">
        <v>2413</v>
      </c>
      <c r="Q66" s="2426">
        <f ca="1">C40+J29</f>
        <v>48582</v>
      </c>
      <c r="R66" s="2425" t="s">
        <v>2384</v>
      </c>
    </row>
    <row r="67" spans="1:18" s="2061" customFormat="1" ht="20.25" thickBot="1">
      <c r="A67" s="781" t="s">
        <v>1781</v>
      </c>
      <c r="B67" s="2234" t="s">
        <v>2304</v>
      </c>
      <c r="C67" s="783">
        <f ca="1">ROUND(C66*(1-((1+F69)/(1+F67))^F68)/(F67-F69),0)</f>
        <v>-11360</v>
      </c>
      <c r="D67" s="814" t="s">
        <v>704</v>
      </c>
      <c r="E67" s="784" t="s">
        <v>705</v>
      </c>
      <c r="F67" s="794">
        <f ca="1">F40</f>
        <v>0.06</v>
      </c>
      <c r="K67" s="2088"/>
      <c r="O67" s="2424" t="s">
        <v>2385</v>
      </c>
      <c r="P67" s="2425" t="s">
        <v>2416</v>
      </c>
      <c r="Q67" s="2426">
        <f ca="1">L60</f>
        <v>0</v>
      </c>
      <c r="R67" s="2429" t="s">
        <v>2418</v>
      </c>
    </row>
    <row r="68" spans="1:18" ht="21.75" thickBot="1">
      <c r="A68" s="786"/>
      <c r="B68" s="787"/>
      <c r="C68" s="788"/>
      <c r="D68" s="821" t="s">
        <v>1809</v>
      </c>
      <c r="E68" s="784" t="s">
        <v>1785</v>
      </c>
      <c r="F68" s="822">
        <f ca="1">F41</f>
        <v>39.79</v>
      </c>
      <c r="O68" s="2427" t="s">
        <v>2387</v>
      </c>
      <c r="P68" s="2425" t="s">
        <v>2417</v>
      </c>
      <c r="Q68" s="2431">
        <f ca="1">L51</f>
        <v>-71</v>
      </c>
      <c r="R68" s="2432" t="s">
        <v>2420</v>
      </c>
    </row>
    <row r="69" spans="1:18" ht="20.25" thickBot="1">
      <c r="A69" s="790"/>
      <c r="B69" s="791"/>
      <c r="C69" s="792"/>
      <c r="D69" s="816"/>
      <c r="E69" s="784" t="s">
        <v>710</v>
      </c>
      <c r="F69" s="2373"/>
      <c r="O69" s="2427" t="s">
        <v>2388</v>
      </c>
      <c r="P69" s="2433" t="s">
        <v>2402</v>
      </c>
      <c r="Q69" s="2426">
        <f ca="1">ROUND(Q70-Q71*Q72,0)</f>
        <v>-4</v>
      </c>
      <c r="R69" s="2429"/>
    </row>
    <row r="70" spans="1:18" ht="15.75" thickBot="1">
      <c r="A70" s="823" t="s">
        <v>1788</v>
      </c>
      <c r="B70" s="824" t="s">
        <v>1811</v>
      </c>
      <c r="C70" s="825">
        <f ca="1">ROUND(C67*10000/F70,0)</f>
        <v>-1970</v>
      </c>
      <c r="D70" s="826" t="s">
        <v>1812</v>
      </c>
      <c r="E70" s="827" t="s">
        <v>1813</v>
      </c>
      <c r="F70" s="828">
        <f ca="1">F43</f>
        <v>57666.67</v>
      </c>
      <c r="O70" s="2427" t="s">
        <v>2403</v>
      </c>
      <c r="P70" s="2433" t="s">
        <v>2404</v>
      </c>
      <c r="Q70" s="2426">
        <f ca="1">C39</f>
        <v>2480</v>
      </c>
      <c r="R70" s="2425" t="s">
        <v>2384</v>
      </c>
    </row>
    <row r="71" spans="1:18" ht="15.75" thickBot="1">
      <c r="O71" s="2427" t="s">
        <v>2405</v>
      </c>
      <c r="P71" s="2433" t="s">
        <v>2406</v>
      </c>
      <c r="Q71" s="2426">
        <f ca="1">C13</f>
        <v>29225</v>
      </c>
      <c r="R71" s="2425" t="s">
        <v>2384</v>
      </c>
    </row>
    <row r="72" spans="1:18" ht="15.75" thickBot="1">
      <c r="O72" s="2427" t="s">
        <v>2407</v>
      </c>
      <c r="P72" s="2433" t="s">
        <v>2408</v>
      </c>
      <c r="Q72" s="2428">
        <f ca="1">J36</f>
        <v>8.5000000000000006E-2</v>
      </c>
      <c r="R72" s="2429"/>
    </row>
    <row r="73" spans="1:18" ht="15.75" thickBot="1">
      <c r="O73" s="2427" t="s">
        <v>2390</v>
      </c>
      <c r="P73" s="2425" t="s">
        <v>2397</v>
      </c>
      <c r="Q73" s="2428">
        <f>L52</f>
        <v>0</v>
      </c>
      <c r="R73" s="2429"/>
    </row>
    <row r="74" spans="1:18" ht="20.25" thickBot="1">
      <c r="O74" s="2427" t="s">
        <v>2392</v>
      </c>
      <c r="P74" s="2425" t="s">
        <v>2398</v>
      </c>
      <c r="Q74" s="2426" t="e">
        <f ca="1">L58</f>
        <v>#DIV/0!</v>
      </c>
      <c r="R74" s="2429" t="s">
        <v>2399</v>
      </c>
    </row>
    <row r="75" spans="1:18" ht="15.75" thickBot="1">
      <c r="O75" s="2427" t="s">
        <v>2421</v>
      </c>
      <c r="P75" s="2425" t="str">
        <f>K59</f>
        <v>建筑物剩余耐用年限下的土地年期修正系数Kn</v>
      </c>
      <c r="Q75" s="2426" t="e">
        <f ca="1">L59</f>
        <v>#DIV/0!</v>
      </c>
      <c r="R75" s="2429" t="s">
        <v>2401</v>
      </c>
    </row>
    <row r="76" spans="1:18" ht="15.75" thickBot="1">
      <c r="O76" s="2424" t="s">
        <v>2395</v>
      </c>
      <c r="P76" s="2425" t="s">
        <v>2412</v>
      </c>
      <c r="Q76" s="2426">
        <f ca="1">Q66+Q67</f>
        <v>48582</v>
      </c>
      <c r="R76" s="2429"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3" t="s">
        <v>2477</v>
      </c>
      <c r="B1" s="3464"/>
      <c r="C1" s="3465"/>
      <c r="D1" s="3466">
        <f>SUM(I10,I15,I20,I21,I23)</f>
        <v>0</v>
      </c>
      <c r="E1" s="3466"/>
      <c r="F1" s="3466"/>
      <c r="G1" s="3466"/>
      <c r="H1" s="3466"/>
      <c r="I1" s="3467"/>
    </row>
    <row r="2" spans="1:9">
      <c r="A2" s="3453" t="s">
        <v>2478</v>
      </c>
      <c r="B2" s="3454" t="s">
        <v>2479</v>
      </c>
      <c r="C2" s="3454"/>
      <c r="D2" s="2533" t="s">
        <v>2480</v>
      </c>
      <c r="E2" s="2533" t="s">
        <v>2481</v>
      </c>
      <c r="F2" s="2533" t="s">
        <v>2482</v>
      </c>
      <c r="G2" s="2533" t="s">
        <v>2483</v>
      </c>
      <c r="H2" s="2533" t="s">
        <v>2484</v>
      </c>
      <c r="I2" s="2534" t="s">
        <v>2485</v>
      </c>
    </row>
    <row r="3" spans="1:9">
      <c r="A3" s="3453"/>
      <c r="B3" s="3454" t="s">
        <v>2486</v>
      </c>
      <c r="C3" s="3454"/>
      <c r="D3" s="2535"/>
      <c r="E3" s="2533"/>
      <c r="F3" s="2536"/>
      <c r="G3" s="2536"/>
      <c r="H3" s="2537"/>
      <c r="I3" s="2538">
        <f>ROUND(D3*E3*F3*G3*H3/10000,0)</f>
        <v>0</v>
      </c>
    </row>
    <row r="4" spans="1:9">
      <c r="A4" s="3453"/>
      <c r="B4" s="3454" t="s">
        <v>2487</v>
      </c>
      <c r="C4" s="3454"/>
      <c r="D4" s="2535"/>
      <c r="E4" s="2533"/>
      <c r="F4" s="2536"/>
      <c r="G4" s="2536"/>
      <c r="H4" s="2537"/>
      <c r="I4" s="2538">
        <f t="shared" ref="I4:I9" si="0">ROUND(D4*E4*F4*G4*H4/10000,0)</f>
        <v>0</v>
      </c>
    </row>
    <row r="5" spans="1:9">
      <c r="A5" s="3453"/>
      <c r="B5" s="3454" t="s">
        <v>2488</v>
      </c>
      <c r="C5" s="3454"/>
      <c r="D5" s="2535"/>
      <c r="E5" s="2533"/>
      <c r="F5" s="2536"/>
      <c r="G5" s="2536"/>
      <c r="H5" s="2537"/>
      <c r="I5" s="2538">
        <f t="shared" si="0"/>
        <v>0</v>
      </c>
    </row>
    <row r="6" spans="1:9">
      <c r="A6" s="3453"/>
      <c r="B6" s="3454" t="s">
        <v>2489</v>
      </c>
      <c r="C6" s="3454"/>
      <c r="D6" s="2535"/>
      <c r="E6" s="2533"/>
      <c r="F6" s="2536"/>
      <c r="G6" s="2536"/>
      <c r="H6" s="2537"/>
      <c r="I6" s="2538">
        <f t="shared" si="0"/>
        <v>0</v>
      </c>
    </row>
    <row r="7" spans="1:9">
      <c r="A7" s="3453"/>
      <c r="B7" s="3454" t="s">
        <v>2490</v>
      </c>
      <c r="C7" s="3454"/>
      <c r="D7" s="2535"/>
      <c r="E7" s="2533"/>
      <c r="F7" s="2536"/>
      <c r="G7" s="2536"/>
      <c r="H7" s="2537"/>
      <c r="I7" s="2538">
        <f t="shared" si="0"/>
        <v>0</v>
      </c>
    </row>
    <row r="8" spans="1:9">
      <c r="A8" s="3453"/>
      <c r="B8" s="3454" t="s">
        <v>2491</v>
      </c>
      <c r="C8" s="3454"/>
      <c r="D8" s="2535"/>
      <c r="E8" s="2533"/>
      <c r="F8" s="2536"/>
      <c r="G8" s="2536"/>
      <c r="H8" s="2537"/>
      <c r="I8" s="2538">
        <f t="shared" si="0"/>
        <v>0</v>
      </c>
    </row>
    <row r="9" spans="1:9">
      <c r="A9" s="3453"/>
      <c r="B9" s="3454" t="s">
        <v>2492</v>
      </c>
      <c r="C9" s="3454"/>
      <c r="D9" s="2535"/>
      <c r="E9" s="2533"/>
      <c r="F9" s="2536"/>
      <c r="G9" s="2536"/>
      <c r="H9" s="2537"/>
      <c r="I9" s="2538">
        <f t="shared" si="0"/>
        <v>0</v>
      </c>
    </row>
    <row r="10" spans="1:9">
      <c r="A10" s="3453"/>
      <c r="B10" s="3455" t="s">
        <v>2493</v>
      </c>
      <c r="C10" s="3455"/>
      <c r="D10" s="2539">
        <v>527</v>
      </c>
      <c r="E10" s="2539" t="e">
        <f>ROUND(D1*10000/D10/H9,0)</f>
        <v>#DIV/0!</v>
      </c>
      <c r="F10" s="2540"/>
      <c r="G10" s="2540"/>
      <c r="H10" s="2541"/>
      <c r="I10" s="2542">
        <f>SUM(I3:I9)</f>
        <v>0</v>
      </c>
    </row>
    <row r="11" spans="1:9" ht="14.25">
      <c r="A11" s="3453" t="s">
        <v>2494</v>
      </c>
      <c r="B11" s="3454" t="s">
        <v>2495</v>
      </c>
      <c r="C11" s="3454"/>
      <c r="D11" s="2535" t="s">
        <v>2496</v>
      </c>
      <c r="E11" s="2535" t="s">
        <v>2497</v>
      </c>
      <c r="F11" s="2536" t="s">
        <v>2498</v>
      </c>
      <c r="G11" s="2536" t="s">
        <v>2499</v>
      </c>
      <c r="H11" s="2543" t="s">
        <v>2500</v>
      </c>
      <c r="I11" s="2534" t="s">
        <v>2501</v>
      </c>
    </row>
    <row r="12" spans="1:9">
      <c r="A12" s="3453"/>
      <c r="B12" s="3454" t="s">
        <v>2502</v>
      </c>
      <c r="C12" s="3454"/>
      <c r="D12" s="2535"/>
      <c r="E12" s="2535"/>
      <c r="F12" s="2536"/>
      <c r="G12" s="2537"/>
      <c r="H12" s="2544"/>
      <c r="I12" s="2534">
        <f>ROUND(D12*E12*F12*G12/10000,0)</f>
        <v>0</v>
      </c>
    </row>
    <row r="13" spans="1:9">
      <c r="A13" s="3453"/>
      <c r="B13" s="3454" t="s">
        <v>2503</v>
      </c>
      <c r="C13" s="3454"/>
      <c r="D13" s="2535"/>
      <c r="E13" s="2535"/>
      <c r="F13" s="2536"/>
      <c r="G13" s="2537"/>
      <c r="H13" s="2544"/>
      <c r="I13" s="2534">
        <f>ROUND(D13*E13*F13*G13/10000,0)</f>
        <v>0</v>
      </c>
    </row>
    <row r="14" spans="1:9">
      <c r="A14" s="3453"/>
      <c r="B14" s="3454" t="s">
        <v>2504</v>
      </c>
      <c r="C14" s="3454"/>
      <c r="D14" s="2535"/>
      <c r="E14" s="2535"/>
      <c r="F14" s="2536"/>
      <c r="G14" s="2537"/>
      <c r="H14" s="2544"/>
      <c r="I14" s="2534">
        <f>ROUND(D14*E14*F14*G14/10000,0)</f>
        <v>0</v>
      </c>
    </row>
    <row r="15" spans="1:9">
      <c r="A15" s="3453"/>
      <c r="B15" s="3455" t="s">
        <v>2493</v>
      </c>
      <c r="C15" s="3455"/>
      <c r="D15" s="2539"/>
      <c r="E15" s="2539">
        <f>SUM(E12:E14)</f>
        <v>0</v>
      </c>
      <c r="F15" s="2540"/>
      <c r="G15" s="2537"/>
      <c r="H15" s="2544"/>
      <c r="I15" s="2545">
        <f>SUM(I12:I14)</f>
        <v>0</v>
      </c>
    </row>
    <row r="16" spans="1:9" ht="24">
      <c r="A16" s="3453" t="s">
        <v>2505</v>
      </c>
      <c r="B16" s="3454" t="s">
        <v>2506</v>
      </c>
      <c r="C16" s="3454"/>
      <c r="D16" s="2535" t="s">
        <v>2507</v>
      </c>
      <c r="E16" s="2546" t="s">
        <v>2508</v>
      </c>
      <c r="F16" s="2536" t="s">
        <v>2509</v>
      </c>
      <c r="G16" s="2537" t="s">
        <v>2499</v>
      </c>
      <c r="H16" s="2543" t="s">
        <v>2500</v>
      </c>
      <c r="I16" s="2534" t="s">
        <v>2501</v>
      </c>
    </row>
    <row r="17" spans="1:9" ht="14.25">
      <c r="A17" s="3453"/>
      <c r="B17" s="3454" t="s">
        <v>2510</v>
      </c>
      <c r="C17" s="3454"/>
      <c r="D17" s="2535"/>
      <c r="E17" s="2535"/>
      <c r="F17" s="2536"/>
      <c r="G17" s="2537"/>
      <c r="H17" s="2547"/>
      <c r="I17" s="2548">
        <f>ROUND(D17*E17*F17*G17/10000,0)</f>
        <v>0</v>
      </c>
    </row>
    <row r="18" spans="1:9" ht="14.25">
      <c r="A18" s="3453"/>
      <c r="B18" s="3454" t="s">
        <v>2511</v>
      </c>
      <c r="C18" s="3454"/>
      <c r="D18" s="2535"/>
      <c r="E18" s="2535"/>
      <c r="F18" s="2536"/>
      <c r="G18" s="2537"/>
      <c r="H18" s="2547"/>
      <c r="I18" s="2548">
        <f>ROUND(D18*E18*F18*G18/10000,0)</f>
        <v>0</v>
      </c>
    </row>
    <row r="19" spans="1:9" ht="14.25">
      <c r="A19" s="3453"/>
      <c r="B19" s="3454" t="s">
        <v>2512</v>
      </c>
      <c r="C19" s="3454"/>
      <c r="D19" s="2535"/>
      <c r="E19" s="2535"/>
      <c r="F19" s="2536"/>
      <c r="G19" s="2537"/>
      <c r="H19" s="2547"/>
      <c r="I19" s="2548">
        <f>ROUND(D19*E19*F19*G19/10000,0)</f>
        <v>0</v>
      </c>
    </row>
    <row r="20" spans="1:9">
      <c r="A20" s="3453"/>
      <c r="B20" s="3455" t="s">
        <v>2493</v>
      </c>
      <c r="C20" s="3455"/>
      <c r="D20" s="2539">
        <f>SUM(D17:D19)</f>
        <v>0</v>
      </c>
      <c r="E20" s="2539"/>
      <c r="F20" s="2540"/>
      <c r="G20" s="2537"/>
      <c r="H20" s="2544"/>
      <c r="I20" s="2545">
        <f>SUM(I17:I19)</f>
        <v>0</v>
      </c>
    </row>
    <row r="21" spans="1:9">
      <c r="A21" s="3453" t="s">
        <v>2513</v>
      </c>
      <c r="B21" s="3456"/>
      <c r="C21" s="3456"/>
      <c r="D21" s="3456"/>
      <c r="E21" s="3456"/>
      <c r="F21" s="3456"/>
      <c r="G21" s="3456"/>
      <c r="H21" s="2549">
        <v>0.1</v>
      </c>
      <c r="I21" s="2542">
        <f>ROUND(I10*H21,0)</f>
        <v>0</v>
      </c>
    </row>
    <row r="22" spans="1:9" ht="14.25">
      <c r="A22" s="3457" t="s">
        <v>2514</v>
      </c>
      <c r="B22" s="3458"/>
      <c r="C22" s="3459"/>
      <c r="D22" s="2550" t="s">
        <v>2515</v>
      </c>
      <c r="E22" s="2550" t="s">
        <v>2516</v>
      </c>
      <c r="F22" s="2551" t="s">
        <v>2517</v>
      </c>
      <c r="G22" s="2551" t="s">
        <v>2518</v>
      </c>
      <c r="H22" s="2543" t="s">
        <v>2519</v>
      </c>
      <c r="I22" s="2534" t="s">
        <v>2520</v>
      </c>
    </row>
    <row r="23" spans="1:9" ht="14.25" thickBot="1">
      <c r="A23" s="3460"/>
      <c r="B23" s="3461"/>
      <c r="C23" s="3462"/>
      <c r="D23" s="2552"/>
      <c r="E23" s="2552"/>
      <c r="F23" s="2552"/>
      <c r="G23" s="2553"/>
      <c r="H23" s="2554"/>
      <c r="I23" s="2555">
        <f>ROUND(E23*D23*F23*(1-G23)/10000,0)</f>
        <v>0</v>
      </c>
    </row>
    <row r="26" spans="1:9">
      <c r="A26" s="2556" t="s">
        <v>2521</v>
      </c>
      <c r="B26" s="2556"/>
      <c r="C26" s="2556"/>
      <c r="D26" s="2556"/>
      <c r="E26" s="3450">
        <f>C27-C30-C31-C32</f>
        <v>0</v>
      </c>
      <c r="F26" s="3450"/>
      <c r="G26" s="3450"/>
      <c r="H26" s="3072" t="s">
        <v>2851</v>
      </c>
    </row>
    <row r="27" spans="1:9">
      <c r="A27" s="2557">
        <v>1</v>
      </c>
      <c r="B27" s="2558" t="s">
        <v>2522</v>
      </c>
      <c r="C27" s="2558"/>
      <c r="D27" s="2558"/>
      <c r="E27" s="3451"/>
      <c r="F27" s="3451"/>
      <c r="G27" s="3451"/>
    </row>
    <row r="28" spans="1:9">
      <c r="A28" s="2559" t="s">
        <v>2523</v>
      </c>
      <c r="B28" s="2558" t="s">
        <v>2524</v>
      </c>
      <c r="C28" s="2558"/>
      <c r="D28" s="2558"/>
      <c r="E28" s="3451"/>
      <c r="F28" s="3451"/>
      <c r="G28" s="3451"/>
    </row>
    <row r="29" spans="1:9">
      <c r="A29" s="2559" t="s">
        <v>2525</v>
      </c>
      <c r="B29" s="2558" t="s">
        <v>2465</v>
      </c>
      <c r="C29" s="2558"/>
      <c r="D29" s="2558"/>
      <c r="E29" s="2558" t="s">
        <v>2526</v>
      </c>
      <c r="F29" s="2558"/>
      <c r="G29" s="2558"/>
    </row>
    <row r="30" spans="1:9">
      <c r="A30" s="2557">
        <v>2</v>
      </c>
      <c r="B30" s="2558" t="s">
        <v>2527</v>
      </c>
      <c r="C30" s="2558">
        <f>C27*D30</f>
        <v>0</v>
      </c>
      <c r="D30" s="2560">
        <v>0.2</v>
      </c>
      <c r="E30" s="2558" t="s">
        <v>2528</v>
      </c>
      <c r="F30" s="2558"/>
      <c r="G30" s="2558"/>
    </row>
    <row r="31" spans="1:9">
      <c r="A31" s="2557">
        <v>3</v>
      </c>
      <c r="B31" s="2558" t="s">
        <v>2529</v>
      </c>
      <c r="C31" s="2558">
        <f>C25*D31</f>
        <v>0</v>
      </c>
      <c r="D31" s="2560">
        <v>0.15</v>
      </c>
      <c r="E31" s="2558" t="s">
        <v>2530</v>
      </c>
      <c r="F31" s="2558"/>
      <c r="G31" s="2558"/>
    </row>
    <row r="32" spans="1:9">
      <c r="A32" s="2557">
        <v>4</v>
      </c>
      <c r="B32" s="2558" t="s">
        <v>2531</v>
      </c>
      <c r="C32" s="2558">
        <f>C27*D32</f>
        <v>0</v>
      </c>
      <c r="D32" s="2560">
        <v>0.05</v>
      </c>
      <c r="E32" s="3452"/>
      <c r="F32" s="3452"/>
      <c r="G32" s="3452"/>
    </row>
    <row r="33" spans="1:7" hidden="1">
      <c r="A33" s="3447" t="s">
        <v>2532</v>
      </c>
      <c r="B33" s="3448"/>
      <c r="C33" s="3448"/>
      <c r="D33" s="3449"/>
      <c r="E33" s="3450"/>
      <c r="F33" s="3450"/>
      <c r="G33" s="3450"/>
    </row>
    <row r="34" spans="1:7" hidden="1">
      <c r="A34" s="2561">
        <v>1</v>
      </c>
      <c r="B34" s="2558" t="s">
        <v>2533</v>
      </c>
      <c r="C34" s="2558"/>
      <c r="D34" s="2558"/>
      <c r="E34" s="3451"/>
      <c r="F34" s="3451"/>
      <c r="G34" s="3451"/>
    </row>
    <row r="35" spans="1:7" hidden="1">
      <c r="A35" s="2561">
        <v>2</v>
      </c>
      <c r="B35" s="2558" t="s">
        <v>2534</v>
      </c>
      <c r="C35" s="2558"/>
      <c r="D35" s="2558"/>
      <c r="E35" s="3451"/>
      <c r="F35" s="3451"/>
      <c r="G35" s="3451"/>
    </row>
    <row r="36" spans="1:7" hidden="1">
      <c r="A36" s="2561">
        <v>3</v>
      </c>
      <c r="B36" s="2558" t="s">
        <v>2535</v>
      </c>
      <c r="C36" s="2558"/>
      <c r="D36" s="2558"/>
      <c r="E36" s="3451"/>
      <c r="F36" s="3451"/>
      <c r="G36" s="3451"/>
    </row>
    <row r="37" spans="1:7" hidden="1">
      <c r="A37" s="2561">
        <v>4</v>
      </c>
      <c r="B37" s="2558" t="s">
        <v>2536</v>
      </c>
      <c r="C37" s="2558"/>
      <c r="D37" s="2558"/>
      <c r="E37" s="3451"/>
      <c r="F37" s="3451"/>
      <c r="G37" s="3451"/>
    </row>
    <row r="38" spans="1:7" hidden="1">
      <c r="A38" s="3447" t="s">
        <v>2537</v>
      </c>
      <c r="B38" s="3448"/>
      <c r="C38" s="3448"/>
      <c r="D38" s="3449"/>
      <c r="E38" s="3450"/>
      <c r="F38" s="3450"/>
      <c r="G38" s="34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2444</v>
      </c>
      <c r="B8" s="2498" t="s">
        <v>2446</v>
      </c>
      <c r="C8" s="2499"/>
      <c r="D8" s="749"/>
      <c r="E8" s="750"/>
      <c r="F8" s="750"/>
      <c r="G8" s="751"/>
    </row>
    <row r="9" spans="1:25" s="2185" customFormat="1" ht="13.5" customHeight="1">
      <c r="A9" s="2495" t="s">
        <v>2445</v>
      </c>
      <c r="B9" s="2498" t="s">
        <v>2447</v>
      </c>
      <c r="C9" s="2499"/>
      <c r="D9" s="749"/>
      <c r="E9" s="750"/>
      <c r="F9" s="750"/>
      <c r="G9" s="751"/>
    </row>
    <row r="10" spans="1:25" s="2185" customFormat="1" ht="36">
      <c r="A10" s="2495">
        <v>2</v>
      </c>
      <c r="B10" s="748" t="s">
        <v>613</v>
      </c>
      <c r="C10" s="749">
        <f>C11+C14+C15</f>
        <v>0</v>
      </c>
      <c r="D10" s="760">
        <f>'数据-汇总表'!E3</f>
        <v>1845613.3399999999</v>
      </c>
      <c r="E10" s="749">
        <f>'数据-取费表'!B31</f>
        <v>200</v>
      </c>
      <c r="F10" s="761"/>
      <c r="G10" s="759" t="s">
        <v>614</v>
      </c>
    </row>
    <row r="11" spans="1:25" s="2185" customFormat="1" ht="13.5" customHeight="1">
      <c r="A11" s="2495" t="s">
        <v>2444</v>
      </c>
      <c r="B11" s="752" t="s">
        <v>610</v>
      </c>
      <c r="C11" s="753">
        <f>'数据-取费表'!B29</f>
        <v>0</v>
      </c>
      <c r="D11" s="754"/>
      <c r="E11" s="753"/>
      <c r="F11" s="755"/>
      <c r="G11" s="2504" t="s">
        <v>2455</v>
      </c>
    </row>
    <row r="12" spans="1:25" s="2185" customFormat="1" ht="13.5" customHeight="1">
      <c r="A12" s="2502" t="s">
        <v>2452</v>
      </c>
      <c r="B12" s="756" t="s">
        <v>611</v>
      </c>
      <c r="C12" s="757">
        <f>ROUND(D12*E12/10000,0)</f>
        <v>22094</v>
      </c>
      <c r="D12" s="758">
        <f>'数据-汇总表'!E5</f>
        <v>1299666.67</v>
      </c>
      <c r="E12" s="757">
        <f>'数据-取费表'!B27</f>
        <v>170</v>
      </c>
      <c r="F12" s="755"/>
      <c r="G12" s="759"/>
    </row>
    <row r="13" spans="1:25" s="2185" customFormat="1" ht="13.5" customHeight="1">
      <c r="A13" s="2502" t="s">
        <v>2451</v>
      </c>
      <c r="B13" s="756" t="s">
        <v>612</v>
      </c>
      <c r="C13" s="757">
        <f>ROUND(D13*E13/10000,0)</f>
        <v>9281</v>
      </c>
      <c r="D13" s="758">
        <f>'数据-汇总表'!E6</f>
        <v>545946.66999999993</v>
      </c>
      <c r="E13" s="757">
        <f>'数据-取费表'!B28</f>
        <v>170</v>
      </c>
      <c r="F13" s="755"/>
      <c r="G13" s="759"/>
    </row>
    <row r="14" spans="1:25" s="2185" customFormat="1" ht="13.5" customHeight="1">
      <c r="A14" s="2495" t="s">
        <v>2445</v>
      </c>
      <c r="B14" s="2501" t="s">
        <v>2448</v>
      </c>
      <c r="C14" s="2499"/>
      <c r="D14" s="758"/>
      <c r="E14" s="757"/>
      <c r="F14" s="2500"/>
      <c r="G14" s="2503" t="s">
        <v>2453</v>
      </c>
    </row>
    <row r="15" spans="1:25" s="2185" customFormat="1" ht="13.5" customHeight="1">
      <c r="A15" s="2495" t="s">
        <v>2450</v>
      </c>
      <c r="B15" s="2501" t="s">
        <v>2449</v>
      </c>
      <c r="C15" s="2499"/>
      <c r="D15" s="758"/>
      <c r="E15" s="757"/>
      <c r="F15" s="2500"/>
      <c r="G15" s="2503" t="s">
        <v>2454</v>
      </c>
    </row>
    <row r="16" spans="1:25" s="2186" customFormat="1" ht="48">
      <c r="A16" s="2495">
        <v>3</v>
      </c>
      <c r="B16" s="748" t="s">
        <v>615</v>
      </c>
      <c r="C16" s="2499"/>
      <c r="D16" s="760"/>
      <c r="E16" s="749"/>
      <c r="F16" s="761"/>
      <c r="G16" s="759" t="s">
        <v>2456</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0.2</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0.94899999999999995</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c r="E1" s="2652"/>
      <c r="F1" s="283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73" t="s">
        <v>522</v>
      </c>
      <c r="D4" s="3374"/>
      <c r="E4" s="3398" t="s">
        <v>523</v>
      </c>
      <c r="F4" s="3399"/>
      <c r="G4" s="3373" t="s">
        <v>524</v>
      </c>
      <c r="H4" s="3374"/>
      <c r="I4" s="3373" t="s">
        <v>525</v>
      </c>
      <c r="J4" s="3374"/>
      <c r="K4" s="853" t="s">
        <v>526</v>
      </c>
      <c r="L4" s="2135"/>
      <c r="M4" s="2136"/>
      <c r="N4" s="2136"/>
      <c r="O4" s="2136"/>
      <c r="P4" s="3375" t="s">
        <v>527</v>
      </c>
      <c r="Q4" s="3376"/>
      <c r="R4" s="3361" t="s">
        <v>523</v>
      </c>
      <c r="S4" s="3362"/>
      <c r="T4" s="3361" t="s">
        <v>524</v>
      </c>
      <c r="U4" s="3362"/>
      <c r="V4" s="3381" t="s">
        <v>525</v>
      </c>
      <c r="W4" s="3381"/>
      <c r="X4" s="1568"/>
      <c r="Y4" s="3361" t="s">
        <v>527</v>
      </c>
      <c r="Z4" s="3362"/>
      <c r="AA4" s="3356" t="s">
        <v>523</v>
      </c>
      <c r="AB4" s="3356" t="s">
        <v>524</v>
      </c>
      <c r="AC4" s="3356" t="s">
        <v>525</v>
      </c>
    </row>
    <row r="5" spans="1:29" ht="15">
      <c r="A5" s="515"/>
      <c r="B5" s="516"/>
      <c r="C5" s="3384" t="s">
        <v>2939</v>
      </c>
      <c r="D5" s="3385"/>
      <c r="E5" s="3400" t="s">
        <v>2940</v>
      </c>
      <c r="F5" s="3401"/>
      <c r="G5" s="3384" t="s">
        <v>2941</v>
      </c>
      <c r="H5" s="3385"/>
      <c r="I5" s="3384" t="s">
        <v>2942</v>
      </c>
      <c r="J5" s="3385"/>
      <c r="K5" s="854"/>
      <c r="L5" s="2135"/>
      <c r="M5" s="2136"/>
      <c r="N5" s="2136"/>
      <c r="O5" s="2136"/>
      <c r="P5" s="3377"/>
      <c r="Q5" s="3378"/>
      <c r="R5" s="3363"/>
      <c r="S5" s="3364"/>
      <c r="T5" s="3363"/>
      <c r="U5" s="3364"/>
      <c r="V5" s="3381"/>
      <c r="W5" s="3381"/>
      <c r="X5" s="1568"/>
      <c r="Y5" s="3363"/>
      <c r="Z5" s="3364"/>
      <c r="AA5" s="3357"/>
      <c r="AB5" s="3357"/>
      <c r="AC5" s="3357"/>
    </row>
    <row r="6" spans="1:29" ht="15.75" thickBot="1">
      <c r="A6" s="517"/>
      <c r="B6" s="518"/>
      <c r="C6" s="3402" t="s">
        <v>2943</v>
      </c>
      <c r="D6" s="3383"/>
      <c r="E6" s="3403" t="s">
        <v>2943</v>
      </c>
      <c r="F6" s="3404"/>
      <c r="G6" s="3402" t="s">
        <v>2943</v>
      </c>
      <c r="H6" s="3383"/>
      <c r="I6" s="3402" t="s">
        <v>2943</v>
      </c>
      <c r="J6" s="3383"/>
      <c r="K6" s="854" t="s">
        <v>528</v>
      </c>
      <c r="L6" s="2135"/>
      <c r="M6" s="2136"/>
      <c r="N6" s="2136"/>
      <c r="O6" s="2136"/>
      <c r="P6" s="3379"/>
      <c r="Q6" s="3380"/>
      <c r="R6" s="3363"/>
      <c r="S6" s="3364"/>
      <c r="T6" s="3365"/>
      <c r="U6" s="3366"/>
      <c r="V6" s="3381"/>
      <c r="W6" s="3381"/>
      <c r="X6" s="1568"/>
      <c r="Y6" s="3365"/>
      <c r="Z6" s="3366"/>
      <c r="AA6" s="3358"/>
      <c r="AB6" s="3358"/>
      <c r="AC6" s="3358"/>
    </row>
    <row r="7" spans="1:29" s="1220" customFormat="1" ht="15.75" thickBot="1">
      <c r="A7" s="2940"/>
      <c r="B7" s="2947" t="s">
        <v>529</v>
      </c>
      <c r="C7" s="519">
        <f>'数据-取费表'!B2</f>
        <v>43077</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59" t="s">
        <v>530</v>
      </c>
      <c r="Q7" s="3368"/>
      <c r="R7" s="1569" t="s">
        <v>13</v>
      </c>
      <c r="S7" s="1570">
        <f t="shared" ref="S7:S15" si="0">F7</f>
        <v>0</v>
      </c>
      <c r="T7" s="1569" t="s">
        <v>13</v>
      </c>
      <c r="U7" s="1570">
        <f t="shared" ref="U7:U15" si="1">H7</f>
        <v>0</v>
      </c>
      <c r="V7" s="1569" t="s">
        <v>13</v>
      </c>
      <c r="W7" s="1570">
        <f t="shared" ref="W7:W15" si="2">J7</f>
        <v>0</v>
      </c>
      <c r="X7" s="1571"/>
      <c r="Y7" s="3359" t="s">
        <v>530</v>
      </c>
      <c r="Z7" s="3360"/>
      <c r="AA7" s="1572" t="e">
        <f>D7/F7</f>
        <v>#DIV/0!</v>
      </c>
      <c r="AB7" s="1572" t="e">
        <f>D7/H7</f>
        <v>#DIV/0!</v>
      </c>
      <c r="AC7" s="1572" t="e">
        <f>D7/J7</f>
        <v>#DIV/0!</v>
      </c>
    </row>
    <row r="8" spans="1:29" s="1220" customFormat="1" ht="15.75" thickBot="1">
      <c r="A8" s="2941"/>
      <c r="B8" s="2948"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59" t="s">
        <v>533</v>
      </c>
      <c r="Q8" s="3360"/>
      <c r="R8" s="1569" t="s">
        <v>13</v>
      </c>
      <c r="S8" s="1570">
        <f t="shared" si="0"/>
        <v>0</v>
      </c>
      <c r="T8" s="1569" t="s">
        <v>13</v>
      </c>
      <c r="U8" s="1570">
        <f t="shared" si="1"/>
        <v>0</v>
      </c>
      <c r="V8" s="1569" t="s">
        <v>13</v>
      </c>
      <c r="W8" s="1570">
        <f t="shared" si="2"/>
        <v>0</v>
      </c>
      <c r="X8" s="1571"/>
      <c r="Y8" s="3359" t="s">
        <v>533</v>
      </c>
      <c r="Z8" s="3360"/>
      <c r="AA8" s="1572" t="e">
        <f t="shared" ref="AA8:AA46" si="3">D8/F8</f>
        <v>#DIV/0!</v>
      </c>
      <c r="AB8" s="1572" t="e">
        <f t="shared" ref="AB8:AB46" si="4">D8/H8</f>
        <v>#DIV/0!</v>
      </c>
      <c r="AC8" s="1572" t="e">
        <f t="shared" ref="AC8:AC46" si="5">D8/J8</f>
        <v>#DIV/0!</v>
      </c>
    </row>
    <row r="9" spans="1:29" s="1220" customFormat="1" ht="15">
      <c r="A9" s="2942"/>
      <c r="B9" s="2949" t="s">
        <v>2764</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67"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943"/>
      <c r="B10" s="2948" t="s">
        <v>2765</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44"/>
      <c r="B11" s="2948" t="s">
        <v>2766</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67"/>
      <c r="Q11" s="1151" t="str">
        <f t="shared" si="6"/>
        <v>容积率</v>
      </c>
      <c r="R11" s="1569" t="s">
        <v>11</v>
      </c>
      <c r="S11" s="1570" t="e">
        <f t="shared" si="0"/>
        <v>#N/A</v>
      </c>
      <c r="T11" s="1569" t="s">
        <v>11</v>
      </c>
      <c r="U11" s="1570" t="e">
        <f t="shared" si="1"/>
        <v>#N/A</v>
      </c>
      <c r="V11" s="1569" t="s">
        <v>11</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67"/>
      <c r="Q12" s="1151">
        <f t="shared" si="6"/>
        <v>111</v>
      </c>
      <c r="R12" s="1569" t="s">
        <v>11</v>
      </c>
      <c r="S12" s="1570">
        <f t="shared" si="0"/>
        <v>100</v>
      </c>
      <c r="T12" s="1569" t="s">
        <v>11</v>
      </c>
      <c r="U12" s="1570">
        <f t="shared" si="1"/>
        <v>100</v>
      </c>
      <c r="V12" s="1569" t="s">
        <v>11</v>
      </c>
      <c r="W12" s="1570">
        <f t="shared" si="2"/>
        <v>100</v>
      </c>
      <c r="X12" s="1571"/>
      <c r="Y12" s="3324"/>
      <c r="Z12" s="1150">
        <f t="shared" si="7"/>
        <v>111</v>
      </c>
      <c r="AA12" s="1572">
        <f>D12/F12</f>
        <v>1</v>
      </c>
      <c r="AB12" s="1572">
        <f>D12/H12</f>
        <v>1</v>
      </c>
      <c r="AC12" s="1572">
        <f>D12/J12</f>
        <v>1</v>
      </c>
    </row>
    <row r="13" spans="1:29" ht="15">
      <c r="A13" s="2945"/>
      <c r="B13" s="2951">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67"/>
      <c r="Q13" s="1151">
        <f t="shared" si="6"/>
        <v>111</v>
      </c>
      <c r="R13" s="1569" t="s">
        <v>11</v>
      </c>
      <c r="S13" s="1570">
        <f t="shared" si="0"/>
        <v>100</v>
      </c>
      <c r="T13" s="1569" t="s">
        <v>11</v>
      </c>
      <c r="U13" s="1570">
        <f t="shared" si="1"/>
        <v>100</v>
      </c>
      <c r="V13" s="1569" t="s">
        <v>11</v>
      </c>
      <c r="W13" s="1570">
        <f t="shared" si="2"/>
        <v>100</v>
      </c>
      <c r="X13" s="1571"/>
      <c r="Y13" s="3324"/>
      <c r="Z13" s="1150">
        <f t="shared" si="7"/>
        <v>111</v>
      </c>
      <c r="AA13" s="1572">
        <f t="shared" si="3"/>
        <v>1</v>
      </c>
      <c r="AB13" s="1572">
        <f t="shared" si="4"/>
        <v>1</v>
      </c>
      <c r="AC13" s="1572">
        <f t="shared" si="5"/>
        <v>1</v>
      </c>
    </row>
    <row r="14" spans="1:29" ht="15.75" thickBot="1">
      <c r="A14" s="2946"/>
      <c r="B14" s="2952">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67"/>
      <c r="Q14" s="1151">
        <f t="shared" si="6"/>
        <v>111</v>
      </c>
      <c r="R14" s="1569" t="s">
        <v>11</v>
      </c>
      <c r="S14" s="1570">
        <f t="shared" si="0"/>
        <v>100</v>
      </c>
      <c r="T14" s="1569" t="s">
        <v>11</v>
      </c>
      <c r="U14" s="1570">
        <f t="shared" si="1"/>
        <v>100</v>
      </c>
      <c r="V14" s="1569" t="s">
        <v>11</v>
      </c>
      <c r="W14" s="1570">
        <f t="shared" si="2"/>
        <v>100</v>
      </c>
      <c r="X14" s="1571"/>
      <c r="Y14" s="3324"/>
      <c r="Z14" s="1150">
        <f t="shared" si="7"/>
        <v>111</v>
      </c>
      <c r="AA14" s="1572">
        <f t="shared" si="3"/>
        <v>1</v>
      </c>
      <c r="AB14" s="1572">
        <f t="shared" si="4"/>
        <v>1</v>
      </c>
      <c r="AC14" s="1572">
        <f t="shared" si="5"/>
        <v>1</v>
      </c>
    </row>
    <row r="15" spans="1:29" ht="99.75">
      <c r="A15" s="2938" t="s">
        <v>2762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369" t="s">
        <v>540</v>
      </c>
      <c r="Q15" s="1573" t="str">
        <f t="shared" si="6"/>
        <v>居住社区成熟度</v>
      </c>
      <c r="R15" s="1574" t="s">
        <v>11</v>
      </c>
      <c r="S15" s="1575">
        <f t="shared" si="0"/>
        <v>100</v>
      </c>
      <c r="T15" s="1574" t="s">
        <v>11</v>
      </c>
      <c r="U15" s="1575">
        <f t="shared" si="1"/>
        <v>100</v>
      </c>
      <c r="V15" s="1574" t="s">
        <v>11</v>
      </c>
      <c r="W15" s="1575">
        <f t="shared" si="2"/>
        <v>100</v>
      </c>
      <c r="X15" s="1568"/>
      <c r="Y15" s="3369"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370"/>
      <c r="Q16" s="1573"/>
      <c r="R16" s="1574"/>
      <c r="S16" s="1575"/>
      <c r="T16" s="1574"/>
      <c r="U16" s="1575"/>
      <c r="V16" s="1574"/>
      <c r="W16" s="1575"/>
      <c r="X16" s="1568"/>
      <c r="Y16" s="337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370"/>
      <c r="Q17" s="1573" t="str">
        <f>B17</f>
        <v>交通便捷度</v>
      </c>
      <c r="R17" s="1574" t="s">
        <v>11</v>
      </c>
      <c r="S17" s="1575">
        <f>F17</f>
        <v>100</v>
      </c>
      <c r="T17" s="1574" t="s">
        <v>11</v>
      </c>
      <c r="U17" s="1575">
        <f>H17</f>
        <v>100</v>
      </c>
      <c r="V17" s="1574" t="s">
        <v>11</v>
      </c>
      <c r="W17" s="1575">
        <f>J17</f>
        <v>100</v>
      </c>
      <c r="X17" s="1568"/>
      <c r="Y17" s="337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370"/>
      <c r="Q18" s="1573"/>
      <c r="R18" s="1574"/>
      <c r="S18" s="1575"/>
      <c r="T18" s="1574"/>
      <c r="U18" s="1575"/>
      <c r="V18" s="1574"/>
      <c r="W18" s="1575"/>
      <c r="X18" s="1568"/>
      <c r="Y18" s="3370"/>
      <c r="Z18" s="1576"/>
      <c r="AA18" s="1577">
        <v>1</v>
      </c>
      <c r="AB18" s="1577">
        <v>1</v>
      </c>
      <c r="AC18" s="1577">
        <v>1</v>
      </c>
    </row>
    <row r="19" spans="1:29" ht="42.75">
      <c r="A19" s="532"/>
      <c r="B19" s="2626"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370"/>
      <c r="Q19" s="1573" t="str">
        <f>B19</f>
        <v>公共配套设施</v>
      </c>
      <c r="R19" s="1574" t="s">
        <v>11</v>
      </c>
      <c r="S19" s="1575">
        <f>F19</f>
        <v>100</v>
      </c>
      <c r="T19" s="1574" t="s">
        <v>11</v>
      </c>
      <c r="U19" s="1575">
        <f>H19</f>
        <v>100</v>
      </c>
      <c r="V19" s="1574" t="s">
        <v>11</v>
      </c>
      <c r="W19" s="1575">
        <f>J19</f>
        <v>100</v>
      </c>
      <c r="X19" s="1568"/>
      <c r="Y19" s="337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370"/>
      <c r="Q20" s="1573"/>
      <c r="R20" s="1574"/>
      <c r="S20" s="1575"/>
      <c r="T20" s="1574"/>
      <c r="U20" s="1575"/>
      <c r="V20" s="1574"/>
      <c r="W20" s="1575"/>
      <c r="X20" s="1568"/>
      <c r="Y20" s="3370"/>
      <c r="Z20" s="1576"/>
      <c r="AA20" s="1577">
        <v>1</v>
      </c>
      <c r="AB20" s="1577">
        <v>1</v>
      </c>
      <c r="AC20" s="1577">
        <v>1</v>
      </c>
    </row>
    <row r="21" spans="1:29" ht="28.5">
      <c r="A21" s="532"/>
      <c r="B21" s="2619"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370"/>
      <c r="Q21" s="2605" t="str">
        <f>B21</f>
        <v>基础设施水平</v>
      </c>
      <c r="R21" s="1574" t="s">
        <v>11</v>
      </c>
      <c r="S21" s="1575">
        <f>F21</f>
        <v>100</v>
      </c>
      <c r="T21" s="1574" t="s">
        <v>11</v>
      </c>
      <c r="U21" s="1575">
        <f>H21</f>
        <v>100</v>
      </c>
      <c r="V21" s="1574" t="s">
        <v>11</v>
      </c>
      <c r="W21" s="1575">
        <f>J21</f>
        <v>100</v>
      </c>
      <c r="X21" s="2607"/>
      <c r="Y21" s="3370"/>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370"/>
      <c r="Q22" s="2605"/>
      <c r="R22" s="1574"/>
      <c r="S22" s="1575"/>
      <c r="T22" s="1574"/>
      <c r="U22" s="1575"/>
      <c r="V22" s="1574"/>
      <c r="W22" s="1575"/>
      <c r="X22" s="2607"/>
      <c r="Y22" s="3370"/>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370"/>
      <c r="Q23" s="1573" t="str">
        <f>B23</f>
        <v>自然及人文环境</v>
      </c>
      <c r="R23" s="1574" t="s">
        <v>11</v>
      </c>
      <c r="S23" s="1575">
        <f>F23</f>
        <v>100</v>
      </c>
      <c r="T23" s="1574" t="s">
        <v>11</v>
      </c>
      <c r="U23" s="1575">
        <f>H23</f>
        <v>100</v>
      </c>
      <c r="V23" s="1574" t="s">
        <v>11</v>
      </c>
      <c r="W23" s="1575">
        <f>J23</f>
        <v>100</v>
      </c>
      <c r="X23" s="1568"/>
      <c r="Y23" s="337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370"/>
      <c r="Q24" s="1573"/>
      <c r="R24" s="1574"/>
      <c r="S24" s="1575"/>
      <c r="T24" s="1574"/>
      <c r="U24" s="1575"/>
      <c r="V24" s="1574"/>
      <c r="W24" s="1575"/>
      <c r="X24" s="1568"/>
      <c r="Y24" s="3370"/>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70"/>
      <c r="Q25" s="1573" t="str">
        <f t="shared" ref="Q25:Q46" si="11">B25</f>
        <v>楼层-1</v>
      </c>
      <c r="R25" s="1574" t="s">
        <v>11</v>
      </c>
      <c r="S25" s="1575">
        <f>F25</f>
        <v>100</v>
      </c>
      <c r="T25" s="1574" t="s">
        <v>11</v>
      </c>
      <c r="U25" s="1575">
        <f>H25</f>
        <v>100</v>
      </c>
      <c r="V25" s="1574" t="s">
        <v>11</v>
      </c>
      <c r="W25" s="1575">
        <f>J25</f>
        <v>100</v>
      </c>
      <c r="X25" s="1568"/>
      <c r="Y25" s="337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70"/>
      <c r="Q26" s="1573" t="str">
        <f t="shared" si="11"/>
        <v>朝向</v>
      </c>
      <c r="R26" s="1574" t="s">
        <v>11</v>
      </c>
      <c r="S26" s="1575">
        <f>F26</f>
        <v>100</v>
      </c>
      <c r="T26" s="1574" t="s">
        <v>11</v>
      </c>
      <c r="U26" s="1575">
        <f>H26</f>
        <v>100</v>
      </c>
      <c r="V26" s="1574" t="s">
        <v>11</v>
      </c>
      <c r="W26" s="1575">
        <f>J26</f>
        <v>100</v>
      </c>
      <c r="X26" s="1568"/>
      <c r="Y26" s="337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70"/>
      <c r="Q27" s="1151" t="str">
        <f t="shared" si="11"/>
        <v>道路级别</v>
      </c>
      <c r="R27" s="1569" t="s">
        <v>11</v>
      </c>
      <c r="S27" s="1570">
        <f>F27</f>
        <v>100</v>
      </c>
      <c r="T27" s="1569" t="s">
        <v>11</v>
      </c>
      <c r="U27" s="1570">
        <f>H27</f>
        <v>100</v>
      </c>
      <c r="V27" s="1569" t="s">
        <v>11</v>
      </c>
      <c r="W27" s="1570">
        <f>J27</f>
        <v>100</v>
      </c>
      <c r="X27" s="1571"/>
      <c r="Y27" s="337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70"/>
      <c r="Q28" s="1573">
        <f t="shared" si="11"/>
        <v>111</v>
      </c>
      <c r="R28" s="1574" t="s">
        <v>11</v>
      </c>
      <c r="S28" s="1575">
        <f t="shared" ref="S28:S46" si="12">F28</f>
        <v>100</v>
      </c>
      <c r="T28" s="1574" t="s">
        <v>11</v>
      </c>
      <c r="U28" s="1575">
        <f t="shared" ref="U28:U46" si="13">H28</f>
        <v>100</v>
      </c>
      <c r="V28" s="1574" t="s">
        <v>11</v>
      </c>
      <c r="W28" s="1575">
        <f t="shared" ref="W28:W46" si="14">J28</f>
        <v>100</v>
      </c>
      <c r="X28" s="1568"/>
      <c r="Y28" s="337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70"/>
      <c r="Q29" s="1573">
        <f t="shared" si="11"/>
        <v>111</v>
      </c>
      <c r="R29" s="1574" t="s">
        <v>11</v>
      </c>
      <c r="S29" s="1575">
        <f t="shared" si="12"/>
        <v>100</v>
      </c>
      <c r="T29" s="1574" t="s">
        <v>11</v>
      </c>
      <c r="U29" s="1575">
        <f t="shared" si="13"/>
        <v>100</v>
      </c>
      <c r="V29" s="1574" t="s">
        <v>11</v>
      </c>
      <c r="W29" s="1575">
        <f t="shared" si="14"/>
        <v>100</v>
      </c>
      <c r="X29" s="1568"/>
      <c r="Y29" s="337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70"/>
      <c r="Q30" s="1573">
        <f t="shared" si="11"/>
        <v>111</v>
      </c>
      <c r="R30" s="1574" t="s">
        <v>11</v>
      </c>
      <c r="S30" s="1575">
        <f t="shared" si="12"/>
        <v>100</v>
      </c>
      <c r="T30" s="1574" t="s">
        <v>11</v>
      </c>
      <c r="U30" s="1575">
        <f t="shared" si="13"/>
        <v>100</v>
      </c>
      <c r="V30" s="1574" t="s">
        <v>11</v>
      </c>
      <c r="W30" s="1575">
        <f t="shared" si="14"/>
        <v>100</v>
      </c>
      <c r="X30" s="1568"/>
      <c r="Y30" s="337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70"/>
      <c r="Q31" s="1573">
        <f t="shared" si="11"/>
        <v>111</v>
      </c>
      <c r="R31" s="1574" t="s">
        <v>11</v>
      </c>
      <c r="S31" s="1575">
        <f t="shared" si="12"/>
        <v>100</v>
      </c>
      <c r="T31" s="1574" t="s">
        <v>11</v>
      </c>
      <c r="U31" s="1575">
        <f t="shared" si="13"/>
        <v>100</v>
      </c>
      <c r="V31" s="1574" t="s">
        <v>11</v>
      </c>
      <c r="W31" s="1575">
        <f t="shared" si="14"/>
        <v>100</v>
      </c>
      <c r="X31" s="1568"/>
      <c r="Y31" s="3370"/>
      <c r="Z31" s="1576">
        <f t="shared" si="15"/>
        <v>111</v>
      </c>
      <c r="AA31" s="1577">
        <f t="shared" si="3"/>
        <v>1</v>
      </c>
      <c r="AB31" s="1577">
        <f t="shared" si="4"/>
        <v>1</v>
      </c>
      <c r="AC31" s="1577">
        <f t="shared" si="5"/>
        <v>1</v>
      </c>
    </row>
    <row r="32" spans="1:29" ht="15">
      <c r="A32" s="2935" t="s">
        <v>2763</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371" t="s">
        <v>550</v>
      </c>
      <c r="Q32" s="1573" t="str">
        <f t="shared" si="11"/>
        <v>建筑类型</v>
      </c>
      <c r="R32" s="1574" t="s">
        <v>11</v>
      </c>
      <c r="S32" s="1575">
        <f t="shared" si="12"/>
        <v>100</v>
      </c>
      <c r="T32" s="1574" t="s">
        <v>11</v>
      </c>
      <c r="U32" s="1575">
        <f t="shared" si="13"/>
        <v>100</v>
      </c>
      <c r="V32" s="1574" t="s">
        <v>11</v>
      </c>
      <c r="W32" s="1575">
        <f t="shared" si="14"/>
        <v>100</v>
      </c>
      <c r="X32" s="1568"/>
      <c r="Y32" s="3372"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372"/>
      <c r="Q33" s="1606" t="str">
        <f t="shared" si="11"/>
        <v>项目建筑规模</v>
      </c>
      <c r="R33" s="1578" t="s">
        <v>11</v>
      </c>
      <c r="S33" s="1579" t="e">
        <f t="shared" si="12"/>
        <v>#N/A</v>
      </c>
      <c r="T33" s="1578" t="s">
        <v>11</v>
      </c>
      <c r="U33" s="1579" t="e">
        <f t="shared" si="13"/>
        <v>#N/A</v>
      </c>
      <c r="V33" s="1578" t="s">
        <v>11</v>
      </c>
      <c r="W33" s="1579" t="e">
        <f t="shared" si="14"/>
        <v>#N/A</v>
      </c>
      <c r="X33" s="1580"/>
      <c r="Y33" s="337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372"/>
      <c r="Q34" s="1573" t="str">
        <f t="shared" si="11"/>
        <v>建筑结构</v>
      </c>
      <c r="R34" s="1574" t="s">
        <v>11</v>
      </c>
      <c r="S34" s="1575">
        <f t="shared" si="12"/>
        <v>100</v>
      </c>
      <c r="T34" s="1574" t="s">
        <v>11</v>
      </c>
      <c r="U34" s="1575">
        <f t="shared" si="13"/>
        <v>100</v>
      </c>
      <c r="V34" s="1574" t="s">
        <v>11</v>
      </c>
      <c r="W34" s="1575">
        <f t="shared" si="14"/>
        <v>100</v>
      </c>
      <c r="X34" s="1568"/>
      <c r="Y34" s="3372"/>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372"/>
      <c r="Q35" s="1573" t="str">
        <f t="shared" si="11"/>
        <v>建筑品质</v>
      </c>
      <c r="R35" s="1574" t="s">
        <v>11</v>
      </c>
      <c r="S35" s="1575">
        <f t="shared" si="12"/>
        <v>100</v>
      </c>
      <c r="T35" s="1574" t="s">
        <v>11</v>
      </c>
      <c r="U35" s="1575">
        <f t="shared" si="13"/>
        <v>100</v>
      </c>
      <c r="V35" s="1574" t="s">
        <v>11</v>
      </c>
      <c r="W35" s="1575">
        <f t="shared" si="14"/>
        <v>100</v>
      </c>
      <c r="X35" s="1568"/>
      <c r="Y35" s="3372"/>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372"/>
      <c r="Q36" s="1573" t="str">
        <f t="shared" si="11"/>
        <v>公共部分装修</v>
      </c>
      <c r="R36" s="1574" t="s">
        <v>11</v>
      </c>
      <c r="S36" s="1575">
        <f t="shared" si="12"/>
        <v>100</v>
      </c>
      <c r="T36" s="1574" t="s">
        <v>11</v>
      </c>
      <c r="U36" s="1575">
        <f t="shared" si="13"/>
        <v>100</v>
      </c>
      <c r="V36" s="1574" t="s">
        <v>11</v>
      </c>
      <c r="W36" s="1575">
        <f t="shared" si="14"/>
        <v>100</v>
      </c>
      <c r="X36" s="1568"/>
      <c r="Y36" s="3372"/>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372"/>
      <c r="Q37" s="1151" t="str">
        <f t="shared" si="11"/>
        <v>成新度</v>
      </c>
      <c r="R37" s="1569" t="s">
        <v>11</v>
      </c>
      <c r="S37" s="1570" t="e">
        <f t="shared" si="12"/>
        <v>#N/A</v>
      </c>
      <c r="T37" s="1569" t="s">
        <v>11</v>
      </c>
      <c r="U37" s="1570" t="e">
        <f t="shared" si="13"/>
        <v>#N/A</v>
      </c>
      <c r="V37" s="1569" t="s">
        <v>11</v>
      </c>
      <c r="W37" s="1570" t="e">
        <f t="shared" si="14"/>
        <v>#N/A</v>
      </c>
      <c r="X37" s="1571"/>
      <c r="Y37" s="3372"/>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372" t="s">
        <v>550</v>
      </c>
      <c r="Q38" s="1573" t="str">
        <f t="shared" si="11"/>
        <v>物业管理</v>
      </c>
      <c r="R38" s="1574" t="s">
        <v>11</v>
      </c>
      <c r="S38" s="1575">
        <f t="shared" si="12"/>
        <v>100</v>
      </c>
      <c r="T38" s="1574" t="s">
        <v>11</v>
      </c>
      <c r="U38" s="1575">
        <f t="shared" si="13"/>
        <v>100</v>
      </c>
      <c r="V38" s="1574" t="s">
        <v>11</v>
      </c>
      <c r="W38" s="1575">
        <f t="shared" si="14"/>
        <v>100</v>
      </c>
      <c r="X38" s="1568"/>
      <c r="Y38" s="3372" t="s">
        <v>550</v>
      </c>
      <c r="Z38" s="1576" t="str">
        <f t="shared" si="15"/>
        <v>物业管理</v>
      </c>
      <c r="AA38" s="1577">
        <f t="shared" si="3"/>
        <v>1</v>
      </c>
      <c r="AB38" s="1577">
        <f t="shared" si="4"/>
        <v>1</v>
      </c>
      <c r="AC38" s="1577">
        <f t="shared" si="5"/>
        <v>1</v>
      </c>
    </row>
    <row r="39" spans="1:29" ht="15">
      <c r="A39" s="594"/>
      <c r="B39" s="1897" t="s">
        <v>2570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372"/>
      <c r="Q39" s="1573" t="str">
        <f t="shared" si="11"/>
        <v>市政基础设施</v>
      </c>
      <c r="R39" s="1574" t="s">
        <v>11</v>
      </c>
      <c r="S39" s="1575">
        <f t="shared" si="12"/>
        <v>100</v>
      </c>
      <c r="T39" s="1574" t="s">
        <v>11</v>
      </c>
      <c r="U39" s="1575">
        <f t="shared" si="13"/>
        <v>100</v>
      </c>
      <c r="V39" s="1574" t="s">
        <v>11</v>
      </c>
      <c r="W39" s="1575">
        <f t="shared" si="14"/>
        <v>100</v>
      </c>
      <c r="X39" s="1568"/>
      <c r="Y39" s="337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372"/>
      <c r="Q40" s="1573" t="str">
        <f t="shared" si="11"/>
        <v>房型</v>
      </c>
      <c r="R40" s="1574" t="s">
        <v>11</v>
      </c>
      <c r="S40" s="1575">
        <f t="shared" si="12"/>
        <v>100</v>
      </c>
      <c r="T40" s="1574" t="s">
        <v>11</v>
      </c>
      <c r="U40" s="1575">
        <f t="shared" si="13"/>
        <v>100</v>
      </c>
      <c r="V40" s="1574" t="s">
        <v>11</v>
      </c>
      <c r="W40" s="1575">
        <f t="shared" si="14"/>
        <v>100</v>
      </c>
      <c r="X40" s="1568"/>
      <c r="Y40" s="337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372"/>
      <c r="Q41" s="1606" t="str">
        <f t="shared" si="11"/>
        <v>单套/主力户型建筑面积</v>
      </c>
      <c r="R41" s="1578" t="s">
        <v>11</v>
      </c>
      <c r="S41" s="1579">
        <f t="shared" si="12"/>
        <v>100</v>
      </c>
      <c r="T41" s="1578" t="s">
        <v>11</v>
      </c>
      <c r="U41" s="1579">
        <f t="shared" si="13"/>
        <v>100</v>
      </c>
      <c r="V41" s="1578" t="s">
        <v>11</v>
      </c>
      <c r="W41" s="1579">
        <f t="shared" si="14"/>
        <v>100</v>
      </c>
      <c r="X41" s="1580"/>
      <c r="Y41" s="3372"/>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372"/>
      <c r="Q42" s="1573" t="str">
        <f t="shared" si="11"/>
        <v>内部装修</v>
      </c>
      <c r="R42" s="1574" t="s">
        <v>11</v>
      </c>
      <c r="S42" s="1575">
        <f t="shared" si="12"/>
        <v>100</v>
      </c>
      <c r="T42" s="1574" t="s">
        <v>11</v>
      </c>
      <c r="U42" s="1575">
        <f t="shared" si="13"/>
        <v>100</v>
      </c>
      <c r="V42" s="1574" t="s">
        <v>11</v>
      </c>
      <c r="W42" s="1575">
        <f t="shared" si="14"/>
        <v>100</v>
      </c>
      <c r="X42" s="1568"/>
      <c r="Y42" s="3372"/>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372"/>
      <c r="Q43" s="1573" t="str">
        <f t="shared" si="11"/>
        <v>内部装修维护情况</v>
      </c>
      <c r="R43" s="1574" t="s">
        <v>11</v>
      </c>
      <c r="S43" s="1575">
        <f t="shared" si="12"/>
        <v>100</v>
      </c>
      <c r="T43" s="1574" t="s">
        <v>11</v>
      </c>
      <c r="U43" s="1575">
        <f t="shared" si="13"/>
        <v>100</v>
      </c>
      <c r="V43" s="1574" t="s">
        <v>11</v>
      </c>
      <c r="W43" s="1575">
        <f t="shared" si="14"/>
        <v>100</v>
      </c>
      <c r="X43" s="1568"/>
      <c r="Y43" s="337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372"/>
      <c r="Q44" s="1151">
        <f t="shared" si="11"/>
        <v>111</v>
      </c>
      <c r="R44" s="1569" t="s">
        <v>11</v>
      </c>
      <c r="S44" s="1570">
        <f t="shared" si="12"/>
        <v>100</v>
      </c>
      <c r="T44" s="1569" t="s">
        <v>11</v>
      </c>
      <c r="U44" s="1570">
        <f t="shared" si="13"/>
        <v>100</v>
      </c>
      <c r="V44" s="1569" t="s">
        <v>11</v>
      </c>
      <c r="W44" s="1570">
        <f t="shared" si="14"/>
        <v>100</v>
      </c>
      <c r="X44" s="1571"/>
      <c r="Y44" s="337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72"/>
      <c r="Q45" s="1573">
        <f t="shared" si="11"/>
        <v>111</v>
      </c>
      <c r="R45" s="1574" t="s">
        <v>11</v>
      </c>
      <c r="S45" s="1575">
        <f t="shared" si="12"/>
        <v>100</v>
      </c>
      <c r="T45" s="1574" t="s">
        <v>11</v>
      </c>
      <c r="U45" s="1575">
        <f t="shared" si="13"/>
        <v>100</v>
      </c>
      <c r="V45" s="1574" t="s">
        <v>11</v>
      </c>
      <c r="W45" s="1575">
        <f t="shared" si="14"/>
        <v>100</v>
      </c>
      <c r="X45" s="1568"/>
      <c r="Y45" s="337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0"/>
      <c r="Q46" s="1573">
        <f t="shared" si="11"/>
        <v>111</v>
      </c>
      <c r="R46" s="1574" t="s">
        <v>10</v>
      </c>
      <c r="S46" s="1575">
        <f t="shared" si="12"/>
        <v>100</v>
      </c>
      <c r="T46" s="1574" t="s">
        <v>10</v>
      </c>
      <c r="U46" s="1575">
        <f t="shared" si="13"/>
        <v>100</v>
      </c>
      <c r="V46" s="1574" t="s">
        <v>10</v>
      </c>
      <c r="W46" s="1575">
        <f t="shared" si="14"/>
        <v>100</v>
      </c>
      <c r="X46" s="1568"/>
      <c r="Y46" s="3470"/>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367" t="str">
        <f>A47</f>
        <v>成交单价（元/平方米）</v>
      </c>
      <c r="Q47" s="3367"/>
      <c r="R47" s="3469">
        <f>E47</f>
        <v>0</v>
      </c>
      <c r="S47" s="3469"/>
      <c r="T47" s="3469">
        <f>G47</f>
        <v>0</v>
      </c>
      <c r="U47" s="3469"/>
      <c r="V47" s="3469">
        <f>I47</f>
        <v>0</v>
      </c>
      <c r="W47" s="3469"/>
      <c r="X47" s="1560"/>
      <c r="Y47" s="1582"/>
      <c r="Z47" s="1560"/>
      <c r="AA47" s="1560"/>
      <c r="AB47" s="1560"/>
      <c r="AC47" s="1560"/>
    </row>
    <row r="48" spans="1:29" ht="15.75" thickBot="1">
      <c r="A48" s="615" t="s">
        <v>2768</v>
      </c>
      <c r="B48" s="888"/>
      <c r="C48" s="2659" t="e">
        <f>R49</f>
        <v>#DIV/0!</v>
      </c>
      <c r="D48" s="2660"/>
      <c r="E48" s="2661" t="e">
        <f>R48</f>
        <v>#DIV/0!</v>
      </c>
      <c r="F48" s="2661"/>
      <c r="G48" s="2659" t="e">
        <f>T48</f>
        <v>#DIV/0!</v>
      </c>
      <c r="H48" s="2660"/>
      <c r="I48" s="2661" t="e">
        <f>V48</f>
        <v>#DIV/0!</v>
      </c>
      <c r="J48" s="2660"/>
      <c r="K48" s="1608"/>
      <c r="L48" s="2146"/>
      <c r="M48" s="2147"/>
      <c r="N48" s="2147"/>
      <c r="O48" s="2147"/>
      <c r="P48" s="3367" t="str">
        <f>A48</f>
        <v>比较价格（元/平方米）</v>
      </c>
      <c r="Q48" s="3367"/>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60"/>
      <c r="Y48" s="1560"/>
      <c r="Z48" s="1560"/>
      <c r="AA48" s="1560"/>
      <c r="AB48" s="1560"/>
      <c r="AC48" s="1560"/>
    </row>
    <row r="49" spans="1:29" ht="15.75" thickBot="1">
      <c r="A49" s="621" t="s">
        <v>2945</v>
      </c>
      <c r="B49" s="622"/>
      <c r="C49" s="2662" t="e">
        <f>R49</f>
        <v>#DIV/0!</v>
      </c>
      <c r="D49" s="2662"/>
      <c r="E49" s="2662"/>
      <c r="F49" s="2662"/>
      <c r="G49" s="2662"/>
      <c r="H49" s="2662"/>
      <c r="I49" s="2662"/>
      <c r="J49" s="2662"/>
      <c r="K49" s="1609"/>
      <c r="L49" s="2146"/>
      <c r="M49" s="2147"/>
      <c r="N49" s="2147"/>
      <c r="O49" s="2147"/>
      <c r="P49" s="3389" t="str">
        <f>A49</f>
        <v>估价对象XX用房的比较价格（楼面单价，元/平方米）</v>
      </c>
      <c r="Q49" s="3390"/>
      <c r="R49" s="3468" t="e">
        <f>IF(F1="售价",ROUND(AVERAGE(R48:V48),0),ROUND(AVERAGE(R48:V48),1))</f>
        <v>#DIV/0!</v>
      </c>
      <c r="S49" s="3468"/>
      <c r="T49" s="3468"/>
      <c r="U49" s="3468"/>
      <c r="V49" s="3468"/>
      <c r="W49" s="34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2"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2563</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2564</v>
      </c>
      <c r="C82" s="2624" t="s">
        <v>2565</v>
      </c>
      <c r="D82" s="2624" t="s">
        <v>2566</v>
      </c>
      <c r="E82" s="2624" t="s">
        <v>2567</v>
      </c>
      <c r="F82" s="2624" t="s">
        <v>2568</v>
      </c>
      <c r="G82" s="2624" t="s">
        <v>2569</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2562</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2261</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2262</v>
      </c>
      <c r="C137" s="1921"/>
      <c r="D137" s="1921"/>
      <c r="E137" s="1921"/>
      <c r="F137" s="1921"/>
      <c r="G137" s="1922"/>
      <c r="H137" s="1923"/>
      <c r="I137" s="1924" t="s">
        <v>2263</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2264</v>
      </c>
      <c r="D138" s="1927" t="s">
        <v>2265</v>
      </c>
      <c r="E138" s="1928" t="s">
        <v>2266</v>
      </c>
      <c r="F138" s="1929" t="s">
        <v>2267</v>
      </c>
      <c r="G138" s="1927" t="s">
        <v>2268</v>
      </c>
      <c r="H138" s="1930" t="s">
        <v>2269</v>
      </c>
      <c r="I138" s="1931"/>
      <c r="J138" s="1927" t="s">
        <v>2270</v>
      </c>
      <c r="K138" s="1930" t="s">
        <v>2271</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2272</v>
      </c>
      <c r="E139" s="1901">
        <v>100</v>
      </c>
      <c r="F139" s="1902">
        <v>102.5</v>
      </c>
      <c r="G139" s="1932" t="s">
        <v>2273</v>
      </c>
      <c r="H139" s="1903">
        <v>105</v>
      </c>
      <c r="I139" s="1933" t="s">
        <v>2274</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2275</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2276</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2277</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2278</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2279</v>
      </c>
      <c r="E144" s="1907">
        <v>102</v>
      </c>
      <c r="F144" s="1913">
        <v>100</v>
      </c>
      <c r="G144" s="1936" t="s">
        <v>2279</v>
      </c>
      <c r="H144" s="1909">
        <v>105</v>
      </c>
      <c r="I144" s="1935" t="s">
        <v>2278</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2290</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2291</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73" t="s">
        <v>522</v>
      </c>
      <c r="D4" s="3374"/>
      <c r="E4" s="3398" t="s">
        <v>523</v>
      </c>
      <c r="F4" s="3399"/>
      <c r="G4" s="3373" t="s">
        <v>524</v>
      </c>
      <c r="H4" s="3374"/>
      <c r="I4" s="3373" t="s">
        <v>525</v>
      </c>
      <c r="J4" s="3374"/>
      <c r="K4" s="514" t="s">
        <v>526</v>
      </c>
      <c r="L4" s="2135"/>
      <c r="M4" s="2136"/>
      <c r="N4" s="2136"/>
      <c r="O4" s="2136"/>
      <c r="P4" s="3375" t="s">
        <v>527</v>
      </c>
      <c r="Q4" s="3376"/>
      <c r="R4" s="3361" t="s">
        <v>523</v>
      </c>
      <c r="S4" s="3362"/>
      <c r="T4" s="3361" t="s">
        <v>524</v>
      </c>
      <c r="U4" s="3362"/>
      <c r="V4" s="3381" t="s">
        <v>525</v>
      </c>
      <c r="W4" s="3381"/>
      <c r="X4" s="1568"/>
      <c r="Y4" s="3361" t="s">
        <v>527</v>
      </c>
      <c r="Z4" s="3362"/>
      <c r="AA4" s="3356" t="s">
        <v>523</v>
      </c>
      <c r="AB4" s="3381" t="s">
        <v>524</v>
      </c>
      <c r="AC4" s="3356" t="s">
        <v>525</v>
      </c>
    </row>
    <row r="5" spans="1:29" ht="15">
      <c r="A5" s="515"/>
      <c r="B5" s="516"/>
      <c r="C5" s="3384" t="s">
        <v>2939</v>
      </c>
      <c r="D5" s="3385"/>
      <c r="E5" s="3400" t="s">
        <v>2940</v>
      </c>
      <c r="F5" s="3401"/>
      <c r="G5" s="3384" t="s">
        <v>2941</v>
      </c>
      <c r="H5" s="3385"/>
      <c r="I5" s="3384" t="s">
        <v>2942</v>
      </c>
      <c r="J5" s="3385"/>
      <c r="K5" s="514"/>
      <c r="L5" s="2135"/>
      <c r="M5" s="2136"/>
      <c r="N5" s="2136"/>
      <c r="O5" s="2136"/>
      <c r="P5" s="3377"/>
      <c r="Q5" s="3378"/>
      <c r="R5" s="3363"/>
      <c r="S5" s="3364"/>
      <c r="T5" s="3363"/>
      <c r="U5" s="3364"/>
      <c r="V5" s="3381"/>
      <c r="W5" s="3381"/>
      <c r="X5" s="1568"/>
      <c r="Y5" s="3363"/>
      <c r="Z5" s="3364"/>
      <c r="AA5" s="3357"/>
      <c r="AB5" s="3381"/>
      <c r="AC5" s="3357"/>
    </row>
    <row r="6" spans="1:29" ht="15.75" thickBot="1">
      <c r="A6" s="517"/>
      <c r="B6" s="518"/>
      <c r="C6" s="3402" t="s">
        <v>2943</v>
      </c>
      <c r="D6" s="3383"/>
      <c r="E6" s="3403" t="s">
        <v>2943</v>
      </c>
      <c r="F6" s="3404"/>
      <c r="G6" s="3402" t="s">
        <v>2943</v>
      </c>
      <c r="H6" s="3383"/>
      <c r="I6" s="3402" t="s">
        <v>2943</v>
      </c>
      <c r="J6" s="3383"/>
      <c r="K6" s="514" t="s">
        <v>528</v>
      </c>
      <c r="L6" s="2135"/>
      <c r="M6" s="2136"/>
      <c r="N6" s="2136"/>
      <c r="O6" s="2136"/>
      <c r="P6" s="3379"/>
      <c r="Q6" s="3380"/>
      <c r="R6" s="3363"/>
      <c r="S6" s="3364"/>
      <c r="T6" s="3365"/>
      <c r="U6" s="3366"/>
      <c r="V6" s="3381"/>
      <c r="W6" s="3381"/>
      <c r="X6" s="1568"/>
      <c r="Y6" s="3365"/>
      <c r="Z6" s="3366"/>
      <c r="AA6" s="3358"/>
      <c r="AB6" s="3381"/>
      <c r="AC6" s="3358"/>
    </row>
    <row r="7" spans="1:29" s="1220" customFormat="1" ht="15.75" thickBot="1">
      <c r="A7" s="2940"/>
      <c r="B7" s="2947" t="s">
        <v>529</v>
      </c>
      <c r="C7" s="519">
        <f>'数据-取费表'!B2</f>
        <v>43077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59" t="s">
        <v>530</v>
      </c>
      <c r="Q7" s="3368"/>
      <c r="R7" s="1569" t="s">
        <v>8</v>
      </c>
      <c r="S7" s="1570">
        <f t="shared" ref="S7:S15" si="0">F7</f>
        <v>0</v>
      </c>
      <c r="T7" s="1569" t="s">
        <v>8</v>
      </c>
      <c r="U7" s="1570">
        <f t="shared" ref="U7:U15" si="1">H7</f>
        <v>0</v>
      </c>
      <c r="V7" s="1569" t="s">
        <v>8</v>
      </c>
      <c r="W7" s="1570">
        <f t="shared" ref="W7:W15" si="2">J7</f>
        <v>0</v>
      </c>
      <c r="X7" s="1571"/>
      <c r="Y7" s="3359" t="s">
        <v>530</v>
      </c>
      <c r="Z7" s="3360"/>
      <c r="AA7" s="1572" t="e">
        <f>D7/F7</f>
        <v>#DIV/0!</v>
      </c>
      <c r="AB7" s="1572" t="e">
        <f>D7/H7</f>
        <v>#DIV/0!</v>
      </c>
      <c r="AC7" s="1572" t="e">
        <f>D7/J7</f>
        <v>#DIV/0!</v>
      </c>
    </row>
    <row r="8" spans="1:29" s="1220" customFormat="1" ht="15.75" thickBot="1">
      <c r="A8" s="2941"/>
      <c r="B8" s="2948"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59" t="s">
        <v>533</v>
      </c>
      <c r="Q8" s="3360"/>
      <c r="R8" s="1569" t="s">
        <v>8</v>
      </c>
      <c r="S8" s="1570">
        <f t="shared" si="0"/>
        <v>0</v>
      </c>
      <c r="T8" s="1569" t="s">
        <v>8</v>
      </c>
      <c r="U8" s="1570">
        <f t="shared" si="1"/>
        <v>0</v>
      </c>
      <c r="V8" s="1569" t="s">
        <v>8</v>
      </c>
      <c r="W8" s="1570">
        <f t="shared" si="2"/>
        <v>0</v>
      </c>
      <c r="X8" s="1571"/>
      <c r="Y8" s="3359" t="s">
        <v>533</v>
      </c>
      <c r="Z8" s="3360"/>
      <c r="AA8" s="1572" t="e">
        <f t="shared" ref="AA8:AA46" si="3">D8/F8</f>
        <v>#DIV/0!</v>
      </c>
      <c r="AB8" s="1572" t="e">
        <f t="shared" ref="AB8:AB46" si="4">D8/H8</f>
        <v>#DIV/0!</v>
      </c>
      <c r="AC8" s="1572" t="e">
        <f t="shared" ref="AC8:AC46" si="5">D8/J8</f>
        <v>#DIV/0!</v>
      </c>
    </row>
    <row r="9" spans="1:29" s="1220" customFormat="1" ht="15">
      <c r="A9" s="2942"/>
      <c r="B9" s="2949" t="s">
        <v>2764</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67"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943"/>
      <c r="B10" s="2948" t="s">
        <v>2765</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44"/>
      <c r="B11" s="2948" t="s">
        <v>2766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67"/>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945"/>
      <c r="B13" s="2951">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946"/>
      <c r="B14" s="2952">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67"/>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71.25">
      <c r="A15" s="2938" t="s">
        <v>2762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69" t="s">
        <v>540</v>
      </c>
      <c r="Q15" s="1573" t="str">
        <f t="shared" si="6"/>
        <v>商业繁华度</v>
      </c>
      <c r="R15" s="1574" t="s">
        <v>8</v>
      </c>
      <c r="S15" s="1575">
        <f t="shared" si="0"/>
        <v>100</v>
      </c>
      <c r="T15" s="1574" t="s">
        <v>8</v>
      </c>
      <c r="U15" s="1575">
        <f t="shared" si="1"/>
        <v>100</v>
      </c>
      <c r="V15" s="1574" t="s">
        <v>8</v>
      </c>
      <c r="W15" s="1575">
        <f t="shared" si="2"/>
        <v>100</v>
      </c>
      <c r="X15" s="1568"/>
      <c r="Y15" s="336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0"/>
      <c r="Q16" s="1573"/>
      <c r="R16" s="1574"/>
      <c r="S16" s="1575"/>
      <c r="T16" s="1574"/>
      <c r="U16" s="1575"/>
      <c r="V16" s="1574"/>
      <c r="W16" s="1575"/>
      <c r="X16" s="1568"/>
      <c r="Y16" s="337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70"/>
      <c r="Q17" s="1573" t="str">
        <f>B17</f>
        <v>交通便捷度</v>
      </c>
      <c r="R17" s="1574" t="s">
        <v>8</v>
      </c>
      <c r="S17" s="1575">
        <f>F17</f>
        <v>100</v>
      </c>
      <c r="T17" s="1574" t="s">
        <v>8</v>
      </c>
      <c r="U17" s="1575">
        <f>H17</f>
        <v>100</v>
      </c>
      <c r="V17" s="1574" t="s">
        <v>8</v>
      </c>
      <c r="W17" s="1575">
        <f>J17</f>
        <v>100</v>
      </c>
      <c r="X17" s="1568"/>
      <c r="Y17" s="337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0"/>
      <c r="Q18" s="1573"/>
      <c r="R18" s="1574"/>
      <c r="S18" s="1575"/>
      <c r="T18" s="1574"/>
      <c r="U18" s="1575"/>
      <c r="V18" s="1574"/>
      <c r="W18" s="1575"/>
      <c r="X18" s="1568"/>
      <c r="Y18" s="3370"/>
      <c r="Z18" s="1576"/>
      <c r="AA18" s="1577">
        <v>1</v>
      </c>
      <c r="AB18" s="1577">
        <v>1</v>
      </c>
      <c r="AC18" s="1577">
        <v>1</v>
      </c>
    </row>
    <row r="19" spans="1:29" ht="42.75">
      <c r="A19" s="532"/>
      <c r="B19" s="2626"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70"/>
      <c r="Q19" s="1573" t="str">
        <f>B19</f>
        <v>公共配套设施</v>
      </c>
      <c r="R19" s="1574" t="s">
        <v>8</v>
      </c>
      <c r="S19" s="1575">
        <f>F19</f>
        <v>100</v>
      </c>
      <c r="T19" s="1574" t="s">
        <v>8</v>
      </c>
      <c r="U19" s="1575">
        <f>H19</f>
        <v>100</v>
      </c>
      <c r="V19" s="1574" t="s">
        <v>8</v>
      </c>
      <c r="W19" s="1575">
        <f>J19</f>
        <v>100</v>
      </c>
      <c r="X19" s="1568"/>
      <c r="Y19" s="337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70"/>
      <c r="Q20" s="1573"/>
      <c r="R20" s="1574"/>
      <c r="S20" s="1575"/>
      <c r="T20" s="1574"/>
      <c r="U20" s="1575"/>
      <c r="V20" s="1574"/>
      <c r="W20" s="1575"/>
      <c r="X20" s="1568"/>
      <c r="Y20" s="3370"/>
      <c r="Z20" s="1576"/>
      <c r="AA20" s="1577">
        <v>1</v>
      </c>
      <c r="AB20" s="1577">
        <v>1</v>
      </c>
      <c r="AC20" s="1577">
        <v>1</v>
      </c>
    </row>
    <row r="21" spans="1:29" ht="28.5">
      <c r="A21" s="532"/>
      <c r="B21" s="2619"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70"/>
      <c r="Q21" s="2605" t="str">
        <f>B21</f>
        <v>基础设施水平</v>
      </c>
      <c r="R21" s="1574" t="s">
        <v>8</v>
      </c>
      <c r="S21" s="1575">
        <f>F21</f>
        <v>100</v>
      </c>
      <c r="T21" s="1574" t="s">
        <v>8</v>
      </c>
      <c r="U21" s="1575">
        <f>H21</f>
        <v>100</v>
      </c>
      <c r="V21" s="1574" t="s">
        <v>8</v>
      </c>
      <c r="W21" s="1575">
        <f>J21</f>
        <v>100</v>
      </c>
      <c r="X21" s="2607"/>
      <c r="Y21" s="3370"/>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370"/>
      <c r="Q22" s="2605"/>
      <c r="R22" s="1574"/>
      <c r="S22" s="1575"/>
      <c r="T22" s="1574"/>
      <c r="U22" s="1575"/>
      <c r="V22" s="1574"/>
      <c r="W22" s="1575"/>
      <c r="X22" s="2607"/>
      <c r="Y22" s="3370"/>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70"/>
      <c r="Q23" s="1573" t="str">
        <f>B23</f>
        <v>自然及人文环境</v>
      </c>
      <c r="R23" s="1574" t="s">
        <v>8</v>
      </c>
      <c r="S23" s="1575">
        <f>F23</f>
        <v>100</v>
      </c>
      <c r="T23" s="1574" t="s">
        <v>8</v>
      </c>
      <c r="U23" s="1575">
        <f>H23</f>
        <v>100</v>
      </c>
      <c r="V23" s="1574" t="s">
        <v>8</v>
      </c>
      <c r="W23" s="1575">
        <f>J23</f>
        <v>100</v>
      </c>
      <c r="X23" s="1568"/>
      <c r="Y23" s="337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70"/>
      <c r="Q24" s="1573"/>
      <c r="R24" s="1574"/>
      <c r="S24" s="1575"/>
      <c r="T24" s="1574"/>
      <c r="U24" s="1575"/>
      <c r="V24" s="1574"/>
      <c r="W24" s="1575"/>
      <c r="X24" s="1568"/>
      <c r="Y24" s="337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70"/>
      <c r="Q25" s="1573" t="str">
        <f t="shared" ref="Q25:Q46" si="11">B25</f>
        <v>临街状况</v>
      </c>
      <c r="R25" s="1574" t="s">
        <v>8</v>
      </c>
      <c r="S25" s="1575">
        <f>F25</f>
        <v>100</v>
      </c>
      <c r="T25" s="1574" t="s">
        <v>8</v>
      </c>
      <c r="U25" s="1575">
        <f>H25</f>
        <v>100</v>
      </c>
      <c r="V25" s="1574" t="s">
        <v>8</v>
      </c>
      <c r="W25" s="1575">
        <f>J25</f>
        <v>100</v>
      </c>
      <c r="X25" s="1568"/>
      <c r="Y25" s="337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70"/>
      <c r="Q26" s="1573" t="str">
        <f t="shared" si="11"/>
        <v>平面位置/可视性</v>
      </c>
      <c r="R26" s="1574" t="s">
        <v>8</v>
      </c>
      <c r="S26" s="1575">
        <f>F26</f>
        <v>100</v>
      </c>
      <c r="T26" s="1574" t="s">
        <v>8</v>
      </c>
      <c r="U26" s="1575">
        <f>H26</f>
        <v>100</v>
      </c>
      <c r="V26" s="1574" t="s">
        <v>8</v>
      </c>
      <c r="W26" s="1575">
        <f>J26</f>
        <v>100</v>
      </c>
      <c r="X26" s="1568"/>
      <c r="Y26" s="337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70"/>
      <c r="Q27" s="1151" t="str">
        <f t="shared" si="11"/>
        <v>人流量</v>
      </c>
      <c r="R27" s="1569" t="s">
        <v>8</v>
      </c>
      <c r="S27" s="1570">
        <f>F27</f>
        <v>100</v>
      </c>
      <c r="T27" s="1569" t="s">
        <v>8</v>
      </c>
      <c r="U27" s="1570">
        <f>H27</f>
        <v>100</v>
      </c>
      <c r="V27" s="1569" t="s">
        <v>8</v>
      </c>
      <c r="W27" s="1570">
        <f>J27</f>
        <v>100</v>
      </c>
      <c r="X27" s="1571"/>
      <c r="Y27" s="337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7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7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70"/>
      <c r="Q29" s="1573">
        <f t="shared" si="11"/>
        <v>111</v>
      </c>
      <c r="R29" s="1574" t="s">
        <v>8</v>
      </c>
      <c r="S29" s="1575">
        <f t="shared" si="12"/>
        <v>100</v>
      </c>
      <c r="T29" s="1574" t="s">
        <v>8</v>
      </c>
      <c r="U29" s="1575">
        <f t="shared" si="13"/>
        <v>100</v>
      </c>
      <c r="V29" s="1574" t="s">
        <v>8</v>
      </c>
      <c r="W29" s="1575">
        <f t="shared" si="14"/>
        <v>100</v>
      </c>
      <c r="X29" s="1568"/>
      <c r="Y29" s="337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70"/>
      <c r="Q30" s="1573">
        <f t="shared" si="11"/>
        <v>111</v>
      </c>
      <c r="R30" s="1574" t="s">
        <v>8</v>
      </c>
      <c r="S30" s="1575">
        <f t="shared" si="12"/>
        <v>100</v>
      </c>
      <c r="T30" s="1574" t="s">
        <v>8</v>
      </c>
      <c r="U30" s="1575">
        <f t="shared" si="13"/>
        <v>100</v>
      </c>
      <c r="V30" s="1574" t="s">
        <v>8</v>
      </c>
      <c r="W30" s="1575">
        <f t="shared" si="14"/>
        <v>100</v>
      </c>
      <c r="X30" s="1568"/>
      <c r="Y30" s="337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70"/>
      <c r="Q31" s="1573">
        <f t="shared" si="11"/>
        <v>111</v>
      </c>
      <c r="R31" s="1574" t="s">
        <v>8</v>
      </c>
      <c r="S31" s="1575">
        <f t="shared" si="12"/>
        <v>100</v>
      </c>
      <c r="T31" s="1574" t="s">
        <v>8</v>
      </c>
      <c r="U31" s="1575">
        <f t="shared" si="13"/>
        <v>100</v>
      </c>
      <c r="V31" s="1574" t="s">
        <v>8</v>
      </c>
      <c r="W31" s="1575">
        <f t="shared" si="14"/>
        <v>100</v>
      </c>
      <c r="X31" s="1568"/>
      <c r="Y31" s="3370"/>
      <c r="Z31" s="1576">
        <f t="shared" si="15"/>
        <v>111</v>
      </c>
      <c r="AA31" s="1577">
        <f t="shared" si="3"/>
        <v>1</v>
      </c>
      <c r="AB31" s="1577">
        <f t="shared" si="4"/>
        <v>1</v>
      </c>
      <c r="AC31" s="1577">
        <f t="shared" si="5"/>
        <v>1</v>
      </c>
    </row>
    <row r="32" spans="1:29" ht="15">
      <c r="A32" s="2935" t="s">
        <v>2763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71" t="s">
        <v>550</v>
      </c>
      <c r="Q32" s="1573" t="str">
        <f t="shared" si="11"/>
        <v>商业类型</v>
      </c>
      <c r="R32" s="1574" t="s">
        <v>8</v>
      </c>
      <c r="S32" s="1575">
        <f t="shared" si="12"/>
        <v>100</v>
      </c>
      <c r="T32" s="1574" t="s">
        <v>8</v>
      </c>
      <c r="U32" s="1575">
        <f t="shared" si="13"/>
        <v>100</v>
      </c>
      <c r="V32" s="1574" t="s">
        <v>8</v>
      </c>
      <c r="W32" s="1575">
        <f t="shared" si="14"/>
        <v>100</v>
      </c>
      <c r="X32" s="1568"/>
      <c r="Y32" s="337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72"/>
      <c r="Q33" s="1606" t="str">
        <f t="shared" si="11"/>
        <v>项目建筑规模</v>
      </c>
      <c r="R33" s="1578" t="s">
        <v>8</v>
      </c>
      <c r="S33" s="1579" t="e">
        <f t="shared" si="12"/>
        <v>#N/A</v>
      </c>
      <c r="T33" s="1578" t="s">
        <v>8</v>
      </c>
      <c r="U33" s="1579" t="e">
        <f t="shared" si="13"/>
        <v>#N/A</v>
      </c>
      <c r="V33" s="1578" t="s">
        <v>8</v>
      </c>
      <c r="W33" s="1579" t="e">
        <f t="shared" si="14"/>
        <v>#N/A</v>
      </c>
      <c r="X33" s="1580"/>
      <c r="Y33" s="337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72"/>
      <c r="Q34" s="1573" t="str">
        <f t="shared" si="11"/>
        <v>建筑结构</v>
      </c>
      <c r="R34" s="1574" t="s">
        <v>8</v>
      </c>
      <c r="S34" s="1575">
        <f t="shared" si="12"/>
        <v>100</v>
      </c>
      <c r="T34" s="1574" t="s">
        <v>8</v>
      </c>
      <c r="U34" s="1575">
        <f t="shared" si="13"/>
        <v>100</v>
      </c>
      <c r="V34" s="1574" t="s">
        <v>8</v>
      </c>
      <c r="W34" s="1575">
        <f t="shared" si="14"/>
        <v>100</v>
      </c>
      <c r="X34" s="1568"/>
      <c r="Y34" s="337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72"/>
      <c r="Q35" s="1573" t="str">
        <f t="shared" si="11"/>
        <v>公共部分装修</v>
      </c>
      <c r="R35" s="1574" t="s">
        <v>8</v>
      </c>
      <c r="S35" s="1575">
        <f t="shared" si="12"/>
        <v>100</v>
      </c>
      <c r="T35" s="1574" t="s">
        <v>8</v>
      </c>
      <c r="U35" s="1575">
        <f t="shared" si="13"/>
        <v>100</v>
      </c>
      <c r="V35" s="1574" t="s">
        <v>8</v>
      </c>
      <c r="W35" s="1575">
        <f t="shared" si="14"/>
        <v>100</v>
      </c>
      <c r="X35" s="1568"/>
      <c r="Y35" s="337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72"/>
      <c r="Q36" s="1573" t="str">
        <f t="shared" si="11"/>
        <v>成新度</v>
      </c>
      <c r="R36" s="1574" t="s">
        <v>8</v>
      </c>
      <c r="S36" s="1575" t="e">
        <f t="shared" si="12"/>
        <v>#N/A</v>
      </c>
      <c r="T36" s="1574" t="s">
        <v>8</v>
      </c>
      <c r="U36" s="1575" t="e">
        <f t="shared" si="13"/>
        <v>#N/A</v>
      </c>
      <c r="V36" s="1574" t="s">
        <v>8</v>
      </c>
      <c r="W36" s="1575" t="e">
        <f t="shared" si="14"/>
        <v>#N/A</v>
      </c>
      <c r="X36" s="1568"/>
      <c r="Y36" s="3372"/>
      <c r="Z36" s="1576" t="str">
        <f t="shared" si="15"/>
        <v>成新度</v>
      </c>
      <c r="AA36" s="1577" t="e">
        <f t="shared" si="3"/>
        <v>#N/A</v>
      </c>
      <c r="AB36" s="1577" t="e">
        <f t="shared" si="4"/>
        <v>#N/A</v>
      </c>
      <c r="AC36" s="1577" t="e">
        <f t="shared" si="5"/>
        <v>#N/A</v>
      </c>
    </row>
    <row r="37" spans="1:29" s="1220" customFormat="1" ht="15">
      <c r="A37" s="600"/>
      <c r="B37" s="1897" t="s">
        <v>2571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72"/>
      <c r="Q37" s="1151" t="str">
        <f t="shared" si="11"/>
        <v>市政基础设施</v>
      </c>
      <c r="R37" s="1569" t="s">
        <v>8</v>
      </c>
      <c r="S37" s="1570">
        <f t="shared" si="12"/>
        <v>100</v>
      </c>
      <c r="T37" s="1569" t="s">
        <v>8</v>
      </c>
      <c r="U37" s="1570">
        <f t="shared" si="13"/>
        <v>100</v>
      </c>
      <c r="V37" s="1569" t="s">
        <v>8</v>
      </c>
      <c r="W37" s="1570">
        <f t="shared" si="14"/>
        <v>100</v>
      </c>
      <c r="X37" s="1571"/>
      <c r="Y37" s="337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72" t="s">
        <v>766</v>
      </c>
      <c r="Q38" s="1573" t="str">
        <f t="shared" si="11"/>
        <v>业态</v>
      </c>
      <c r="R38" s="1574" t="s">
        <v>8</v>
      </c>
      <c r="S38" s="1575">
        <f t="shared" si="12"/>
        <v>100</v>
      </c>
      <c r="T38" s="1574" t="s">
        <v>8</v>
      </c>
      <c r="U38" s="1575">
        <f t="shared" si="13"/>
        <v>100</v>
      </c>
      <c r="V38" s="1574" t="s">
        <v>8</v>
      </c>
      <c r="W38" s="1575">
        <f t="shared" si="14"/>
        <v>100</v>
      </c>
      <c r="X38" s="1568"/>
      <c r="Y38" s="337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72"/>
      <c r="Q39" s="1573" t="str">
        <f t="shared" si="11"/>
        <v>层高</v>
      </c>
      <c r="R39" s="1574" t="s">
        <v>8</v>
      </c>
      <c r="S39" s="1575">
        <f t="shared" si="12"/>
        <v>100</v>
      </c>
      <c r="T39" s="1574" t="s">
        <v>8</v>
      </c>
      <c r="U39" s="1575">
        <f t="shared" si="13"/>
        <v>100</v>
      </c>
      <c r="V39" s="1574" t="s">
        <v>8</v>
      </c>
      <c r="W39" s="1575">
        <f t="shared" si="14"/>
        <v>100</v>
      </c>
      <c r="X39" s="1568"/>
      <c r="Y39" s="337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72"/>
      <c r="Q40" s="1573" t="str">
        <f t="shared" si="11"/>
        <v>单套建筑面积</v>
      </c>
      <c r="R40" s="1574" t="s">
        <v>8</v>
      </c>
      <c r="S40" s="1575">
        <f t="shared" si="12"/>
        <v>100</v>
      </c>
      <c r="T40" s="1574" t="s">
        <v>8</v>
      </c>
      <c r="U40" s="1575">
        <f t="shared" si="13"/>
        <v>100</v>
      </c>
      <c r="V40" s="1574" t="s">
        <v>8</v>
      </c>
      <c r="W40" s="1575">
        <f t="shared" si="14"/>
        <v>100</v>
      </c>
      <c r="X40" s="1568"/>
      <c r="Y40" s="337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72"/>
      <c r="Q41" s="1606" t="str">
        <f t="shared" si="11"/>
        <v>进深比</v>
      </c>
      <c r="R41" s="1578" t="s">
        <v>8</v>
      </c>
      <c r="S41" s="1579">
        <f t="shared" si="12"/>
        <v>100</v>
      </c>
      <c r="T41" s="1578" t="s">
        <v>8</v>
      </c>
      <c r="U41" s="1579">
        <f t="shared" si="13"/>
        <v>100</v>
      </c>
      <c r="V41" s="1578" t="s">
        <v>8</v>
      </c>
      <c r="W41" s="1579">
        <f t="shared" si="14"/>
        <v>100</v>
      </c>
      <c r="X41" s="1580"/>
      <c r="Y41" s="337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72"/>
      <c r="Q42" s="1573" t="str">
        <f t="shared" si="11"/>
        <v>内部装修</v>
      </c>
      <c r="R42" s="1574" t="s">
        <v>8</v>
      </c>
      <c r="S42" s="1575">
        <f t="shared" si="12"/>
        <v>100</v>
      </c>
      <c r="T42" s="1574" t="s">
        <v>8</v>
      </c>
      <c r="U42" s="1575">
        <f t="shared" si="13"/>
        <v>100</v>
      </c>
      <c r="V42" s="1574" t="s">
        <v>8</v>
      </c>
      <c r="W42" s="1575">
        <f t="shared" si="14"/>
        <v>100</v>
      </c>
      <c r="X42" s="1568"/>
      <c r="Y42" s="337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72"/>
      <c r="Q43" s="1573" t="str">
        <f t="shared" si="11"/>
        <v>内部装修维护情况</v>
      </c>
      <c r="R43" s="1574" t="s">
        <v>8</v>
      </c>
      <c r="S43" s="1575">
        <f t="shared" si="12"/>
        <v>100</v>
      </c>
      <c r="T43" s="1574" t="s">
        <v>8</v>
      </c>
      <c r="U43" s="1575">
        <f t="shared" si="13"/>
        <v>100</v>
      </c>
      <c r="V43" s="1574" t="s">
        <v>8</v>
      </c>
      <c r="W43" s="1575">
        <f t="shared" si="14"/>
        <v>100</v>
      </c>
      <c r="X43" s="1568"/>
      <c r="Y43" s="337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72"/>
      <c r="Q44" s="1151">
        <f t="shared" si="11"/>
        <v>111</v>
      </c>
      <c r="R44" s="1569" t="s">
        <v>8</v>
      </c>
      <c r="S44" s="1570">
        <f t="shared" si="12"/>
        <v>100</v>
      </c>
      <c r="T44" s="1569" t="s">
        <v>8</v>
      </c>
      <c r="U44" s="1570">
        <f t="shared" si="13"/>
        <v>100</v>
      </c>
      <c r="V44" s="1569" t="s">
        <v>8</v>
      </c>
      <c r="W44" s="1570">
        <f t="shared" si="14"/>
        <v>100</v>
      </c>
      <c r="X44" s="1571"/>
      <c r="Y44" s="337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72"/>
      <c r="Q45" s="1573">
        <f t="shared" si="11"/>
        <v>111</v>
      </c>
      <c r="R45" s="1574" t="s">
        <v>8</v>
      </c>
      <c r="S45" s="1575">
        <f t="shared" si="12"/>
        <v>100</v>
      </c>
      <c r="T45" s="1574" t="s">
        <v>8</v>
      </c>
      <c r="U45" s="1575">
        <f t="shared" si="13"/>
        <v>100</v>
      </c>
      <c r="V45" s="1574" t="s">
        <v>8</v>
      </c>
      <c r="W45" s="1575">
        <f t="shared" si="14"/>
        <v>100</v>
      </c>
      <c r="X45" s="1568"/>
      <c r="Y45" s="337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0"/>
      <c r="Q46" s="1573">
        <f t="shared" si="11"/>
        <v>111</v>
      </c>
      <c r="R46" s="1574" t="s">
        <v>8</v>
      </c>
      <c r="S46" s="1575">
        <f t="shared" si="12"/>
        <v>100</v>
      </c>
      <c r="T46" s="1574" t="s">
        <v>8</v>
      </c>
      <c r="U46" s="1575">
        <f t="shared" si="13"/>
        <v>100</v>
      </c>
      <c r="V46" s="1574" t="s">
        <v>8</v>
      </c>
      <c r="W46" s="1575">
        <f t="shared" si="14"/>
        <v>100</v>
      </c>
      <c r="X46" s="1568"/>
      <c r="Y46" s="3470"/>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367" t="str">
        <f>A47</f>
        <v>成交单价（元/平方米）</v>
      </c>
      <c r="Q47" s="3367"/>
      <c r="R47" s="3469">
        <f>E47</f>
        <v>0</v>
      </c>
      <c r="S47" s="3469"/>
      <c r="T47" s="3469">
        <f>G47</f>
        <v>0</v>
      </c>
      <c r="U47" s="3469"/>
      <c r="V47" s="3469">
        <f>I47</f>
        <v>0</v>
      </c>
      <c r="W47" s="3469"/>
      <c r="X47" s="1560"/>
      <c r="Y47" s="1582"/>
      <c r="Z47" s="1560"/>
      <c r="AA47" s="1560"/>
      <c r="AB47" s="1560"/>
      <c r="AC47" s="1560"/>
    </row>
    <row r="48" spans="1:29" ht="15.75" thickBot="1">
      <c r="A48" s="615" t="s">
        <v>2768</v>
      </c>
      <c r="B48" s="888"/>
      <c r="C48" s="2659" t="e">
        <f>R49</f>
        <v>#DIV/0!</v>
      </c>
      <c r="D48" s="2660"/>
      <c r="E48" s="2661" t="e">
        <f>R48</f>
        <v>#DIV/0!</v>
      </c>
      <c r="F48" s="2661"/>
      <c r="G48" s="2659" t="e">
        <f>T48</f>
        <v>#DIV/0!</v>
      </c>
      <c r="H48" s="2660"/>
      <c r="I48" s="2661" t="e">
        <f>V48</f>
        <v>#DIV/0!</v>
      </c>
      <c r="J48" s="2660"/>
      <c r="K48" s="1613"/>
      <c r="L48" s="2146"/>
      <c r="M48" s="2147"/>
      <c r="N48" s="2136"/>
      <c r="O48" s="2147"/>
      <c r="P48" s="3367" t="str">
        <f>A48</f>
        <v>比较价格（元/平方米）</v>
      </c>
      <c r="Q48" s="3367"/>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60"/>
      <c r="Y48" s="1560"/>
      <c r="Z48" s="1560"/>
      <c r="AA48" s="1560"/>
      <c r="AB48" s="1560"/>
      <c r="AC48" s="1560"/>
    </row>
    <row r="49" spans="1:29" ht="15.75" thickBot="1">
      <c r="A49" s="621" t="s">
        <v>2945</v>
      </c>
      <c r="B49" s="622"/>
      <c r="C49" s="2662" t="e">
        <f>R49</f>
        <v>#DIV/0!</v>
      </c>
      <c r="D49" s="2662"/>
      <c r="E49" s="2662"/>
      <c r="F49" s="2662"/>
      <c r="G49" s="2662"/>
      <c r="H49" s="2662"/>
      <c r="I49" s="2662"/>
      <c r="J49" s="2662"/>
      <c r="K49" s="1614"/>
      <c r="L49" s="2146"/>
      <c r="M49" s="2147"/>
      <c r="N49" s="2136"/>
      <c r="O49" s="2147"/>
      <c r="P49" s="3389" t="str">
        <f>A49</f>
        <v>估价对象XX用房的比较价格（楼面单价，元/平方米）</v>
      </c>
      <c r="Q49" s="3390"/>
      <c r="R49" s="3468" t="e">
        <f>IF(F1="售价",ROUND(AVERAGE(R48:V48),0),ROUND(AVERAGE(R48:V48),1))</f>
        <v>#DIV/0!</v>
      </c>
      <c r="S49" s="3468"/>
      <c r="T49" s="3468"/>
      <c r="U49" s="3468"/>
      <c r="V49" s="3468"/>
      <c r="W49" s="346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2017-12</v>
      </c>
      <c r="D58" s="2832">
        <f>EDATE(C58,-1)</f>
        <v>43040</v>
      </c>
      <c r="E58" s="2832">
        <f t="shared" ref="E58:O58" si="16">EDATE(D58,-1)</f>
        <v>43009</v>
      </c>
      <c r="F58" s="2832">
        <f t="shared" si="16"/>
        <v>42979</v>
      </c>
      <c r="G58" s="2832">
        <f t="shared" si="16"/>
        <v>42948</v>
      </c>
      <c r="H58" s="2832">
        <f t="shared" si="16"/>
        <v>42917</v>
      </c>
      <c r="I58" s="2832">
        <f t="shared" si="16"/>
        <v>42887</v>
      </c>
      <c r="J58" s="2832">
        <f t="shared" si="16"/>
        <v>42856</v>
      </c>
      <c r="K58" s="2832">
        <f t="shared" si="16"/>
        <v>42826</v>
      </c>
      <c r="L58" s="2832">
        <f t="shared" si="16"/>
        <v>42795</v>
      </c>
      <c r="M58" s="2832">
        <f t="shared" si="16"/>
        <v>42767</v>
      </c>
      <c r="N58" s="2832">
        <f t="shared" si="16"/>
        <v>42736</v>
      </c>
      <c r="O58" s="2832">
        <f t="shared" si="16"/>
        <v>42705</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2563</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2564</v>
      </c>
      <c r="C82" s="2624" t="s">
        <v>2565</v>
      </c>
      <c r="D82" s="2624" t="s">
        <v>2566</v>
      </c>
      <c r="E82" s="2624" t="s">
        <v>2567</v>
      </c>
      <c r="F82" s="2624" t="s">
        <v>2568</v>
      </c>
      <c r="G82" s="2624" t="s">
        <v>2569</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2562</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5"/>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73" t="s">
        <v>522</v>
      </c>
      <c r="D4" s="3374"/>
      <c r="E4" s="3398" t="s">
        <v>523</v>
      </c>
      <c r="F4" s="3399"/>
      <c r="G4" s="3373" t="s">
        <v>524</v>
      </c>
      <c r="H4" s="3374"/>
      <c r="I4" s="3373" t="s">
        <v>525</v>
      </c>
      <c r="J4" s="3374"/>
      <c r="K4" s="514" t="s">
        <v>526</v>
      </c>
      <c r="L4" s="2135"/>
      <c r="M4" s="2136"/>
      <c r="N4" s="2136"/>
      <c r="O4" s="2136"/>
      <c r="P4" s="3471" t="s">
        <v>527</v>
      </c>
      <c r="Q4" s="3376"/>
      <c r="R4" s="3361" t="s">
        <v>523</v>
      </c>
      <c r="S4" s="3362"/>
      <c r="T4" s="3361" t="s">
        <v>524</v>
      </c>
      <c r="U4" s="3362"/>
      <c r="V4" s="3381" t="s">
        <v>525</v>
      </c>
      <c r="W4" s="3381"/>
      <c r="X4" s="1568"/>
      <c r="Y4" s="3361" t="s">
        <v>527</v>
      </c>
      <c r="Z4" s="3362"/>
      <c r="AA4" s="3356" t="s">
        <v>523</v>
      </c>
      <c r="AB4" s="3356" t="s">
        <v>524</v>
      </c>
      <c r="AC4" s="3356" t="s">
        <v>525</v>
      </c>
    </row>
    <row r="5" spans="1:29" ht="15">
      <c r="A5" s="515"/>
      <c r="B5" s="516"/>
      <c r="C5" s="3384" t="s">
        <v>2939</v>
      </c>
      <c r="D5" s="3385"/>
      <c r="E5" s="3400" t="s">
        <v>2940</v>
      </c>
      <c r="F5" s="3401"/>
      <c r="G5" s="3384" t="s">
        <v>2941</v>
      </c>
      <c r="H5" s="3385"/>
      <c r="I5" s="3384" t="s">
        <v>2942</v>
      </c>
      <c r="J5" s="3385"/>
      <c r="K5" s="514"/>
      <c r="L5" s="2135"/>
      <c r="M5" s="2136"/>
      <c r="N5" s="2136"/>
      <c r="O5" s="2136"/>
      <c r="P5" s="3472"/>
      <c r="Q5" s="3378"/>
      <c r="R5" s="3363"/>
      <c r="S5" s="3364"/>
      <c r="T5" s="3363"/>
      <c r="U5" s="3364"/>
      <c r="V5" s="3381"/>
      <c r="W5" s="3381"/>
      <c r="X5" s="1568"/>
      <c r="Y5" s="3363"/>
      <c r="Z5" s="3364"/>
      <c r="AA5" s="3357"/>
      <c r="AB5" s="3357"/>
      <c r="AC5" s="3357"/>
    </row>
    <row r="6" spans="1:29" ht="15.75" thickBot="1">
      <c r="A6" s="517"/>
      <c r="B6" s="518"/>
      <c r="C6" s="3402" t="s">
        <v>2943</v>
      </c>
      <c r="D6" s="3383"/>
      <c r="E6" s="3403" t="s">
        <v>2943</v>
      </c>
      <c r="F6" s="3404"/>
      <c r="G6" s="3402" t="s">
        <v>2943</v>
      </c>
      <c r="H6" s="3383"/>
      <c r="I6" s="3402" t="s">
        <v>2943</v>
      </c>
      <c r="J6" s="3383"/>
      <c r="K6" s="514" t="s">
        <v>528</v>
      </c>
      <c r="L6" s="2135"/>
      <c r="M6" s="2136"/>
      <c r="N6" s="2136"/>
      <c r="O6" s="2136"/>
      <c r="P6" s="3473"/>
      <c r="Q6" s="3380"/>
      <c r="R6" s="3363"/>
      <c r="S6" s="3364"/>
      <c r="T6" s="3365"/>
      <c r="U6" s="3366"/>
      <c r="V6" s="3381"/>
      <c r="W6" s="3381"/>
      <c r="X6" s="1568"/>
      <c r="Y6" s="3365"/>
      <c r="Z6" s="3366"/>
      <c r="AA6" s="3358"/>
      <c r="AB6" s="3358"/>
      <c r="AC6" s="3358"/>
    </row>
    <row r="7" spans="1:29" s="1220" customFormat="1" ht="15.75" thickBot="1">
      <c r="A7" s="2940"/>
      <c r="B7" s="2947" t="s">
        <v>529</v>
      </c>
      <c r="C7" s="519">
        <f>'数据-取费表'!B2</f>
        <v>43077</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68" t="s">
        <v>530</v>
      </c>
      <c r="Q7" s="3368"/>
      <c r="R7" s="1569" t="s">
        <v>8</v>
      </c>
      <c r="S7" s="1570">
        <f t="shared" ref="S7:S15" si="0">F7</f>
        <v>0</v>
      </c>
      <c r="T7" s="1569" t="s">
        <v>8</v>
      </c>
      <c r="U7" s="1570">
        <f t="shared" ref="U7:U15" si="1">H7</f>
        <v>0</v>
      </c>
      <c r="V7" s="1569" t="s">
        <v>8</v>
      </c>
      <c r="W7" s="1570">
        <f t="shared" ref="W7:W15" si="2">J7</f>
        <v>0</v>
      </c>
      <c r="X7" s="1571"/>
      <c r="Y7" s="3359" t="s">
        <v>530</v>
      </c>
      <c r="Z7" s="3360"/>
      <c r="AA7" s="1572" t="e">
        <f>D7/F7</f>
        <v>#DIV/0!</v>
      </c>
      <c r="AB7" s="1572" t="e">
        <f>D7/H7</f>
        <v>#DIV/0!</v>
      </c>
      <c r="AC7" s="1572" t="e">
        <f>D7/J7</f>
        <v>#DIV/0!</v>
      </c>
    </row>
    <row r="8" spans="1:29" s="1220" customFormat="1" ht="15.75" thickBot="1">
      <c r="A8" s="2941"/>
      <c r="B8" s="2948"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68" t="s">
        <v>533</v>
      </c>
      <c r="Q8" s="3360"/>
      <c r="R8" s="1569" t="s">
        <v>8</v>
      </c>
      <c r="S8" s="1570">
        <f t="shared" si="0"/>
        <v>0</v>
      </c>
      <c r="T8" s="1569" t="s">
        <v>8</v>
      </c>
      <c r="U8" s="1570">
        <f t="shared" si="1"/>
        <v>0</v>
      </c>
      <c r="V8" s="1569" t="s">
        <v>8</v>
      </c>
      <c r="W8" s="1570">
        <f t="shared" si="2"/>
        <v>0</v>
      </c>
      <c r="X8" s="1571"/>
      <c r="Y8" s="3359" t="s">
        <v>533</v>
      </c>
      <c r="Z8" s="3360"/>
      <c r="AA8" s="1572" t="e">
        <f t="shared" ref="AA8:AA47" si="3">D8/F8</f>
        <v>#DIV/0!</v>
      </c>
      <c r="AB8" s="1572" t="e">
        <f t="shared" ref="AB8:AB47" si="4">D8/H8</f>
        <v>#DIV/0!</v>
      </c>
      <c r="AC8" s="1572" t="e">
        <f t="shared" ref="AC8:AC47" si="5">D8/J8</f>
        <v>#DIV/0!</v>
      </c>
    </row>
    <row r="9" spans="1:29" s="1220" customFormat="1" ht="15">
      <c r="A9" s="2942"/>
      <c r="B9" s="2949" t="s">
        <v>2764</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67"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943"/>
      <c r="B10" s="2948" t="s">
        <v>2765</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44"/>
      <c r="B11" s="2948" t="s">
        <v>2766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67"/>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945"/>
      <c r="B13" s="2951">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946"/>
      <c r="B14" s="2952">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67"/>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71.25">
      <c r="A15" s="2938" t="s">
        <v>2762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69" t="s">
        <v>540</v>
      </c>
      <c r="Q15" s="1573" t="str">
        <f t="shared" si="6"/>
        <v>办公集聚程度</v>
      </c>
      <c r="R15" s="1574" t="s">
        <v>8</v>
      </c>
      <c r="S15" s="1575">
        <f t="shared" si="0"/>
        <v>100</v>
      </c>
      <c r="T15" s="1574" t="s">
        <v>8</v>
      </c>
      <c r="U15" s="1575">
        <f t="shared" si="1"/>
        <v>100</v>
      </c>
      <c r="V15" s="1574" t="s">
        <v>8</v>
      </c>
      <c r="W15" s="1575">
        <f t="shared" si="2"/>
        <v>100</v>
      </c>
      <c r="X15" s="1568"/>
      <c r="Y15" s="336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70"/>
      <c r="Q16" s="1573"/>
      <c r="R16" s="1574"/>
      <c r="S16" s="1575"/>
      <c r="T16" s="1574"/>
      <c r="U16" s="1575"/>
      <c r="V16" s="1574"/>
      <c r="W16" s="1575"/>
      <c r="X16" s="1568"/>
      <c r="Y16" s="337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70"/>
      <c r="Q17" s="1573" t="str">
        <f>B17</f>
        <v>交通便捷度</v>
      </c>
      <c r="R17" s="1574" t="s">
        <v>8</v>
      </c>
      <c r="S17" s="1575">
        <f>F17</f>
        <v>100</v>
      </c>
      <c r="T17" s="1574" t="s">
        <v>8</v>
      </c>
      <c r="U17" s="1575">
        <f>H17</f>
        <v>100</v>
      </c>
      <c r="V17" s="1574" t="s">
        <v>8</v>
      </c>
      <c r="W17" s="1575">
        <f>J17</f>
        <v>100</v>
      </c>
      <c r="X17" s="1568"/>
      <c r="Y17" s="337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70"/>
      <c r="Q18" s="1573"/>
      <c r="R18" s="1574"/>
      <c r="S18" s="1575"/>
      <c r="T18" s="1574"/>
      <c r="U18" s="1575"/>
      <c r="V18" s="1574"/>
      <c r="W18" s="1575"/>
      <c r="X18" s="1568"/>
      <c r="Y18" s="3370"/>
      <c r="Z18" s="1576"/>
      <c r="AA18" s="1577">
        <v>1</v>
      </c>
      <c r="AB18" s="1577">
        <v>1</v>
      </c>
      <c r="AC18" s="1577">
        <v>1</v>
      </c>
    </row>
    <row r="19" spans="1:29" ht="42.75">
      <c r="A19" s="532"/>
      <c r="B19" s="2629" t="s">
        <v>2552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70"/>
      <c r="Q19" s="1573" t="str">
        <f>B19</f>
        <v>公共配套设施</v>
      </c>
      <c r="R19" s="1574" t="s">
        <v>8</v>
      </c>
      <c r="S19" s="1575">
        <f>F19</f>
        <v>100</v>
      </c>
      <c r="T19" s="1574" t="s">
        <v>8</v>
      </c>
      <c r="U19" s="1575">
        <f>H19</f>
        <v>100</v>
      </c>
      <c r="V19" s="1574" t="s">
        <v>8</v>
      </c>
      <c r="W19" s="1575">
        <f>J19</f>
        <v>100</v>
      </c>
      <c r="X19" s="1568"/>
      <c r="Y19" s="337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70"/>
      <c r="Q20" s="1573"/>
      <c r="R20" s="1574"/>
      <c r="S20" s="1575"/>
      <c r="T20" s="1574"/>
      <c r="U20" s="1575"/>
      <c r="V20" s="1574"/>
      <c r="W20" s="1575"/>
      <c r="X20" s="1568"/>
      <c r="Y20" s="3370"/>
      <c r="Z20" s="1576"/>
      <c r="AA20" s="1577">
        <v>1</v>
      </c>
      <c r="AB20" s="1577">
        <v>1</v>
      </c>
      <c r="AC20" s="1577">
        <v>1</v>
      </c>
    </row>
    <row r="21" spans="1:29" ht="28.5">
      <c r="A21" s="532"/>
      <c r="B21" s="2617" t="s">
        <v>2564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70"/>
      <c r="Q21" s="2605" t="str">
        <f>B21</f>
        <v>基础设施水平</v>
      </c>
      <c r="R21" s="1574" t="s">
        <v>8</v>
      </c>
      <c r="S21" s="1575">
        <f>F21</f>
        <v>100</v>
      </c>
      <c r="T21" s="1574" t="s">
        <v>8</v>
      </c>
      <c r="U21" s="1575">
        <f>H21</f>
        <v>100</v>
      </c>
      <c r="V21" s="1574" t="s">
        <v>8</v>
      </c>
      <c r="W21" s="1575">
        <f>J21</f>
        <v>100</v>
      </c>
      <c r="X21" s="2607"/>
      <c r="Y21" s="3370"/>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370"/>
      <c r="Q22" s="2605"/>
      <c r="R22" s="1574"/>
      <c r="S22" s="1575"/>
      <c r="T22" s="1574"/>
      <c r="U22" s="1575"/>
      <c r="V22" s="1574"/>
      <c r="W22" s="1575"/>
      <c r="X22" s="2607"/>
      <c r="Y22" s="3370"/>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70"/>
      <c r="Q23" s="1573" t="str">
        <f>B23</f>
        <v>环境质量</v>
      </c>
      <c r="R23" s="1574" t="s">
        <v>8</v>
      </c>
      <c r="S23" s="1575">
        <f>F23</f>
        <v>100</v>
      </c>
      <c r="T23" s="1574" t="s">
        <v>8</v>
      </c>
      <c r="U23" s="1575">
        <f>H23</f>
        <v>100</v>
      </c>
      <c r="V23" s="1574" t="s">
        <v>8</v>
      </c>
      <c r="W23" s="1575">
        <f>J23</f>
        <v>100</v>
      </c>
      <c r="X23" s="1568"/>
      <c r="Y23" s="337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70"/>
      <c r="Q24" s="1573"/>
      <c r="R24" s="1574"/>
      <c r="S24" s="1575"/>
      <c r="T24" s="1574"/>
      <c r="U24" s="1575"/>
      <c r="V24" s="1574"/>
      <c r="W24" s="1575"/>
      <c r="X24" s="1568"/>
      <c r="Y24" s="337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70"/>
      <c r="Q25" s="1573" t="str">
        <f>B25</f>
        <v>毗邻道路的类型与等级</v>
      </c>
      <c r="R25" s="1574" t="s">
        <v>8</v>
      </c>
      <c r="S25" s="1575">
        <f>F25</f>
        <v>100</v>
      </c>
      <c r="T25" s="1574" t="s">
        <v>8</v>
      </c>
      <c r="U25" s="1575">
        <f>H25</f>
        <v>100</v>
      </c>
      <c r="V25" s="1574" t="s">
        <v>8</v>
      </c>
      <c r="W25" s="1575">
        <f>J25</f>
        <v>100</v>
      </c>
      <c r="X25" s="1568"/>
      <c r="Y25" s="337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70"/>
      <c r="Q26" s="1573"/>
      <c r="R26" s="1574"/>
      <c r="S26" s="1575"/>
      <c r="T26" s="1574"/>
      <c r="U26" s="1575"/>
      <c r="V26" s="1574"/>
      <c r="W26" s="1575"/>
      <c r="X26" s="1568"/>
      <c r="Y26" s="337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70"/>
      <c r="Q27" s="1573" t="str">
        <f t="shared" ref="Q27:Q47" si="11">B27</f>
        <v>楼层</v>
      </c>
      <c r="R27" s="1574" t="s">
        <v>8</v>
      </c>
      <c r="S27" s="1575">
        <f>F27</f>
        <v>100</v>
      </c>
      <c r="T27" s="1574" t="s">
        <v>8</v>
      </c>
      <c r="U27" s="1575">
        <f>H27</f>
        <v>100</v>
      </c>
      <c r="V27" s="1574" t="s">
        <v>8</v>
      </c>
      <c r="W27" s="1575">
        <f>J27</f>
        <v>100</v>
      </c>
      <c r="X27" s="1568"/>
      <c r="Y27" s="337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70"/>
      <c r="Q28" s="1151" t="str">
        <f t="shared" si="11"/>
        <v>朝向</v>
      </c>
      <c r="R28" s="1569" t="s">
        <v>8</v>
      </c>
      <c r="S28" s="1570">
        <f>F28</f>
        <v>100</v>
      </c>
      <c r="T28" s="1569" t="s">
        <v>8</v>
      </c>
      <c r="U28" s="1570">
        <f>H28</f>
        <v>100</v>
      </c>
      <c r="V28" s="1569" t="s">
        <v>8</v>
      </c>
      <c r="W28" s="1570">
        <f>J28</f>
        <v>100</v>
      </c>
      <c r="X28" s="1571"/>
      <c r="Y28" s="337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70"/>
      <c r="Q29" s="1573">
        <f t="shared" si="11"/>
        <v>111</v>
      </c>
      <c r="R29" s="1574" t="s">
        <v>8</v>
      </c>
      <c r="S29" s="1575">
        <f t="shared" ref="S29:S47" si="12">F29</f>
        <v>100</v>
      </c>
      <c r="T29" s="1574" t="s">
        <v>8</v>
      </c>
      <c r="U29" s="1575">
        <f t="shared" ref="U29:U47" si="13">H29</f>
        <v>100</v>
      </c>
      <c r="V29" s="1574" t="s">
        <v>8</v>
      </c>
      <c r="W29" s="1575">
        <f t="shared" ref="W29:W47" si="14">J29</f>
        <v>100</v>
      </c>
      <c r="X29" s="1568"/>
      <c r="Y29" s="337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70"/>
      <c r="Q30" s="1573">
        <f t="shared" si="11"/>
        <v>111</v>
      </c>
      <c r="R30" s="1574" t="s">
        <v>8</v>
      </c>
      <c r="S30" s="1575">
        <f t="shared" si="12"/>
        <v>100</v>
      </c>
      <c r="T30" s="1574" t="s">
        <v>8</v>
      </c>
      <c r="U30" s="1575">
        <f t="shared" si="13"/>
        <v>100</v>
      </c>
      <c r="V30" s="1574" t="s">
        <v>8</v>
      </c>
      <c r="W30" s="1575">
        <f t="shared" si="14"/>
        <v>100</v>
      </c>
      <c r="X30" s="1568"/>
      <c r="Y30" s="337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70"/>
      <c r="Q31" s="1573">
        <f t="shared" si="11"/>
        <v>111</v>
      </c>
      <c r="R31" s="1574" t="s">
        <v>8</v>
      </c>
      <c r="S31" s="1575">
        <f t="shared" si="12"/>
        <v>100</v>
      </c>
      <c r="T31" s="1574" t="s">
        <v>8</v>
      </c>
      <c r="U31" s="1575">
        <f t="shared" si="13"/>
        <v>100</v>
      </c>
      <c r="V31" s="1574" t="s">
        <v>8</v>
      </c>
      <c r="W31" s="1575">
        <f t="shared" si="14"/>
        <v>100</v>
      </c>
      <c r="X31" s="1568"/>
      <c r="Y31" s="337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70"/>
      <c r="Q32" s="1573">
        <f t="shared" si="11"/>
        <v>111</v>
      </c>
      <c r="R32" s="1574" t="s">
        <v>8</v>
      </c>
      <c r="S32" s="1575">
        <f t="shared" si="12"/>
        <v>100</v>
      </c>
      <c r="T32" s="1574" t="s">
        <v>8</v>
      </c>
      <c r="U32" s="1575">
        <f t="shared" si="13"/>
        <v>100</v>
      </c>
      <c r="V32" s="1574" t="s">
        <v>8</v>
      </c>
      <c r="W32" s="1575">
        <f t="shared" si="14"/>
        <v>100</v>
      </c>
      <c r="X32" s="1568"/>
      <c r="Y32" s="3370"/>
      <c r="Z32" s="1576">
        <f t="shared" si="15"/>
        <v>111</v>
      </c>
      <c r="AA32" s="1577">
        <f t="shared" si="3"/>
        <v>1</v>
      </c>
      <c r="AB32" s="1577">
        <f t="shared" si="4"/>
        <v>1</v>
      </c>
      <c r="AC32" s="1577">
        <f t="shared" si="5"/>
        <v>1</v>
      </c>
    </row>
    <row r="33" spans="1:29" ht="15">
      <c r="A33" s="2935" t="s">
        <v>2763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71" t="s">
        <v>550</v>
      </c>
      <c r="Q33" s="1573" t="str">
        <f t="shared" si="11"/>
        <v>建筑类型</v>
      </c>
      <c r="R33" s="1574" t="s">
        <v>8</v>
      </c>
      <c r="S33" s="1575">
        <f t="shared" si="12"/>
        <v>100</v>
      </c>
      <c r="T33" s="1574" t="s">
        <v>8</v>
      </c>
      <c r="U33" s="1575">
        <f t="shared" si="13"/>
        <v>100</v>
      </c>
      <c r="V33" s="1574" t="s">
        <v>8</v>
      </c>
      <c r="W33" s="1575">
        <f t="shared" si="14"/>
        <v>100</v>
      </c>
      <c r="X33" s="1568"/>
      <c r="Y33" s="337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72"/>
      <c r="Q34" s="1606" t="str">
        <f t="shared" si="11"/>
        <v>项目建筑规模</v>
      </c>
      <c r="R34" s="1578" t="s">
        <v>8</v>
      </c>
      <c r="S34" s="1579" t="e">
        <f t="shared" si="12"/>
        <v>#N/A</v>
      </c>
      <c r="T34" s="1578" t="s">
        <v>8</v>
      </c>
      <c r="U34" s="1579" t="e">
        <f t="shared" si="13"/>
        <v>#N/A</v>
      </c>
      <c r="V34" s="1578" t="s">
        <v>8</v>
      </c>
      <c r="W34" s="1579" t="e">
        <f t="shared" si="14"/>
        <v>#N/A</v>
      </c>
      <c r="X34" s="1580"/>
      <c r="Y34" s="337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72"/>
      <c r="Q35" s="1573" t="str">
        <f t="shared" si="11"/>
        <v>建筑结构</v>
      </c>
      <c r="R35" s="1574" t="s">
        <v>8</v>
      </c>
      <c r="S35" s="1575">
        <f t="shared" si="12"/>
        <v>100</v>
      </c>
      <c r="T35" s="1574" t="s">
        <v>8</v>
      </c>
      <c r="U35" s="1575">
        <f t="shared" si="13"/>
        <v>100</v>
      </c>
      <c r="V35" s="1574" t="s">
        <v>8</v>
      </c>
      <c r="W35" s="1575">
        <f t="shared" si="14"/>
        <v>100</v>
      </c>
      <c r="X35" s="1568"/>
      <c r="Y35" s="337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72"/>
      <c r="Q36" s="1573" t="str">
        <f t="shared" si="11"/>
        <v>公共部分装修</v>
      </c>
      <c r="R36" s="1574" t="s">
        <v>8</v>
      </c>
      <c r="S36" s="1575">
        <f t="shared" si="12"/>
        <v>100</v>
      </c>
      <c r="T36" s="1574" t="s">
        <v>8</v>
      </c>
      <c r="U36" s="1575">
        <f t="shared" si="13"/>
        <v>100</v>
      </c>
      <c r="V36" s="1574" t="s">
        <v>8</v>
      </c>
      <c r="W36" s="1575">
        <f t="shared" si="14"/>
        <v>100</v>
      </c>
      <c r="X36" s="1568"/>
      <c r="Y36" s="337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72"/>
      <c r="Q37" s="1573" t="str">
        <f t="shared" si="11"/>
        <v>成新度</v>
      </c>
      <c r="R37" s="1574" t="s">
        <v>8</v>
      </c>
      <c r="S37" s="1575" t="e">
        <f t="shared" si="12"/>
        <v>#N/A</v>
      </c>
      <c r="T37" s="1574" t="s">
        <v>8</v>
      </c>
      <c r="U37" s="1575" t="e">
        <f t="shared" si="13"/>
        <v>#N/A</v>
      </c>
      <c r="V37" s="1574" t="s">
        <v>8</v>
      </c>
      <c r="W37" s="1575" t="e">
        <f t="shared" si="14"/>
        <v>#N/A</v>
      </c>
      <c r="X37" s="1568"/>
      <c r="Y37" s="337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72"/>
      <c r="Q38" s="1151" t="str">
        <f t="shared" si="11"/>
        <v>写字楼等级</v>
      </c>
      <c r="R38" s="1569" t="s">
        <v>8</v>
      </c>
      <c r="S38" s="1570">
        <f t="shared" si="12"/>
        <v>100</v>
      </c>
      <c r="T38" s="1569" t="s">
        <v>8</v>
      </c>
      <c r="U38" s="1570">
        <f t="shared" si="13"/>
        <v>100</v>
      </c>
      <c r="V38" s="1569" t="s">
        <v>8</v>
      </c>
      <c r="W38" s="1570">
        <f t="shared" si="14"/>
        <v>100</v>
      </c>
      <c r="X38" s="1571"/>
      <c r="Y38" s="337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72" t="s">
        <v>550</v>
      </c>
      <c r="Q39" s="1573" t="str">
        <f t="shared" si="11"/>
        <v>物业管理</v>
      </c>
      <c r="R39" s="1574" t="s">
        <v>8</v>
      </c>
      <c r="S39" s="1575">
        <f t="shared" si="12"/>
        <v>100</v>
      </c>
      <c r="T39" s="1574" t="s">
        <v>8</v>
      </c>
      <c r="U39" s="1575">
        <f t="shared" si="13"/>
        <v>100</v>
      </c>
      <c r="V39" s="1574" t="s">
        <v>8</v>
      </c>
      <c r="W39" s="1575">
        <f t="shared" si="14"/>
        <v>100</v>
      </c>
      <c r="X39" s="1568"/>
      <c r="Y39" s="3372" t="s">
        <v>550</v>
      </c>
      <c r="Z39" s="1576" t="str">
        <f t="shared" si="15"/>
        <v>物业管理</v>
      </c>
      <c r="AA39" s="1577">
        <f t="shared" si="3"/>
        <v>1</v>
      </c>
      <c r="AB39" s="1577">
        <f t="shared" si="4"/>
        <v>1</v>
      </c>
      <c r="AC39" s="1577">
        <f t="shared" si="5"/>
        <v>1</v>
      </c>
    </row>
    <row r="40" spans="1:29" ht="15">
      <c r="A40" s="594"/>
      <c r="B40" s="1897" t="s">
        <v>2571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72"/>
      <c r="Q40" s="1573" t="str">
        <f t="shared" si="11"/>
        <v>市政基础设施</v>
      </c>
      <c r="R40" s="1574" t="s">
        <v>8</v>
      </c>
      <c r="S40" s="1575">
        <f t="shared" si="12"/>
        <v>100</v>
      </c>
      <c r="T40" s="1574" t="s">
        <v>8</v>
      </c>
      <c r="U40" s="1575">
        <f t="shared" si="13"/>
        <v>100</v>
      </c>
      <c r="V40" s="1574" t="s">
        <v>8</v>
      </c>
      <c r="W40" s="1575">
        <f t="shared" si="14"/>
        <v>100</v>
      </c>
      <c r="X40" s="1568"/>
      <c r="Y40" s="337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72"/>
      <c r="Q41" s="1573" t="str">
        <f t="shared" si="11"/>
        <v>层高</v>
      </c>
      <c r="R41" s="1574" t="s">
        <v>8</v>
      </c>
      <c r="S41" s="1575">
        <f t="shared" si="12"/>
        <v>100</v>
      </c>
      <c r="T41" s="1574" t="s">
        <v>8</v>
      </c>
      <c r="U41" s="1575">
        <f t="shared" si="13"/>
        <v>100</v>
      </c>
      <c r="V41" s="1574" t="s">
        <v>8</v>
      </c>
      <c r="W41" s="1575">
        <f t="shared" si="14"/>
        <v>100</v>
      </c>
      <c r="X41" s="1568"/>
      <c r="Y41" s="337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72"/>
      <c r="Q42" s="1606" t="str">
        <f t="shared" si="11"/>
        <v>单套建筑面积</v>
      </c>
      <c r="R42" s="1578" t="s">
        <v>8</v>
      </c>
      <c r="S42" s="1579">
        <f t="shared" si="12"/>
        <v>100</v>
      </c>
      <c r="T42" s="1578" t="s">
        <v>8</v>
      </c>
      <c r="U42" s="1579">
        <f t="shared" si="13"/>
        <v>100</v>
      </c>
      <c r="V42" s="1578" t="s">
        <v>8</v>
      </c>
      <c r="W42" s="1579">
        <f t="shared" si="14"/>
        <v>100</v>
      </c>
      <c r="X42" s="1580"/>
      <c r="Y42" s="337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72"/>
      <c r="Q43" s="1573" t="str">
        <f t="shared" si="11"/>
        <v>内部装修</v>
      </c>
      <c r="R43" s="1574" t="s">
        <v>8</v>
      </c>
      <c r="S43" s="1575">
        <f t="shared" si="12"/>
        <v>100</v>
      </c>
      <c r="T43" s="1574" t="s">
        <v>8</v>
      </c>
      <c r="U43" s="1575">
        <f t="shared" si="13"/>
        <v>100</v>
      </c>
      <c r="V43" s="1574" t="s">
        <v>8</v>
      </c>
      <c r="W43" s="1575">
        <f t="shared" si="14"/>
        <v>100</v>
      </c>
      <c r="X43" s="1568"/>
      <c r="Y43" s="337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72"/>
      <c r="Q44" s="1573" t="str">
        <f t="shared" si="11"/>
        <v>内部装修维护情况</v>
      </c>
      <c r="R44" s="1574" t="s">
        <v>8</v>
      </c>
      <c r="S44" s="1575">
        <f t="shared" si="12"/>
        <v>100</v>
      </c>
      <c r="T44" s="1574" t="s">
        <v>8</v>
      </c>
      <c r="U44" s="1575">
        <f t="shared" si="13"/>
        <v>100</v>
      </c>
      <c r="V44" s="1574" t="s">
        <v>8</v>
      </c>
      <c r="W44" s="1575">
        <f t="shared" si="14"/>
        <v>100</v>
      </c>
      <c r="X44" s="1568"/>
      <c r="Y44" s="337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72"/>
      <c r="Q45" s="1151">
        <f t="shared" si="11"/>
        <v>111</v>
      </c>
      <c r="R45" s="1569" t="s">
        <v>8</v>
      </c>
      <c r="S45" s="1570">
        <f t="shared" si="12"/>
        <v>100</v>
      </c>
      <c r="T45" s="1569" t="s">
        <v>8</v>
      </c>
      <c r="U45" s="1570">
        <f t="shared" si="13"/>
        <v>100</v>
      </c>
      <c r="V45" s="1569" t="s">
        <v>8</v>
      </c>
      <c r="W45" s="1570">
        <f t="shared" si="14"/>
        <v>100</v>
      </c>
      <c r="X45" s="1571"/>
      <c r="Y45" s="337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72"/>
      <c r="Q46" s="1573">
        <f t="shared" si="11"/>
        <v>111</v>
      </c>
      <c r="R46" s="1574" t="s">
        <v>8</v>
      </c>
      <c r="S46" s="1575">
        <f t="shared" si="12"/>
        <v>100</v>
      </c>
      <c r="T46" s="1574" t="s">
        <v>8</v>
      </c>
      <c r="U46" s="1575">
        <f t="shared" si="13"/>
        <v>100</v>
      </c>
      <c r="V46" s="1574" t="s">
        <v>8</v>
      </c>
      <c r="W46" s="1575">
        <f t="shared" si="14"/>
        <v>100</v>
      </c>
      <c r="X46" s="1568"/>
      <c r="Y46" s="337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0"/>
      <c r="Q47" s="1573">
        <f t="shared" si="11"/>
        <v>111</v>
      </c>
      <c r="R47" s="1574" t="s">
        <v>8</v>
      </c>
      <c r="S47" s="1575">
        <f t="shared" si="12"/>
        <v>100</v>
      </c>
      <c r="T47" s="1574" t="s">
        <v>8</v>
      </c>
      <c r="U47" s="1575">
        <f t="shared" si="13"/>
        <v>100</v>
      </c>
      <c r="V47" s="1574" t="s">
        <v>8</v>
      </c>
      <c r="W47" s="1575">
        <f t="shared" si="14"/>
        <v>100</v>
      </c>
      <c r="X47" s="1568"/>
      <c r="Y47" s="3470"/>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390" t="str">
        <f>A48</f>
        <v>成交单价（元/平方米）</v>
      </c>
      <c r="Q48" s="3367"/>
      <c r="R48" s="3469">
        <f>E48</f>
        <v>0</v>
      </c>
      <c r="S48" s="3469"/>
      <c r="T48" s="3469">
        <f>G48</f>
        <v>0</v>
      </c>
      <c r="U48" s="3469"/>
      <c r="V48" s="3469">
        <f>I48</f>
        <v>0</v>
      </c>
      <c r="W48" s="3469"/>
      <c r="X48" s="1560"/>
      <c r="Y48" s="1582"/>
      <c r="Z48" s="1560"/>
      <c r="AA48" s="1560"/>
      <c r="AB48" s="1560"/>
      <c r="AC48" s="1560"/>
    </row>
    <row r="49" spans="1:29" ht="15.75" thickBot="1">
      <c r="A49" s="615" t="s">
        <v>2768</v>
      </c>
      <c r="B49" s="888"/>
      <c r="C49" s="2659" t="e">
        <f>R50</f>
        <v>#DIV/0!</v>
      </c>
      <c r="D49" s="2660"/>
      <c r="E49" s="2661" t="e">
        <f>R49</f>
        <v>#DIV/0!</v>
      </c>
      <c r="F49" s="2661"/>
      <c r="G49" s="2659" t="e">
        <f>T49</f>
        <v>#DIV/0!</v>
      </c>
      <c r="H49" s="2660"/>
      <c r="I49" s="2661" t="e">
        <f>V49</f>
        <v>#DIV/0!</v>
      </c>
      <c r="J49" s="2660"/>
      <c r="K49" s="1613"/>
      <c r="L49" s="2146"/>
      <c r="M49" s="2136"/>
      <c r="N49" s="2136"/>
      <c r="O49" s="2136"/>
      <c r="P49" s="3390" t="str">
        <f>A49</f>
        <v>比较价格（元/平方米）</v>
      </c>
      <c r="Q49" s="3367"/>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60"/>
      <c r="Y49" s="1560"/>
      <c r="Z49" s="1560"/>
      <c r="AA49" s="1560"/>
      <c r="AB49" s="1560"/>
      <c r="AC49" s="1560"/>
    </row>
    <row r="50" spans="1:29" ht="15.75" thickBot="1">
      <c r="A50" s="621" t="s">
        <v>2945</v>
      </c>
      <c r="B50" s="622"/>
      <c r="C50" s="2662" t="e">
        <f>R50</f>
        <v>#DIV/0!</v>
      </c>
      <c r="D50" s="2662"/>
      <c r="E50" s="2662"/>
      <c r="F50" s="2662"/>
      <c r="G50" s="2662"/>
      <c r="H50" s="2662"/>
      <c r="I50" s="2662"/>
      <c r="J50" s="2662"/>
      <c r="K50" s="1614"/>
      <c r="L50" s="2146"/>
      <c r="M50" s="2136"/>
      <c r="N50" s="2136"/>
      <c r="O50" s="2136"/>
      <c r="P50" s="3474" t="str">
        <f>A50</f>
        <v>估价对象XX用房的比较价格（楼面单价，元/平方米）</v>
      </c>
      <c r="Q50" s="3390"/>
      <c r="R50" s="3468" t="e">
        <f>IF(F1="售价",ROUND(AVERAGE(R49:V49),0),ROUND(AVERAGE(R49:V49),1))</f>
        <v>#DIV/0!</v>
      </c>
      <c r="S50" s="3468"/>
      <c r="T50" s="3468"/>
      <c r="U50" s="3468"/>
      <c r="V50" s="3468"/>
      <c r="W50" s="346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30" t="str">
        <f>YEAR(C7)&amp;"-"&amp;MONTH(C7)</f>
        <v>2017-12</v>
      </c>
      <c r="D59" s="2832">
        <f>EDATE(C59,-1)</f>
        <v>43040</v>
      </c>
      <c r="E59" s="2832">
        <f t="shared" ref="E59:O59" si="16">EDATE(D59,-1)</f>
        <v>43009</v>
      </c>
      <c r="F59" s="2832">
        <f t="shared" si="16"/>
        <v>42979</v>
      </c>
      <c r="G59" s="2832">
        <f t="shared" si="16"/>
        <v>42948</v>
      </c>
      <c r="H59" s="2832">
        <f t="shared" si="16"/>
        <v>42917</v>
      </c>
      <c r="I59" s="2832">
        <f t="shared" si="16"/>
        <v>42887</v>
      </c>
      <c r="J59" s="2832">
        <f t="shared" si="16"/>
        <v>42856</v>
      </c>
      <c r="K59" s="2832">
        <f t="shared" si="16"/>
        <v>42826</v>
      </c>
      <c r="L59" s="2832">
        <f t="shared" si="16"/>
        <v>42795</v>
      </c>
      <c r="M59" s="2832">
        <f t="shared" si="16"/>
        <v>42767</v>
      </c>
      <c r="N59" s="2832">
        <f t="shared" si="16"/>
        <v>42736</v>
      </c>
      <c r="O59" s="2832">
        <f t="shared" si="16"/>
        <v>42705</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2563</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2564</v>
      </c>
      <c r="C83" s="2624" t="s">
        <v>2565</v>
      </c>
      <c r="D83" s="2624" t="s">
        <v>2566</v>
      </c>
      <c r="E83" s="2624" t="s">
        <v>2567</v>
      </c>
      <c r="F83" s="2624" t="s">
        <v>2568</v>
      </c>
      <c r="G83" s="2624" t="s">
        <v>2569</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2562</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73" t="s">
        <v>522</v>
      </c>
      <c r="D4" s="3374"/>
      <c r="E4" s="3398" t="s">
        <v>523</v>
      </c>
      <c r="F4" s="3399"/>
      <c r="G4" s="3373" t="s">
        <v>524</v>
      </c>
      <c r="H4" s="3374"/>
      <c r="I4" s="3373" t="s">
        <v>525</v>
      </c>
      <c r="J4" s="3374"/>
      <c r="K4" s="514" t="s">
        <v>526</v>
      </c>
      <c r="L4" s="2135"/>
      <c r="M4" s="2136"/>
      <c r="N4" s="2136"/>
      <c r="O4" s="2136"/>
      <c r="P4" s="3375" t="s">
        <v>527</v>
      </c>
      <c r="Q4" s="3376"/>
      <c r="R4" s="3361" t="s">
        <v>523</v>
      </c>
      <c r="S4" s="3362"/>
      <c r="T4" s="3361" t="s">
        <v>524</v>
      </c>
      <c r="U4" s="3362"/>
      <c r="V4" s="3381" t="s">
        <v>525</v>
      </c>
      <c r="W4" s="3381"/>
      <c r="X4" s="1568"/>
      <c r="Y4" s="3361" t="s">
        <v>527</v>
      </c>
      <c r="Z4" s="3362"/>
      <c r="AA4" s="3356" t="s">
        <v>523</v>
      </c>
      <c r="AB4" s="3357" t="s">
        <v>524</v>
      </c>
      <c r="AC4" s="3356" t="s">
        <v>525</v>
      </c>
    </row>
    <row r="5" spans="1:29" ht="15">
      <c r="A5" s="515"/>
      <c r="B5" s="516"/>
      <c r="C5" s="3384" t="s">
        <v>2939</v>
      </c>
      <c r="D5" s="3385"/>
      <c r="E5" s="3400" t="s">
        <v>2940</v>
      </c>
      <c r="F5" s="3401"/>
      <c r="G5" s="3384" t="s">
        <v>2941</v>
      </c>
      <c r="H5" s="3385"/>
      <c r="I5" s="3384" t="s">
        <v>2942</v>
      </c>
      <c r="J5" s="3385"/>
      <c r="K5" s="514"/>
      <c r="L5" s="2135"/>
      <c r="M5" s="2136"/>
      <c r="N5" s="2136"/>
      <c r="O5" s="2136"/>
      <c r="P5" s="3377"/>
      <c r="Q5" s="3378"/>
      <c r="R5" s="3363"/>
      <c r="S5" s="3364"/>
      <c r="T5" s="3363"/>
      <c r="U5" s="3364"/>
      <c r="V5" s="3381"/>
      <c r="W5" s="3381"/>
      <c r="X5" s="1568"/>
      <c r="Y5" s="3363"/>
      <c r="Z5" s="3364"/>
      <c r="AA5" s="3357"/>
      <c r="AB5" s="3357"/>
      <c r="AC5" s="3357"/>
    </row>
    <row r="6" spans="1:29" ht="15.75" thickBot="1">
      <c r="A6" s="517"/>
      <c r="B6" s="518"/>
      <c r="C6" s="3402" t="s">
        <v>2943</v>
      </c>
      <c r="D6" s="3383"/>
      <c r="E6" s="3403" t="s">
        <v>2943</v>
      </c>
      <c r="F6" s="3404"/>
      <c r="G6" s="3402" t="s">
        <v>2943</v>
      </c>
      <c r="H6" s="3383"/>
      <c r="I6" s="3402" t="s">
        <v>2943</v>
      </c>
      <c r="J6" s="3383"/>
      <c r="K6" s="514" t="s">
        <v>528</v>
      </c>
      <c r="L6" s="2135"/>
      <c r="M6" s="2136"/>
      <c r="N6" s="2136"/>
      <c r="O6" s="2136"/>
      <c r="P6" s="3379"/>
      <c r="Q6" s="3380"/>
      <c r="R6" s="3363"/>
      <c r="S6" s="3364"/>
      <c r="T6" s="3365"/>
      <c r="U6" s="3366"/>
      <c r="V6" s="3381"/>
      <c r="W6" s="3381"/>
      <c r="X6" s="1568"/>
      <c r="Y6" s="3365"/>
      <c r="Z6" s="3366"/>
      <c r="AA6" s="3358"/>
      <c r="AB6" s="3358"/>
      <c r="AC6" s="3358"/>
    </row>
    <row r="7" spans="1:29" s="1220" customFormat="1" ht="15.75" thickBot="1">
      <c r="A7" s="2940"/>
      <c r="B7" s="2947" t="s">
        <v>529</v>
      </c>
      <c r="C7" s="519">
        <f>'数据-取费表'!B2</f>
        <v>43077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59" t="s">
        <v>530</v>
      </c>
      <c r="Q7" s="3368"/>
      <c r="R7" s="1569" t="s">
        <v>8</v>
      </c>
      <c r="S7" s="1570">
        <f t="shared" ref="S7:S15" si="0">F7</f>
        <v>0</v>
      </c>
      <c r="T7" s="1569" t="s">
        <v>8</v>
      </c>
      <c r="U7" s="1570">
        <f t="shared" ref="U7:U15" si="1">H7</f>
        <v>0</v>
      </c>
      <c r="V7" s="1569" t="s">
        <v>8</v>
      </c>
      <c r="W7" s="1570">
        <f t="shared" ref="W7:W15" si="2">J7</f>
        <v>0</v>
      </c>
      <c r="X7" s="1571"/>
      <c r="Y7" s="3359" t="s">
        <v>530</v>
      </c>
      <c r="Z7" s="3360"/>
      <c r="AA7" s="1572" t="e">
        <f>D7/F7</f>
        <v>#DIV/0!</v>
      </c>
      <c r="AB7" s="1572" t="e">
        <f>D7/H7</f>
        <v>#DIV/0!</v>
      </c>
      <c r="AC7" s="1572" t="e">
        <f>D7/J7</f>
        <v>#DIV/0!</v>
      </c>
    </row>
    <row r="8" spans="1:29" s="1220" customFormat="1" ht="15.75" thickBot="1">
      <c r="A8" s="2941"/>
      <c r="B8" s="2948"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59" t="s">
        <v>533</v>
      </c>
      <c r="Q8" s="3360"/>
      <c r="R8" s="1569" t="s">
        <v>8</v>
      </c>
      <c r="S8" s="1570">
        <f t="shared" si="0"/>
        <v>0</v>
      </c>
      <c r="T8" s="1569" t="s">
        <v>8</v>
      </c>
      <c r="U8" s="1570">
        <f t="shared" si="1"/>
        <v>0</v>
      </c>
      <c r="V8" s="1569" t="s">
        <v>8</v>
      </c>
      <c r="W8" s="1570">
        <f t="shared" si="2"/>
        <v>0</v>
      </c>
      <c r="X8" s="1571"/>
      <c r="Y8" s="3359" t="s">
        <v>533</v>
      </c>
      <c r="Z8" s="3360"/>
      <c r="AA8" s="1572" t="e">
        <f t="shared" ref="AA8:AA40" si="3">D8/F8</f>
        <v>#DIV/0!</v>
      </c>
      <c r="AB8" s="1572" t="e">
        <f t="shared" ref="AB8:AB40" si="4">D8/H8</f>
        <v>#DIV/0!</v>
      </c>
      <c r="AC8" s="1572" t="e">
        <f t="shared" ref="AC8:AC40" si="5">D8/J8</f>
        <v>#DIV/0!</v>
      </c>
    </row>
    <row r="9" spans="1:29" s="1220" customFormat="1" ht="15">
      <c r="A9" s="2942"/>
      <c r="B9" s="2949" t="s">
        <v>2764</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67" t="s">
        <v>535</v>
      </c>
      <c r="Q9" s="1151" t="str">
        <f t="shared" ref="Q9:Q15" si="6">B9</f>
        <v>用途</v>
      </c>
      <c r="R9" s="1569" t="s">
        <v>8</v>
      </c>
      <c r="S9" s="1570">
        <f t="shared" si="0"/>
        <v>100</v>
      </c>
      <c r="T9" s="1569" t="s">
        <v>8</v>
      </c>
      <c r="U9" s="1570">
        <f t="shared" si="1"/>
        <v>100</v>
      </c>
      <c r="V9" s="1569" t="s">
        <v>8</v>
      </c>
      <c r="W9" s="1570">
        <f t="shared" si="2"/>
        <v>100</v>
      </c>
      <c r="X9" s="1571"/>
      <c r="Y9" s="3324" t="s">
        <v>536</v>
      </c>
      <c r="Z9" s="1150" t="str">
        <f t="shared" ref="Z9:Z15" si="7">Q9</f>
        <v>用途</v>
      </c>
      <c r="AA9" s="1572">
        <f t="shared" si="3"/>
        <v>1</v>
      </c>
      <c r="AB9" s="1572">
        <f t="shared" si="4"/>
        <v>1</v>
      </c>
      <c r="AC9" s="1572">
        <f t="shared" si="5"/>
        <v>1</v>
      </c>
    </row>
    <row r="10" spans="1:29" s="1338" customFormat="1" ht="27">
      <c r="A10" s="2943"/>
      <c r="B10" s="2948" t="s">
        <v>2765</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44"/>
      <c r="B11" s="2948" t="s">
        <v>2766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67"/>
      <c r="Q11" s="1151" t="str">
        <f t="shared" si="6"/>
        <v>容积率</v>
      </c>
      <c r="R11" s="1569" t="s">
        <v>8</v>
      </c>
      <c r="S11" s="1570" t="e">
        <f t="shared" si="0"/>
        <v>#N/A</v>
      </c>
      <c r="T11" s="1569" t="s">
        <v>8</v>
      </c>
      <c r="U11" s="1570" t="e">
        <f t="shared" si="1"/>
        <v>#N/A</v>
      </c>
      <c r="V11" s="1569" t="s">
        <v>8</v>
      </c>
      <c r="W11" s="1570" t="e">
        <f t="shared" si="2"/>
        <v>#N/A</v>
      </c>
      <c r="X11" s="1571"/>
      <c r="Y11" s="3324"/>
      <c r="Z11" s="1150" t="str">
        <f t="shared" si="7"/>
        <v>容积率</v>
      </c>
      <c r="AA11" s="1572" t="e">
        <f t="shared" si="3"/>
        <v>#N/A</v>
      </c>
      <c r="AB11" s="1572" t="e">
        <f t="shared" si="4"/>
        <v>#N/A</v>
      </c>
      <c r="AC11" s="1572" t="e">
        <f t="shared" si="5"/>
        <v>#N/A</v>
      </c>
    </row>
    <row r="12" spans="1:29" s="1220" customFormat="1" ht="15">
      <c r="A12" s="2945"/>
      <c r="B12" s="2951">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
      <c r="A13" s="2945"/>
      <c r="B13" s="2951">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15.75" thickBot="1">
      <c r="A14" s="2946"/>
      <c r="B14" s="2952">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67"/>
      <c r="Q14" s="1151">
        <f t="shared" si="6"/>
        <v>111</v>
      </c>
      <c r="R14" s="1569" t="s">
        <v>8</v>
      </c>
      <c r="S14" s="1570">
        <f t="shared" si="0"/>
        <v>100</v>
      </c>
      <c r="T14" s="1569" t="s">
        <v>8</v>
      </c>
      <c r="U14" s="1570">
        <f t="shared" si="1"/>
        <v>100</v>
      </c>
      <c r="V14" s="1569" t="s">
        <v>8</v>
      </c>
      <c r="W14" s="1570">
        <f t="shared" si="2"/>
        <v>100</v>
      </c>
      <c r="X14" s="1571"/>
      <c r="Y14" s="3324"/>
      <c r="Z14" s="1150">
        <f t="shared" si="7"/>
        <v>111</v>
      </c>
      <c r="AA14" s="1572">
        <f t="shared" si="3"/>
        <v>1</v>
      </c>
      <c r="AB14" s="1572">
        <f t="shared" si="4"/>
        <v>1</v>
      </c>
      <c r="AC14" s="1572">
        <f t="shared" si="5"/>
        <v>1</v>
      </c>
    </row>
    <row r="15" spans="1:29" ht="57">
      <c r="A15" s="2938" t="s">
        <v>2762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69" t="s">
        <v>540</v>
      </c>
      <c r="Q15" s="1573" t="str">
        <f t="shared" si="6"/>
        <v>产业集聚程度</v>
      </c>
      <c r="R15" s="1574" t="s">
        <v>8</v>
      </c>
      <c r="S15" s="1575">
        <f t="shared" si="0"/>
        <v>100</v>
      </c>
      <c r="T15" s="1574" t="s">
        <v>8</v>
      </c>
      <c r="U15" s="1575">
        <f t="shared" si="1"/>
        <v>100</v>
      </c>
      <c r="V15" s="1574" t="s">
        <v>8</v>
      </c>
      <c r="W15" s="1575">
        <f t="shared" si="2"/>
        <v>100</v>
      </c>
      <c r="X15" s="1568"/>
      <c r="Y15" s="336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70"/>
      <c r="Q16" s="1573"/>
      <c r="R16" s="1574"/>
      <c r="S16" s="1575"/>
      <c r="T16" s="1574"/>
      <c r="U16" s="1575"/>
      <c r="V16" s="1574"/>
      <c r="W16" s="1575"/>
      <c r="X16" s="1568"/>
      <c r="Y16" s="337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70"/>
      <c r="Q17" s="1573" t="str">
        <f>B17</f>
        <v>交通便捷度</v>
      </c>
      <c r="R17" s="1574" t="s">
        <v>8</v>
      </c>
      <c r="S17" s="1575">
        <f>F17</f>
        <v>100</v>
      </c>
      <c r="T17" s="1574" t="s">
        <v>8</v>
      </c>
      <c r="U17" s="1575">
        <f>H17</f>
        <v>100</v>
      </c>
      <c r="V17" s="1574" t="s">
        <v>8</v>
      </c>
      <c r="W17" s="1575">
        <f>J17</f>
        <v>100</v>
      </c>
      <c r="X17" s="1568"/>
      <c r="Y17" s="337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70"/>
      <c r="Q18" s="1573"/>
      <c r="R18" s="1574"/>
      <c r="S18" s="1575"/>
      <c r="T18" s="1574"/>
      <c r="U18" s="1575"/>
      <c r="V18" s="1574"/>
      <c r="W18" s="1575"/>
      <c r="X18" s="1568"/>
      <c r="Y18" s="3370"/>
      <c r="Z18" s="1576"/>
      <c r="AA18" s="1577">
        <v>1</v>
      </c>
      <c r="AB18" s="1577">
        <v>1</v>
      </c>
      <c r="AC18" s="1577">
        <v>1</v>
      </c>
    </row>
    <row r="19" spans="1:29" ht="42.75">
      <c r="A19" s="532"/>
      <c r="B19" s="2629" t="s">
        <v>2552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70"/>
      <c r="Q19" s="1573" t="str">
        <f>B19</f>
        <v>公共配套设施</v>
      </c>
      <c r="R19" s="1574" t="s">
        <v>8</v>
      </c>
      <c r="S19" s="1575">
        <f>F19</f>
        <v>100</v>
      </c>
      <c r="T19" s="1574" t="s">
        <v>8</v>
      </c>
      <c r="U19" s="1575">
        <f>H19</f>
        <v>100</v>
      </c>
      <c r="V19" s="1574" t="s">
        <v>8</v>
      </c>
      <c r="W19" s="1575">
        <f>J19</f>
        <v>100</v>
      </c>
      <c r="X19" s="1568"/>
      <c r="Y19" s="337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70"/>
      <c r="Q20" s="1573"/>
      <c r="R20" s="1574"/>
      <c r="S20" s="1575"/>
      <c r="T20" s="1574"/>
      <c r="U20" s="1575"/>
      <c r="V20" s="1574"/>
      <c r="W20" s="1575"/>
      <c r="X20" s="1568"/>
      <c r="Y20" s="3370"/>
      <c r="Z20" s="1576"/>
      <c r="AA20" s="1577">
        <v>1</v>
      </c>
      <c r="AB20" s="1577">
        <v>1</v>
      </c>
      <c r="AC20" s="1577">
        <v>1</v>
      </c>
    </row>
    <row r="21" spans="1:29" ht="28.5">
      <c r="A21" s="532"/>
      <c r="B21" s="2617" t="s">
        <v>2564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70"/>
      <c r="Q21" s="2605" t="str">
        <f>B21</f>
        <v>基础设施水平</v>
      </c>
      <c r="R21" s="1574" t="s">
        <v>8</v>
      </c>
      <c r="S21" s="1575">
        <f>F21</f>
        <v>100</v>
      </c>
      <c r="T21" s="1574" t="s">
        <v>8</v>
      </c>
      <c r="U21" s="1575">
        <f>H21</f>
        <v>100</v>
      </c>
      <c r="V21" s="1574" t="s">
        <v>8</v>
      </c>
      <c r="W21" s="1575">
        <f>J21</f>
        <v>100</v>
      </c>
      <c r="X21" s="2607"/>
      <c r="Y21" s="3370"/>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370"/>
      <c r="Q22" s="2605"/>
      <c r="R22" s="1574"/>
      <c r="S22" s="1575"/>
      <c r="T22" s="1574"/>
      <c r="U22" s="1575"/>
      <c r="V22" s="1574"/>
      <c r="W22" s="1575"/>
      <c r="X22" s="2607"/>
      <c r="Y22" s="3370"/>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70"/>
      <c r="Q23" s="1573" t="str">
        <f>B23</f>
        <v>环境质量</v>
      </c>
      <c r="R23" s="1574" t="s">
        <v>8</v>
      </c>
      <c r="S23" s="1575">
        <f>F23</f>
        <v>100</v>
      </c>
      <c r="T23" s="1574" t="s">
        <v>8</v>
      </c>
      <c r="U23" s="1575">
        <f>H23</f>
        <v>100</v>
      </c>
      <c r="V23" s="1574" t="s">
        <v>8</v>
      </c>
      <c r="W23" s="1575">
        <f>J23</f>
        <v>100</v>
      </c>
      <c r="X23" s="1568"/>
      <c r="Y23" s="337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70"/>
      <c r="Q24" s="1573"/>
      <c r="R24" s="1574"/>
      <c r="S24" s="1575"/>
      <c r="T24" s="1574"/>
      <c r="U24" s="1575"/>
      <c r="V24" s="1574"/>
      <c r="W24" s="1575"/>
      <c r="X24" s="1568"/>
      <c r="Y24" s="337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70"/>
      <c r="Q25" s="1573">
        <f>B25</f>
        <v>111</v>
      </c>
      <c r="R25" s="1574" t="s">
        <v>8</v>
      </c>
      <c r="S25" s="1575">
        <f>F25</f>
        <v>100</v>
      </c>
      <c r="T25" s="1574" t="s">
        <v>8</v>
      </c>
      <c r="U25" s="1575">
        <f>H25</f>
        <v>100</v>
      </c>
      <c r="V25" s="1574" t="s">
        <v>8</v>
      </c>
      <c r="W25" s="1575">
        <f>J25</f>
        <v>100</v>
      </c>
      <c r="X25" s="1568"/>
      <c r="Y25" s="337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70"/>
      <c r="Q26" s="1573">
        <f t="shared" ref="Q26:Q40" si="11">B26</f>
        <v>111</v>
      </c>
      <c r="R26" s="1574" t="s">
        <v>8</v>
      </c>
      <c r="S26" s="1575">
        <f>F26</f>
        <v>100</v>
      </c>
      <c r="T26" s="1574" t="s">
        <v>8</v>
      </c>
      <c r="U26" s="1575">
        <f>H26</f>
        <v>100</v>
      </c>
      <c r="V26" s="1574" t="s">
        <v>8</v>
      </c>
      <c r="W26" s="1575">
        <f>J26</f>
        <v>100</v>
      </c>
      <c r="X26" s="1568"/>
      <c r="Y26" s="337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70"/>
      <c r="Q27" s="1151">
        <f t="shared" si="11"/>
        <v>111</v>
      </c>
      <c r="R27" s="1569" t="s">
        <v>8</v>
      </c>
      <c r="S27" s="1570">
        <f>F27</f>
        <v>100</v>
      </c>
      <c r="T27" s="1569" t="s">
        <v>8</v>
      </c>
      <c r="U27" s="1570">
        <f>H27</f>
        <v>100</v>
      </c>
      <c r="V27" s="1569" t="s">
        <v>8</v>
      </c>
      <c r="W27" s="1570">
        <f>J27</f>
        <v>100</v>
      </c>
      <c r="X27" s="1571"/>
      <c r="Y27" s="337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70"/>
      <c r="Q28" s="1573">
        <f t="shared" si="11"/>
        <v>111</v>
      </c>
      <c r="R28" s="1574" t="s">
        <v>8</v>
      </c>
      <c r="S28" s="1575">
        <f t="shared" ref="S28:S40" si="12">F28</f>
        <v>100</v>
      </c>
      <c r="T28" s="1574" t="s">
        <v>8</v>
      </c>
      <c r="U28" s="1575">
        <f t="shared" ref="U28:U40" si="13">H28</f>
        <v>100</v>
      </c>
      <c r="V28" s="1574" t="s">
        <v>8</v>
      </c>
      <c r="W28" s="1575">
        <f t="shared" ref="W28:W40" si="14">J28</f>
        <v>100</v>
      </c>
      <c r="X28" s="1568"/>
      <c r="Y28" s="3370"/>
      <c r="Z28" s="1576">
        <f t="shared" ref="Z28:Z40" si="15">Q28</f>
        <v>111</v>
      </c>
      <c r="AA28" s="1577">
        <f t="shared" si="3"/>
        <v>1</v>
      </c>
      <c r="AB28" s="1577">
        <f t="shared" si="4"/>
        <v>1</v>
      </c>
      <c r="AC28" s="1577">
        <f t="shared" si="5"/>
        <v>1</v>
      </c>
    </row>
    <row r="29" spans="1:29" ht="15">
      <c r="A29" s="2935" t="s">
        <v>2763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71" t="s">
        <v>550</v>
      </c>
      <c r="Q29" s="1573" t="str">
        <f t="shared" si="11"/>
        <v>建筑类型</v>
      </c>
      <c r="R29" s="1574" t="s">
        <v>8</v>
      </c>
      <c r="S29" s="1575">
        <f t="shared" si="12"/>
        <v>100</v>
      </c>
      <c r="T29" s="1574" t="s">
        <v>8</v>
      </c>
      <c r="U29" s="1575">
        <f t="shared" si="13"/>
        <v>100</v>
      </c>
      <c r="V29" s="1574" t="s">
        <v>8</v>
      </c>
      <c r="W29" s="1575">
        <f t="shared" si="14"/>
        <v>100</v>
      </c>
      <c r="X29" s="1568"/>
      <c r="Y29" s="337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72"/>
      <c r="Q30" s="1606" t="str">
        <f t="shared" si="11"/>
        <v>项目建筑规模</v>
      </c>
      <c r="R30" s="1578" t="s">
        <v>8</v>
      </c>
      <c r="S30" s="1579" t="e">
        <f t="shared" si="12"/>
        <v>#N/A</v>
      </c>
      <c r="T30" s="1578" t="s">
        <v>8</v>
      </c>
      <c r="U30" s="1579" t="e">
        <f t="shared" si="13"/>
        <v>#N/A</v>
      </c>
      <c r="V30" s="1578" t="s">
        <v>8</v>
      </c>
      <c r="W30" s="1579" t="e">
        <f t="shared" si="14"/>
        <v>#N/A</v>
      </c>
      <c r="X30" s="1580"/>
      <c r="Y30" s="337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72"/>
      <c r="Q31" s="1573" t="str">
        <f t="shared" si="11"/>
        <v>建筑结构</v>
      </c>
      <c r="R31" s="1574" t="s">
        <v>8</v>
      </c>
      <c r="S31" s="1575">
        <f t="shared" si="12"/>
        <v>100</v>
      </c>
      <c r="T31" s="1574" t="s">
        <v>8</v>
      </c>
      <c r="U31" s="1575">
        <f t="shared" si="13"/>
        <v>100</v>
      </c>
      <c r="V31" s="1574" t="s">
        <v>8</v>
      </c>
      <c r="W31" s="1575">
        <f t="shared" si="14"/>
        <v>100</v>
      </c>
      <c r="X31" s="1568"/>
      <c r="Y31" s="337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72"/>
      <c r="Q32" s="1573" t="str">
        <f t="shared" si="11"/>
        <v>公共部分装修</v>
      </c>
      <c r="R32" s="1574" t="s">
        <v>8</v>
      </c>
      <c r="S32" s="1575">
        <f t="shared" si="12"/>
        <v>100</v>
      </c>
      <c r="T32" s="1574" t="s">
        <v>8</v>
      </c>
      <c r="U32" s="1575">
        <f t="shared" si="13"/>
        <v>100</v>
      </c>
      <c r="V32" s="1574" t="s">
        <v>8</v>
      </c>
      <c r="W32" s="1575">
        <f t="shared" si="14"/>
        <v>100</v>
      </c>
      <c r="X32" s="1568"/>
      <c r="Y32" s="337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72"/>
      <c r="Q33" s="1573" t="str">
        <f t="shared" si="11"/>
        <v>成新度</v>
      </c>
      <c r="R33" s="1574" t="s">
        <v>8</v>
      </c>
      <c r="S33" s="1575" t="e">
        <f t="shared" si="12"/>
        <v>#N/A</v>
      </c>
      <c r="T33" s="1574" t="s">
        <v>8</v>
      </c>
      <c r="U33" s="1575" t="e">
        <f t="shared" si="13"/>
        <v>#N/A</v>
      </c>
      <c r="V33" s="1574" t="s">
        <v>8</v>
      </c>
      <c r="W33" s="1575" t="e">
        <f t="shared" si="14"/>
        <v>#N/A</v>
      </c>
      <c r="X33" s="1568"/>
      <c r="Y33" s="337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72"/>
      <c r="Q34" s="1151" t="str">
        <f t="shared" si="11"/>
        <v>物业管理</v>
      </c>
      <c r="R34" s="1569" t="s">
        <v>8</v>
      </c>
      <c r="S34" s="1570">
        <f t="shared" si="12"/>
        <v>100</v>
      </c>
      <c r="T34" s="1569" t="s">
        <v>8</v>
      </c>
      <c r="U34" s="1570">
        <f t="shared" si="13"/>
        <v>100</v>
      </c>
      <c r="V34" s="1569" t="s">
        <v>8</v>
      </c>
      <c r="W34" s="1570">
        <f t="shared" si="14"/>
        <v>100</v>
      </c>
      <c r="X34" s="1571"/>
      <c r="Y34" s="3372"/>
      <c r="Z34" s="1150" t="str">
        <f t="shared" si="15"/>
        <v>物业管理</v>
      </c>
      <c r="AA34" s="1572">
        <f t="shared" si="3"/>
        <v>1</v>
      </c>
      <c r="AB34" s="1572">
        <f t="shared" si="4"/>
        <v>1</v>
      </c>
      <c r="AC34" s="1572">
        <f t="shared" si="5"/>
        <v>1</v>
      </c>
    </row>
    <row r="35" spans="1:29" ht="15">
      <c r="A35" s="594"/>
      <c r="B35" s="1897" t="s">
        <v>2571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72" t="s">
        <v>550</v>
      </c>
      <c r="Q35" s="1573" t="str">
        <f t="shared" si="11"/>
        <v>市政基础设施</v>
      </c>
      <c r="R35" s="1574" t="s">
        <v>8</v>
      </c>
      <c r="S35" s="1575">
        <f t="shared" si="12"/>
        <v>100</v>
      </c>
      <c r="T35" s="1574" t="s">
        <v>8</v>
      </c>
      <c r="U35" s="1575">
        <f t="shared" si="13"/>
        <v>100</v>
      </c>
      <c r="V35" s="1574" t="s">
        <v>8</v>
      </c>
      <c r="W35" s="1575">
        <f t="shared" si="14"/>
        <v>100</v>
      </c>
      <c r="X35" s="1568"/>
      <c r="Y35" s="337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72"/>
      <c r="Q36" s="1573" t="str">
        <f t="shared" si="11"/>
        <v>内部装修</v>
      </c>
      <c r="R36" s="1574" t="s">
        <v>8</v>
      </c>
      <c r="S36" s="1575">
        <f t="shared" si="12"/>
        <v>100</v>
      </c>
      <c r="T36" s="1574" t="s">
        <v>8</v>
      </c>
      <c r="U36" s="1575">
        <f t="shared" si="13"/>
        <v>100</v>
      </c>
      <c r="V36" s="1574" t="s">
        <v>8</v>
      </c>
      <c r="W36" s="1575">
        <f t="shared" si="14"/>
        <v>100</v>
      </c>
      <c r="X36" s="1568"/>
      <c r="Y36" s="337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72"/>
      <c r="Q37" s="1573" t="str">
        <f t="shared" si="11"/>
        <v>内部装修状况</v>
      </c>
      <c r="R37" s="1574" t="s">
        <v>8</v>
      </c>
      <c r="S37" s="1575">
        <f t="shared" si="12"/>
        <v>100</v>
      </c>
      <c r="T37" s="1574" t="s">
        <v>8</v>
      </c>
      <c r="U37" s="1575">
        <f t="shared" si="13"/>
        <v>100</v>
      </c>
      <c r="V37" s="1574" t="s">
        <v>8</v>
      </c>
      <c r="W37" s="1575">
        <f t="shared" si="14"/>
        <v>100</v>
      </c>
      <c r="X37" s="1568"/>
      <c r="Y37" s="337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72"/>
      <c r="Q38" s="1606">
        <f t="shared" si="11"/>
        <v>111</v>
      </c>
      <c r="R38" s="1578" t="s">
        <v>8</v>
      </c>
      <c r="S38" s="1579">
        <f t="shared" si="12"/>
        <v>100</v>
      </c>
      <c r="T38" s="1578" t="s">
        <v>8</v>
      </c>
      <c r="U38" s="1579">
        <f t="shared" si="13"/>
        <v>100</v>
      </c>
      <c r="V38" s="1578" t="s">
        <v>8</v>
      </c>
      <c r="W38" s="1579">
        <f t="shared" si="14"/>
        <v>100</v>
      </c>
      <c r="X38" s="1580"/>
      <c r="Y38" s="337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72"/>
      <c r="Q39" s="1573">
        <f t="shared" si="11"/>
        <v>111</v>
      </c>
      <c r="R39" s="1574" t="s">
        <v>8</v>
      </c>
      <c r="S39" s="1575">
        <f t="shared" si="12"/>
        <v>100</v>
      </c>
      <c r="T39" s="1574" t="s">
        <v>8</v>
      </c>
      <c r="U39" s="1575">
        <f t="shared" si="13"/>
        <v>100</v>
      </c>
      <c r="V39" s="1574" t="s">
        <v>8</v>
      </c>
      <c r="W39" s="1575">
        <f t="shared" si="14"/>
        <v>100</v>
      </c>
      <c r="X39" s="1568"/>
      <c r="Y39" s="337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0"/>
      <c r="Q40" s="1573">
        <f t="shared" si="11"/>
        <v>111</v>
      </c>
      <c r="R40" s="1574" t="s">
        <v>8</v>
      </c>
      <c r="S40" s="1575">
        <f t="shared" si="12"/>
        <v>100</v>
      </c>
      <c r="T40" s="1574" t="s">
        <v>8</v>
      </c>
      <c r="U40" s="1575">
        <f t="shared" si="13"/>
        <v>100</v>
      </c>
      <c r="V40" s="1574" t="s">
        <v>8</v>
      </c>
      <c r="W40" s="1575">
        <f t="shared" si="14"/>
        <v>100</v>
      </c>
      <c r="X40" s="1568"/>
      <c r="Y40" s="3470"/>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367" t="str">
        <f>A41</f>
        <v>成交单价（元/平方米）</v>
      </c>
      <c r="Q41" s="3367"/>
      <c r="R41" s="3469">
        <f>E41</f>
        <v>0</v>
      </c>
      <c r="S41" s="3469"/>
      <c r="T41" s="3469">
        <f>G41</f>
        <v>0</v>
      </c>
      <c r="U41" s="3469"/>
      <c r="V41" s="3469">
        <f>I41</f>
        <v>0</v>
      </c>
      <c r="W41" s="3469"/>
      <c r="X41" s="1560"/>
      <c r="Y41" s="1582"/>
      <c r="Z41" s="1560"/>
      <c r="AA41" s="1560"/>
      <c r="AB41" s="1560"/>
      <c r="AC41" s="1560"/>
    </row>
    <row r="42" spans="1:29" ht="15.75" thickBot="1">
      <c r="A42" s="615" t="s">
        <v>2768</v>
      </c>
      <c r="B42" s="888"/>
      <c r="C42" s="2659" t="e">
        <f>R43</f>
        <v>#DIV/0!</v>
      </c>
      <c r="D42" s="2660"/>
      <c r="E42" s="2661" t="e">
        <f>R42</f>
        <v>#DIV/0!</v>
      </c>
      <c r="F42" s="2661"/>
      <c r="G42" s="2659" t="e">
        <f>T42</f>
        <v>#DIV/0!</v>
      </c>
      <c r="H42" s="2660"/>
      <c r="I42" s="2661" t="e">
        <f>V42</f>
        <v>#DIV/0!</v>
      </c>
      <c r="J42" s="2660"/>
      <c r="K42" s="1613"/>
      <c r="L42" s="2146"/>
      <c r="M42" s="2147"/>
      <c r="N42" s="2136"/>
      <c r="O42" s="2147"/>
      <c r="P42" s="3367" t="str">
        <f>A42</f>
        <v>比较价格（元/平方米）</v>
      </c>
      <c r="Q42" s="3367"/>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60"/>
      <c r="Y42" s="1560"/>
      <c r="Z42" s="1560"/>
      <c r="AA42" s="1560"/>
      <c r="AB42" s="1560"/>
      <c r="AC42" s="1560"/>
    </row>
    <row r="43" spans="1:29" ht="15.75" thickBot="1">
      <c r="A43" s="621" t="s">
        <v>2945</v>
      </c>
      <c r="B43" s="622"/>
      <c r="C43" s="2662" t="e">
        <f>R43</f>
        <v>#DIV/0!</v>
      </c>
      <c r="D43" s="2662"/>
      <c r="E43" s="2662"/>
      <c r="F43" s="2662"/>
      <c r="G43" s="2662"/>
      <c r="H43" s="2662"/>
      <c r="I43" s="2662"/>
      <c r="J43" s="2662"/>
      <c r="K43" s="1614"/>
      <c r="L43" s="2146"/>
      <c r="M43" s="2147"/>
      <c r="N43" s="2147"/>
      <c r="O43" s="2147"/>
      <c r="P43" s="3389" t="str">
        <f>A43</f>
        <v>估价对象XX用房的比较价格（楼面单价，元/平方米）</v>
      </c>
      <c r="Q43" s="3390"/>
      <c r="R43" s="3468" t="e">
        <f>IF(F1="售价",ROUND(AVERAGE(R42:V42),0),ROUND(AVERAGE(R42:V42),1))</f>
        <v>#DIV/0!</v>
      </c>
      <c r="S43" s="3468"/>
      <c r="T43" s="3468"/>
      <c r="U43" s="3468"/>
      <c r="V43" s="3468"/>
      <c r="W43" s="346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30" t="str">
        <f>YEAR(C7)&amp;"-"&amp;MONTH(C7)</f>
        <v>2017-12</v>
      </c>
      <c r="D52" s="2832">
        <f>EDATE(C52,-1)</f>
        <v>43040</v>
      </c>
      <c r="E52" s="2832">
        <f t="shared" ref="E52:O52" si="16">EDATE(D52,-1)</f>
        <v>43009</v>
      </c>
      <c r="F52" s="2832">
        <f t="shared" si="16"/>
        <v>42979</v>
      </c>
      <c r="G52" s="2832">
        <f t="shared" si="16"/>
        <v>42948</v>
      </c>
      <c r="H52" s="2832">
        <f t="shared" si="16"/>
        <v>42917</v>
      </c>
      <c r="I52" s="2832">
        <f t="shared" si="16"/>
        <v>42887</v>
      </c>
      <c r="J52" s="2832">
        <f t="shared" si="16"/>
        <v>42856</v>
      </c>
      <c r="K52" s="2832">
        <f t="shared" si="16"/>
        <v>42826</v>
      </c>
      <c r="L52" s="2832">
        <f t="shared" si="16"/>
        <v>42795</v>
      </c>
      <c r="M52" s="2832">
        <f t="shared" si="16"/>
        <v>42767</v>
      </c>
      <c r="N52" s="2832">
        <f t="shared" si="16"/>
        <v>42736</v>
      </c>
      <c r="O52" s="2832">
        <f t="shared" si="16"/>
        <v>42705</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2563</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2564</v>
      </c>
      <c r="C76" s="2624" t="s">
        <v>2565</v>
      </c>
      <c r="D76" s="2624" t="s">
        <v>2566</v>
      </c>
      <c r="E76" s="2624" t="s">
        <v>2567</v>
      </c>
      <c r="F76" s="2624" t="s">
        <v>2568</v>
      </c>
      <c r="G76" s="2624" t="s">
        <v>2569</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2562</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3" t="s">
        <v>798</v>
      </c>
      <c r="D4" s="3374"/>
      <c r="E4" s="3373" t="s">
        <v>799</v>
      </c>
      <c r="F4" s="3374"/>
      <c r="G4" s="3373" t="s">
        <v>800</v>
      </c>
      <c r="H4" s="3374"/>
      <c r="I4" s="3373" t="s">
        <v>801</v>
      </c>
      <c r="J4" s="3374"/>
      <c r="K4" s="514" t="s">
        <v>802</v>
      </c>
      <c r="L4" s="2135"/>
      <c r="M4" s="2136"/>
      <c r="N4" s="2136"/>
      <c r="O4" s="2136"/>
      <c r="P4" s="3375" t="s">
        <v>803</v>
      </c>
      <c r="Q4" s="3376"/>
      <c r="R4" s="3361" t="s">
        <v>799</v>
      </c>
      <c r="S4" s="3362"/>
      <c r="T4" s="3361" t="s">
        <v>800</v>
      </c>
      <c r="U4" s="3362"/>
      <c r="V4" s="3381" t="s">
        <v>801</v>
      </c>
      <c r="W4" s="3381"/>
      <c r="X4" s="1568"/>
      <c r="Y4" s="3361" t="s">
        <v>803</v>
      </c>
      <c r="Z4" s="3362"/>
      <c r="AA4" s="3356" t="s">
        <v>799</v>
      </c>
      <c r="AB4" s="3357" t="s">
        <v>800</v>
      </c>
      <c r="AC4" s="3356" t="s">
        <v>801</v>
      </c>
    </row>
    <row r="5" spans="1:29" ht="15">
      <c r="A5" s="515"/>
      <c r="B5" s="516"/>
      <c r="C5" s="3384" t="s">
        <v>2939</v>
      </c>
      <c r="D5" s="3385"/>
      <c r="E5" s="3384" t="s">
        <v>2940</v>
      </c>
      <c r="F5" s="3385"/>
      <c r="G5" s="3384" t="s">
        <v>2941</v>
      </c>
      <c r="H5" s="3385"/>
      <c r="I5" s="3384" t="s">
        <v>2942</v>
      </c>
      <c r="J5" s="3385"/>
      <c r="K5" s="514"/>
      <c r="L5" s="2135"/>
      <c r="M5" s="2136"/>
      <c r="N5" s="2136"/>
      <c r="O5" s="2136"/>
      <c r="P5" s="3377"/>
      <c r="Q5" s="3378"/>
      <c r="R5" s="3363"/>
      <c r="S5" s="3364"/>
      <c r="T5" s="3363"/>
      <c r="U5" s="3364"/>
      <c r="V5" s="3381"/>
      <c r="W5" s="3381"/>
      <c r="X5" s="1568"/>
      <c r="Y5" s="3363"/>
      <c r="Z5" s="3364"/>
      <c r="AA5" s="3357"/>
      <c r="AB5" s="3357"/>
      <c r="AC5" s="3357"/>
    </row>
    <row r="6" spans="1:29" ht="15.75" thickBot="1">
      <c r="A6" s="517"/>
      <c r="B6" s="518"/>
      <c r="C6" s="3402" t="s">
        <v>2943</v>
      </c>
      <c r="D6" s="3383"/>
      <c r="E6" s="3386" t="s">
        <v>2943</v>
      </c>
      <c r="F6" s="3387"/>
      <c r="G6" s="3402" t="s">
        <v>2943</v>
      </c>
      <c r="H6" s="3383"/>
      <c r="I6" s="3402" t="s">
        <v>2943</v>
      </c>
      <c r="J6" s="3383"/>
      <c r="K6" s="514" t="s">
        <v>528</v>
      </c>
      <c r="L6" s="2135"/>
      <c r="M6" s="2136"/>
      <c r="N6" s="2136"/>
      <c r="O6" s="2136"/>
      <c r="P6" s="3379"/>
      <c r="Q6" s="3380"/>
      <c r="R6" s="3363"/>
      <c r="S6" s="3364"/>
      <c r="T6" s="3365"/>
      <c r="U6" s="3366"/>
      <c r="V6" s="3381"/>
      <c r="W6" s="3381"/>
      <c r="X6" s="1568"/>
      <c r="Y6" s="3365"/>
      <c r="Z6" s="3366"/>
      <c r="AA6" s="3358"/>
      <c r="AB6" s="3358"/>
      <c r="AC6" s="3358"/>
    </row>
    <row r="7" spans="1:29" s="1220" customFormat="1" ht="15.75" thickBot="1">
      <c r="A7" s="2940"/>
      <c r="B7" s="2947" t="s">
        <v>529</v>
      </c>
      <c r="C7" s="519">
        <f>'数据-取费表'!B2</f>
        <v>43077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59" t="s">
        <v>530</v>
      </c>
      <c r="Q7" s="3368"/>
      <c r="R7" s="1569" t="s">
        <v>8</v>
      </c>
      <c r="S7" s="1570">
        <f t="shared" ref="S7:S14" si="0">F7</f>
        <v>0</v>
      </c>
      <c r="T7" s="1569" t="s">
        <v>8</v>
      </c>
      <c r="U7" s="1570">
        <f t="shared" ref="U7:U14" si="1">H7</f>
        <v>0</v>
      </c>
      <c r="V7" s="1569" t="s">
        <v>8</v>
      </c>
      <c r="W7" s="1570">
        <f t="shared" ref="W7:W14" si="2">J7</f>
        <v>0</v>
      </c>
      <c r="X7" s="1571"/>
      <c r="Y7" s="3359" t="s">
        <v>530</v>
      </c>
      <c r="Z7" s="3360"/>
      <c r="AA7" s="1572" t="e">
        <f>D7/F7</f>
        <v>#DIV/0!</v>
      </c>
      <c r="AB7" s="1572" t="e">
        <f>D7/H7</f>
        <v>#DIV/0!</v>
      </c>
      <c r="AC7" s="1572" t="e">
        <f>D7/J7</f>
        <v>#DIV/0!</v>
      </c>
    </row>
    <row r="8" spans="1:29" s="1220" customFormat="1" ht="15.75" thickBot="1">
      <c r="A8" s="2941"/>
      <c r="B8" s="2948"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59" t="s">
        <v>533</v>
      </c>
      <c r="Q8" s="3360"/>
      <c r="R8" s="1569" t="s">
        <v>8</v>
      </c>
      <c r="S8" s="1570">
        <f t="shared" si="0"/>
        <v>0</v>
      </c>
      <c r="T8" s="1569" t="s">
        <v>8</v>
      </c>
      <c r="U8" s="1570">
        <f t="shared" si="1"/>
        <v>0</v>
      </c>
      <c r="V8" s="1569" t="s">
        <v>8</v>
      </c>
      <c r="W8" s="1570">
        <f t="shared" si="2"/>
        <v>0</v>
      </c>
      <c r="X8" s="1571"/>
      <c r="Y8" s="3359" t="s">
        <v>533</v>
      </c>
      <c r="Z8" s="3360"/>
      <c r="AA8" s="1572" t="e">
        <f t="shared" ref="AA8:AA36" si="3">D8/F8</f>
        <v>#DIV/0!</v>
      </c>
      <c r="AB8" s="1572" t="e">
        <f t="shared" ref="AB8:AB36" si="4">D8/H8</f>
        <v>#DIV/0!</v>
      </c>
      <c r="AC8" s="1572" t="e">
        <f t="shared" ref="AC8:AC36" si="5">D8/J8</f>
        <v>#DIV/0!</v>
      </c>
    </row>
    <row r="9" spans="1:29" s="1220" customFormat="1" ht="15">
      <c r="A9" s="2942"/>
      <c r="B9" s="2949" t="s">
        <v>2764</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67" t="s">
        <v>535</v>
      </c>
      <c r="Q9" s="1151" t="str">
        <f t="shared" ref="Q9:Q14" si="6">B9</f>
        <v>用途</v>
      </c>
      <c r="R9" s="1569" t="s">
        <v>8</v>
      </c>
      <c r="S9" s="1570">
        <f t="shared" si="0"/>
        <v>100</v>
      </c>
      <c r="T9" s="1569" t="s">
        <v>8</v>
      </c>
      <c r="U9" s="1570">
        <f t="shared" si="1"/>
        <v>100</v>
      </c>
      <c r="V9" s="1569" t="s">
        <v>8</v>
      </c>
      <c r="W9" s="1570">
        <f t="shared" si="2"/>
        <v>100</v>
      </c>
      <c r="X9" s="1571"/>
      <c r="Y9" s="3324" t="s">
        <v>536</v>
      </c>
      <c r="Z9" s="1150" t="str">
        <f t="shared" ref="Z9:Z14" si="7">Q9</f>
        <v>用途</v>
      </c>
      <c r="AA9" s="1572">
        <f t="shared" si="3"/>
        <v>1</v>
      </c>
      <c r="AB9" s="1572">
        <f t="shared" si="4"/>
        <v>1</v>
      </c>
      <c r="AC9" s="1572">
        <f t="shared" si="5"/>
        <v>1</v>
      </c>
    </row>
    <row r="10" spans="1:29" s="1338" customFormat="1" ht="27">
      <c r="A10" s="2943"/>
      <c r="B10" s="2948" t="s">
        <v>2765</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45"/>
      <c r="B11" s="2951">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67"/>
      <c r="Q11" s="1151">
        <f t="shared" si="6"/>
        <v>111</v>
      </c>
      <c r="R11" s="1569" t="s">
        <v>8</v>
      </c>
      <c r="S11" s="1570">
        <f t="shared" si="0"/>
        <v>100</v>
      </c>
      <c r="T11" s="1569" t="s">
        <v>8</v>
      </c>
      <c r="U11" s="1570">
        <f t="shared" si="1"/>
        <v>100</v>
      </c>
      <c r="V11" s="1569" t="s">
        <v>8</v>
      </c>
      <c r="W11" s="1570">
        <f t="shared" si="2"/>
        <v>100</v>
      </c>
      <c r="X11" s="1571"/>
      <c r="Y11" s="3324"/>
      <c r="Z11" s="1150">
        <f t="shared" si="7"/>
        <v>111</v>
      </c>
      <c r="AA11" s="1572">
        <f t="shared" si="3"/>
        <v>1</v>
      </c>
      <c r="AB11" s="1572">
        <f t="shared" si="4"/>
        <v>1</v>
      </c>
      <c r="AC11" s="1572">
        <f t="shared" si="5"/>
        <v>1</v>
      </c>
    </row>
    <row r="12" spans="1:29" s="1220" customFormat="1" ht="15">
      <c r="A12" s="2945"/>
      <c r="B12" s="2951">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75" thickBot="1">
      <c r="A13" s="2946"/>
      <c r="B13" s="2952">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85.5">
      <c r="A14" s="2938" t="s">
        <v>2762</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69" t="s">
        <v>540</v>
      </c>
      <c r="Q14" s="1573" t="str">
        <f t="shared" si="6"/>
        <v>交通便捷度</v>
      </c>
      <c r="R14" s="1574" t="s">
        <v>8</v>
      </c>
      <c r="S14" s="1575">
        <f t="shared" si="0"/>
        <v>100</v>
      </c>
      <c r="T14" s="1574" t="s">
        <v>8</v>
      </c>
      <c r="U14" s="1575">
        <f t="shared" si="1"/>
        <v>100</v>
      </c>
      <c r="V14" s="1574" t="s">
        <v>8</v>
      </c>
      <c r="W14" s="1575">
        <f t="shared" si="2"/>
        <v>100</v>
      </c>
      <c r="X14" s="1568"/>
      <c r="Y14" s="336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70"/>
      <c r="Q15" s="1573"/>
      <c r="R15" s="1574"/>
      <c r="S15" s="1575"/>
      <c r="T15" s="1574"/>
      <c r="U15" s="1575"/>
      <c r="V15" s="1574"/>
      <c r="W15" s="1575"/>
      <c r="X15" s="1568"/>
      <c r="Y15" s="3370"/>
      <c r="Z15" s="1576"/>
      <c r="AA15" s="1577">
        <v>1</v>
      </c>
      <c r="AB15" s="1577">
        <v>1</v>
      </c>
      <c r="AC15" s="1577">
        <v>1</v>
      </c>
    </row>
    <row r="16" spans="1:29" ht="42.75">
      <c r="A16" s="515"/>
      <c r="B16" s="2629" t="s">
        <v>2552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70"/>
      <c r="Q16" s="1573" t="str">
        <f>B16</f>
        <v>公共配套设施</v>
      </c>
      <c r="R16" s="1574" t="s">
        <v>8</v>
      </c>
      <c r="S16" s="1575">
        <f>F16</f>
        <v>100</v>
      </c>
      <c r="T16" s="1574" t="s">
        <v>8</v>
      </c>
      <c r="U16" s="1575">
        <f>H16</f>
        <v>100</v>
      </c>
      <c r="V16" s="1574" t="s">
        <v>8</v>
      </c>
      <c r="W16" s="1575">
        <f>J16</f>
        <v>100</v>
      </c>
      <c r="X16" s="1568"/>
      <c r="Y16" s="337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70"/>
      <c r="Q17" s="1573"/>
      <c r="R17" s="1574"/>
      <c r="S17" s="1575"/>
      <c r="T17" s="1574"/>
      <c r="U17" s="1575"/>
      <c r="V17" s="1574"/>
      <c r="W17" s="1575"/>
      <c r="X17" s="1568"/>
      <c r="Y17" s="3370"/>
      <c r="Z17" s="1576"/>
      <c r="AA17" s="1577">
        <v>1</v>
      </c>
      <c r="AB17" s="1577">
        <v>1</v>
      </c>
      <c r="AC17" s="1577">
        <v>1</v>
      </c>
    </row>
    <row r="18" spans="1:29" ht="28.5">
      <c r="A18" s="515"/>
      <c r="B18" s="2617" t="s">
        <v>2564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70"/>
      <c r="Q18" s="2605" t="str">
        <f>B18</f>
        <v>基础设施水平</v>
      </c>
      <c r="R18" s="1574" t="s">
        <v>8</v>
      </c>
      <c r="S18" s="1575">
        <f>F18</f>
        <v>100</v>
      </c>
      <c r="T18" s="1574" t="s">
        <v>8</v>
      </c>
      <c r="U18" s="1575">
        <f>H18</f>
        <v>100</v>
      </c>
      <c r="V18" s="1574" t="s">
        <v>8</v>
      </c>
      <c r="W18" s="1575">
        <f>J18</f>
        <v>100</v>
      </c>
      <c r="X18" s="2607"/>
      <c r="Y18" s="3370"/>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370"/>
      <c r="Q19" s="2605"/>
      <c r="R19" s="1574"/>
      <c r="S19" s="1575"/>
      <c r="T19" s="1574"/>
      <c r="U19" s="1575"/>
      <c r="V19" s="1574"/>
      <c r="W19" s="1575"/>
      <c r="X19" s="2607"/>
      <c r="Y19" s="3370"/>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70"/>
      <c r="Q20" s="1573" t="str">
        <f>B20</f>
        <v>自然及人文环境</v>
      </c>
      <c r="R20" s="1574" t="s">
        <v>8</v>
      </c>
      <c r="S20" s="1575">
        <f>F20</f>
        <v>100</v>
      </c>
      <c r="T20" s="1574" t="s">
        <v>8</v>
      </c>
      <c r="U20" s="1575">
        <f>H20</f>
        <v>100</v>
      </c>
      <c r="V20" s="1574" t="s">
        <v>8</v>
      </c>
      <c r="W20" s="1575">
        <f>J20</f>
        <v>100</v>
      </c>
      <c r="X20" s="1568"/>
      <c r="Y20" s="337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70"/>
      <c r="Q21" s="1573"/>
      <c r="R21" s="1574"/>
      <c r="S21" s="1575"/>
      <c r="T21" s="1574"/>
      <c r="U21" s="1575"/>
      <c r="V21" s="1574"/>
      <c r="W21" s="1575"/>
      <c r="X21" s="1568"/>
      <c r="Y21" s="337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70"/>
      <c r="Q22" s="1573" t="str">
        <f>B22</f>
        <v>楼层</v>
      </c>
      <c r="R22" s="1574" t="s">
        <v>8</v>
      </c>
      <c r="S22" s="1575">
        <f>F22</f>
        <v>100</v>
      </c>
      <c r="T22" s="1574" t="s">
        <v>8</v>
      </c>
      <c r="U22" s="1575">
        <f>H22</f>
        <v>100</v>
      </c>
      <c r="V22" s="1574" t="s">
        <v>8</v>
      </c>
      <c r="W22" s="1575">
        <f>J22</f>
        <v>100</v>
      </c>
      <c r="X22" s="1568"/>
      <c r="Y22" s="337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70"/>
      <c r="Q23" s="1573">
        <f>B23</f>
        <v>111</v>
      </c>
      <c r="R23" s="1574" t="s">
        <v>8</v>
      </c>
      <c r="S23" s="1575">
        <f>F23</f>
        <v>100</v>
      </c>
      <c r="T23" s="1574" t="s">
        <v>8</v>
      </c>
      <c r="U23" s="1575">
        <f>H23</f>
        <v>100</v>
      </c>
      <c r="V23" s="1574" t="s">
        <v>8</v>
      </c>
      <c r="W23" s="1575">
        <f>J23</f>
        <v>100</v>
      </c>
      <c r="X23" s="1568"/>
      <c r="Y23" s="337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70"/>
      <c r="Q24" s="1573">
        <f t="shared" ref="Q24:Q36" si="11">B24</f>
        <v>111</v>
      </c>
      <c r="R24" s="1574" t="s">
        <v>8</v>
      </c>
      <c r="S24" s="1575">
        <f>F24</f>
        <v>100</v>
      </c>
      <c r="T24" s="1574" t="s">
        <v>8</v>
      </c>
      <c r="U24" s="1575">
        <f>H24</f>
        <v>100</v>
      </c>
      <c r="V24" s="1574" t="s">
        <v>8</v>
      </c>
      <c r="W24" s="1575">
        <f>J24</f>
        <v>100</v>
      </c>
      <c r="X24" s="1568"/>
      <c r="Y24" s="337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70"/>
      <c r="Q25" s="1151">
        <f t="shared" si="11"/>
        <v>111</v>
      </c>
      <c r="R25" s="1569" t="s">
        <v>8</v>
      </c>
      <c r="S25" s="1570">
        <f>F25</f>
        <v>100</v>
      </c>
      <c r="T25" s="1569" t="s">
        <v>8</v>
      </c>
      <c r="U25" s="1570">
        <f>H25</f>
        <v>100</v>
      </c>
      <c r="V25" s="1569" t="s">
        <v>8</v>
      </c>
      <c r="W25" s="1570">
        <f>J25</f>
        <v>100</v>
      </c>
      <c r="X25" s="1571"/>
      <c r="Y25" s="3370"/>
      <c r="Z25" s="1150">
        <f>Q25</f>
        <v>111</v>
      </c>
      <c r="AA25" s="1577">
        <f>D25/F25</f>
        <v>1</v>
      </c>
      <c r="AB25" s="1577">
        <f>D25/H25</f>
        <v>1</v>
      </c>
      <c r="AC25" s="1577">
        <f>D25/J25</f>
        <v>1</v>
      </c>
    </row>
    <row r="26" spans="1:29" ht="15">
      <c r="A26" s="2935" t="s">
        <v>2763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7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7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72"/>
      <c r="Q27" s="1606" t="str">
        <f t="shared" si="11"/>
        <v>项目停车位配比</v>
      </c>
      <c r="R27" s="1578" t="s">
        <v>8</v>
      </c>
      <c r="S27" s="1579">
        <f t="shared" si="12"/>
        <v>100</v>
      </c>
      <c r="T27" s="1578" t="s">
        <v>8</v>
      </c>
      <c r="U27" s="1579">
        <f t="shared" si="13"/>
        <v>100</v>
      </c>
      <c r="V27" s="1578" t="s">
        <v>8</v>
      </c>
      <c r="W27" s="1579">
        <f t="shared" si="14"/>
        <v>100</v>
      </c>
      <c r="X27" s="1580"/>
      <c r="Y27" s="337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72"/>
      <c r="Q28" s="1573" t="str">
        <f t="shared" si="11"/>
        <v>公共部分装修</v>
      </c>
      <c r="R28" s="1574" t="s">
        <v>8</v>
      </c>
      <c r="S28" s="1575">
        <f t="shared" si="12"/>
        <v>100</v>
      </c>
      <c r="T28" s="1574" t="s">
        <v>8</v>
      </c>
      <c r="U28" s="1575">
        <f t="shared" si="13"/>
        <v>100</v>
      </c>
      <c r="V28" s="1574" t="s">
        <v>8</v>
      </c>
      <c r="W28" s="1575">
        <f t="shared" si="14"/>
        <v>100</v>
      </c>
      <c r="X28" s="1568"/>
      <c r="Y28" s="337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72"/>
      <c r="Q29" s="1573" t="str">
        <f t="shared" si="11"/>
        <v>成新率</v>
      </c>
      <c r="R29" s="1574" t="s">
        <v>8</v>
      </c>
      <c r="S29" s="1575" t="e">
        <f t="shared" si="12"/>
        <v>#N/A</v>
      </c>
      <c r="T29" s="1574" t="s">
        <v>8</v>
      </c>
      <c r="U29" s="1575" t="e">
        <f t="shared" si="13"/>
        <v>#N/A</v>
      </c>
      <c r="V29" s="1574" t="s">
        <v>8</v>
      </c>
      <c r="W29" s="1575" t="e">
        <f t="shared" si="14"/>
        <v>#N/A</v>
      </c>
      <c r="X29" s="1568"/>
      <c r="Y29" s="337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72"/>
      <c r="Q30" s="1573" t="str">
        <f t="shared" si="11"/>
        <v>物业等级</v>
      </c>
      <c r="R30" s="1574" t="s">
        <v>8</v>
      </c>
      <c r="S30" s="1575">
        <f t="shared" si="12"/>
        <v>100</v>
      </c>
      <c r="T30" s="1574" t="s">
        <v>8</v>
      </c>
      <c r="U30" s="1575">
        <f t="shared" si="13"/>
        <v>100</v>
      </c>
      <c r="V30" s="1574" t="s">
        <v>8</v>
      </c>
      <c r="W30" s="1575">
        <f t="shared" si="14"/>
        <v>100</v>
      </c>
      <c r="X30" s="1568"/>
      <c r="Y30" s="337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72"/>
      <c r="Q31" s="1151" t="str">
        <f t="shared" si="11"/>
        <v>停车位面积</v>
      </c>
      <c r="R31" s="1569" t="s">
        <v>8</v>
      </c>
      <c r="S31" s="1570" t="e">
        <f t="shared" si="12"/>
        <v>#N/A</v>
      </c>
      <c r="T31" s="1569" t="s">
        <v>8</v>
      </c>
      <c r="U31" s="1570" t="e">
        <f t="shared" si="13"/>
        <v>#N/A</v>
      </c>
      <c r="V31" s="1569" t="s">
        <v>8</v>
      </c>
      <c r="W31" s="1570" t="e">
        <f t="shared" si="14"/>
        <v>#N/A</v>
      </c>
      <c r="X31" s="1571"/>
      <c r="Y31" s="337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72" t="s">
        <v>550</v>
      </c>
      <c r="Q32" s="1573" t="str">
        <f t="shared" si="11"/>
        <v>车位类型</v>
      </c>
      <c r="R32" s="1574" t="s">
        <v>8</v>
      </c>
      <c r="S32" s="1575">
        <f t="shared" si="12"/>
        <v>100</v>
      </c>
      <c r="T32" s="1574" t="s">
        <v>8</v>
      </c>
      <c r="U32" s="1575">
        <f t="shared" si="13"/>
        <v>100</v>
      </c>
      <c r="V32" s="1574" t="s">
        <v>8</v>
      </c>
      <c r="W32" s="1575">
        <f t="shared" si="14"/>
        <v>100</v>
      </c>
      <c r="X32" s="1568"/>
      <c r="Y32" s="337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72"/>
      <c r="Q33" s="1573" t="str">
        <f t="shared" si="11"/>
        <v>是否直接入户</v>
      </c>
      <c r="R33" s="1574" t="s">
        <v>8</v>
      </c>
      <c r="S33" s="1575">
        <f t="shared" si="12"/>
        <v>100</v>
      </c>
      <c r="T33" s="1574" t="s">
        <v>8</v>
      </c>
      <c r="U33" s="1575">
        <f t="shared" si="13"/>
        <v>100</v>
      </c>
      <c r="V33" s="1574" t="s">
        <v>8</v>
      </c>
      <c r="W33" s="1575">
        <f t="shared" si="14"/>
        <v>100</v>
      </c>
      <c r="X33" s="1568"/>
      <c r="Y33" s="337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72"/>
      <c r="Q34" s="1573">
        <f t="shared" si="11"/>
        <v>111</v>
      </c>
      <c r="R34" s="1574" t="s">
        <v>8</v>
      </c>
      <c r="S34" s="1575">
        <f t="shared" si="12"/>
        <v>100</v>
      </c>
      <c r="T34" s="1574" t="s">
        <v>8</v>
      </c>
      <c r="U34" s="1575">
        <f t="shared" si="13"/>
        <v>100</v>
      </c>
      <c r="V34" s="1574" t="s">
        <v>8</v>
      </c>
      <c r="W34" s="1575">
        <f t="shared" si="14"/>
        <v>100</v>
      </c>
      <c r="X34" s="1568"/>
      <c r="Y34" s="337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72"/>
      <c r="Q35" s="1606">
        <f t="shared" si="11"/>
        <v>111</v>
      </c>
      <c r="R35" s="1578" t="s">
        <v>8</v>
      </c>
      <c r="S35" s="1579">
        <f t="shared" si="12"/>
        <v>100</v>
      </c>
      <c r="T35" s="1578" t="s">
        <v>8</v>
      </c>
      <c r="U35" s="1579">
        <f t="shared" si="13"/>
        <v>100</v>
      </c>
      <c r="V35" s="1578" t="s">
        <v>8</v>
      </c>
      <c r="W35" s="1579">
        <f t="shared" si="14"/>
        <v>100</v>
      </c>
      <c r="X35" s="1580"/>
      <c r="Y35" s="337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72"/>
      <c r="Q36" s="1573">
        <f t="shared" si="11"/>
        <v>111</v>
      </c>
      <c r="R36" s="1574" t="s">
        <v>8</v>
      </c>
      <c r="S36" s="1575">
        <f t="shared" si="12"/>
        <v>100</v>
      </c>
      <c r="T36" s="1574" t="s">
        <v>8</v>
      </c>
      <c r="U36" s="1575">
        <f t="shared" si="13"/>
        <v>100</v>
      </c>
      <c r="V36" s="1574" t="s">
        <v>8</v>
      </c>
      <c r="W36" s="1575">
        <f t="shared" si="14"/>
        <v>100</v>
      </c>
      <c r="X36" s="1568"/>
      <c r="Y36" s="3372"/>
      <c r="Z36" s="1576">
        <f t="shared" si="15"/>
        <v>111</v>
      </c>
      <c r="AA36" s="1577">
        <f t="shared" si="3"/>
        <v>1</v>
      </c>
      <c r="AB36" s="1577">
        <f t="shared" si="4"/>
        <v>1</v>
      </c>
      <c r="AC36" s="1577">
        <f t="shared" si="5"/>
        <v>1</v>
      </c>
    </row>
    <row r="37" spans="1:29" ht="15">
      <c r="A37" s="1848" t="s">
        <v>2080</v>
      </c>
      <c r="B37" s="1849" t="s">
        <v>2081</v>
      </c>
      <c r="C37" s="2653" t="s">
        <v>1</v>
      </c>
      <c r="D37" s="2654"/>
      <c r="E37" s="2655"/>
      <c r="F37" s="2656"/>
      <c r="G37" s="2657"/>
      <c r="H37" s="2658"/>
      <c r="I37" s="2655"/>
      <c r="J37" s="2658"/>
      <c r="K37" s="1612"/>
      <c r="L37" s="2146"/>
      <c r="M37" s="2147"/>
      <c r="N37" s="2136"/>
      <c r="O37" s="2147"/>
      <c r="P37" s="3367" t="str">
        <f>A37</f>
        <v>成交单价</v>
      </c>
      <c r="Q37" s="3367"/>
      <c r="R37" s="3469">
        <f>E37</f>
        <v>0</v>
      </c>
      <c r="S37" s="3469"/>
      <c r="T37" s="3469">
        <f>G37</f>
        <v>0</v>
      </c>
      <c r="U37" s="3469"/>
      <c r="V37" s="3469">
        <f>I37</f>
        <v>0</v>
      </c>
      <c r="W37" s="3469"/>
      <c r="X37" s="1560"/>
      <c r="Y37" s="1582"/>
      <c r="Z37" s="1560"/>
      <c r="AA37" s="1560"/>
      <c r="AB37" s="1560"/>
      <c r="AC37" s="1560"/>
    </row>
    <row r="38" spans="1:29" ht="15.75" thickBot="1">
      <c r="A38" s="615" t="s">
        <v>2768</v>
      </c>
      <c r="B38" s="888"/>
      <c r="C38" s="2659" t="e">
        <f>R39</f>
        <v>#DIV/0!</v>
      </c>
      <c r="D38" s="2660"/>
      <c r="E38" s="2661" t="e">
        <f>R38</f>
        <v>#DIV/0!</v>
      </c>
      <c r="F38" s="2661"/>
      <c r="G38" s="2659" t="e">
        <f>T38</f>
        <v>#DIV/0!</v>
      </c>
      <c r="H38" s="2660"/>
      <c r="I38" s="2661" t="e">
        <f>V38</f>
        <v>#DIV/0!</v>
      </c>
      <c r="J38" s="2660"/>
      <c r="K38" s="1613"/>
      <c r="L38" s="2146"/>
      <c r="M38" s="2147"/>
      <c r="N38" s="2147"/>
      <c r="O38" s="2147"/>
      <c r="P38" s="3367" t="str">
        <f>A38</f>
        <v>比较价格（元/平方米）</v>
      </c>
      <c r="Q38" s="3367"/>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60"/>
      <c r="Y38" s="1560"/>
      <c r="Z38" s="1560"/>
      <c r="AA38" s="1560"/>
      <c r="AB38" s="1560"/>
      <c r="AC38" s="1560"/>
    </row>
    <row r="39" spans="1:29" ht="15.75" thickBot="1">
      <c r="A39" s="621" t="s">
        <v>2945</v>
      </c>
      <c r="B39" s="622"/>
      <c r="C39" s="2662" t="e">
        <f>R39</f>
        <v>#DIV/0!</v>
      </c>
      <c r="D39" s="2662"/>
      <c r="E39" s="2662"/>
      <c r="F39" s="2662"/>
      <c r="G39" s="2662"/>
      <c r="H39" s="2662"/>
      <c r="I39" s="2662"/>
      <c r="J39" s="2662"/>
      <c r="K39" s="1614"/>
      <c r="L39" s="2146"/>
      <c r="M39" s="2147"/>
      <c r="N39" s="2147"/>
      <c r="O39" s="2147"/>
      <c r="P39" s="3389" t="str">
        <f>A39</f>
        <v>估价对象XX用房的比较价格（楼面单价，元/平方米）</v>
      </c>
      <c r="Q39" s="3390"/>
      <c r="R39" s="3468" t="e">
        <f>IF(F1="售价",ROUND(AVERAGE(R38:V38),0),ROUND(AVERAGE(R38:V38),1))</f>
        <v>#DIV/0!</v>
      </c>
      <c r="S39" s="3468"/>
      <c r="T39" s="3468"/>
      <c r="U39" s="3468"/>
      <c r="V39" s="3468"/>
      <c r="W39" s="346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30" t="str">
        <f>YEAR(C7)&amp;"-"&amp;MONTH(C7)</f>
        <v>2017-12</v>
      </c>
      <c r="D48" s="2832">
        <f>EDATE(C48,-1)</f>
        <v>43040</v>
      </c>
      <c r="E48" s="2832">
        <f t="shared" ref="E48:O48" si="16">EDATE(D48,-1)</f>
        <v>43009</v>
      </c>
      <c r="F48" s="2832">
        <f t="shared" si="16"/>
        <v>42979</v>
      </c>
      <c r="G48" s="2832">
        <f t="shared" si="16"/>
        <v>42948</v>
      </c>
      <c r="H48" s="2832">
        <f t="shared" si="16"/>
        <v>42917</v>
      </c>
      <c r="I48" s="2832">
        <f t="shared" si="16"/>
        <v>42887</v>
      </c>
      <c r="J48" s="2832">
        <f t="shared" si="16"/>
        <v>42856</v>
      </c>
      <c r="K48" s="2832">
        <f t="shared" si="16"/>
        <v>42826</v>
      </c>
      <c r="L48" s="2832">
        <f t="shared" si="16"/>
        <v>42795</v>
      </c>
      <c r="M48" s="2832">
        <f t="shared" si="16"/>
        <v>42767</v>
      </c>
      <c r="N48" s="2832">
        <f t="shared" si="16"/>
        <v>42736</v>
      </c>
      <c r="O48" s="2832">
        <f t="shared" si="16"/>
        <v>42705</v>
      </c>
      <c r="P48" s="2162"/>
      <c r="Q48" s="2163"/>
      <c r="R48" s="2163"/>
      <c r="S48" s="2163"/>
      <c r="T48" s="2163"/>
      <c r="U48" s="2163"/>
      <c r="V48" s="2163"/>
      <c r="W48" s="2163"/>
      <c r="X48" s="2163"/>
      <c r="Y48" s="2163"/>
      <c r="Z48" s="2163"/>
      <c r="AA48" s="2163"/>
      <c r="AB48" s="2163"/>
      <c r="AC48" s="2163"/>
    </row>
    <row r="49" spans="1:29" s="1220" customFormat="1" ht="15">
      <c r="A49" s="647"/>
      <c r="B49" s="648"/>
      <c r="C49" s="2831">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2563</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2564</v>
      </c>
      <c r="C67" s="2624" t="s">
        <v>2565</v>
      </c>
      <c r="D67" s="2624" t="s">
        <v>2566</v>
      </c>
      <c r="E67" s="2624" t="s">
        <v>2567</v>
      </c>
      <c r="F67" s="2624" t="s">
        <v>2568</v>
      </c>
      <c r="G67" s="2624" t="s">
        <v>2569</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73" t="s">
        <v>798</v>
      </c>
      <c r="D4" s="3374"/>
      <c r="E4" s="3398" t="s">
        <v>799</v>
      </c>
      <c r="F4" s="3399"/>
      <c r="G4" s="3373" t="s">
        <v>800</v>
      </c>
      <c r="H4" s="3374"/>
      <c r="I4" s="3373" t="s">
        <v>801</v>
      </c>
      <c r="J4" s="3374"/>
      <c r="K4" s="514" t="s">
        <v>802</v>
      </c>
      <c r="L4" s="2135"/>
      <c r="M4" s="2136"/>
      <c r="N4" s="2136"/>
      <c r="O4" s="2136"/>
      <c r="P4" s="3375" t="s">
        <v>803</v>
      </c>
      <c r="Q4" s="3376"/>
      <c r="R4" s="3361" t="s">
        <v>799</v>
      </c>
      <c r="S4" s="3362"/>
      <c r="T4" s="3361" t="s">
        <v>800</v>
      </c>
      <c r="U4" s="3362"/>
      <c r="V4" s="3381" t="s">
        <v>801</v>
      </c>
      <c r="W4" s="3381"/>
      <c r="X4" s="1568"/>
      <c r="Y4" s="3361" t="s">
        <v>803</v>
      </c>
      <c r="Z4" s="3362"/>
      <c r="AA4" s="3356" t="s">
        <v>799</v>
      </c>
      <c r="AB4" s="3357" t="s">
        <v>800</v>
      </c>
      <c r="AC4" s="3356" t="s">
        <v>801</v>
      </c>
    </row>
    <row r="5" spans="1:29" ht="15">
      <c r="A5" s="515"/>
      <c r="B5" s="516"/>
      <c r="C5" s="3384" t="s">
        <v>2939</v>
      </c>
      <c r="D5" s="3385"/>
      <c r="E5" s="3400" t="s">
        <v>2940</v>
      </c>
      <c r="F5" s="3401"/>
      <c r="G5" s="3384" t="s">
        <v>2941</v>
      </c>
      <c r="H5" s="3385"/>
      <c r="I5" s="3384" t="s">
        <v>2942</v>
      </c>
      <c r="J5" s="3385"/>
      <c r="K5" s="514"/>
      <c r="L5" s="2135"/>
      <c r="M5" s="2136"/>
      <c r="N5" s="2136"/>
      <c r="O5" s="2136"/>
      <c r="P5" s="3377"/>
      <c r="Q5" s="3378"/>
      <c r="R5" s="3363"/>
      <c r="S5" s="3364"/>
      <c r="T5" s="3363"/>
      <c r="U5" s="3364"/>
      <c r="V5" s="3381"/>
      <c r="W5" s="3381"/>
      <c r="X5" s="1568"/>
      <c r="Y5" s="3363"/>
      <c r="Z5" s="3364"/>
      <c r="AA5" s="3357"/>
      <c r="AB5" s="3357"/>
      <c r="AC5" s="3357"/>
    </row>
    <row r="6" spans="1:29" ht="15.75" thickBot="1">
      <c r="A6" s="517"/>
      <c r="B6" s="518"/>
      <c r="C6" s="3402" t="s">
        <v>2943</v>
      </c>
      <c r="D6" s="3383"/>
      <c r="E6" s="3403" t="s">
        <v>2943</v>
      </c>
      <c r="F6" s="3404"/>
      <c r="G6" s="3402" t="s">
        <v>2943</v>
      </c>
      <c r="H6" s="3383"/>
      <c r="I6" s="3402" t="s">
        <v>2943</v>
      </c>
      <c r="J6" s="3383"/>
      <c r="K6" s="514" t="s">
        <v>528</v>
      </c>
      <c r="L6" s="2135"/>
      <c r="M6" s="2136"/>
      <c r="N6" s="2136"/>
      <c r="O6" s="2136"/>
      <c r="P6" s="3379"/>
      <c r="Q6" s="3380"/>
      <c r="R6" s="3363"/>
      <c r="S6" s="3364"/>
      <c r="T6" s="3365"/>
      <c r="U6" s="3366"/>
      <c r="V6" s="3381"/>
      <c r="W6" s="3381"/>
      <c r="X6" s="1568"/>
      <c r="Y6" s="3365"/>
      <c r="Z6" s="3366"/>
      <c r="AA6" s="3358"/>
      <c r="AB6" s="3358"/>
      <c r="AC6" s="3358"/>
    </row>
    <row r="7" spans="1:29" s="1220" customFormat="1" ht="15.75" thickBot="1">
      <c r="A7" s="2940"/>
      <c r="B7" s="2947" t="s">
        <v>529</v>
      </c>
      <c r="C7" s="519">
        <f>'数据-取费表'!B2</f>
        <v>43077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59" t="s">
        <v>530</v>
      </c>
      <c r="Q7" s="3368"/>
      <c r="R7" s="1569" t="s">
        <v>8</v>
      </c>
      <c r="S7" s="1570">
        <f t="shared" ref="S7:S14" si="0">F7</f>
        <v>0</v>
      </c>
      <c r="T7" s="1569" t="s">
        <v>8</v>
      </c>
      <c r="U7" s="1570">
        <f t="shared" ref="U7:U14" si="1">H7</f>
        <v>0</v>
      </c>
      <c r="V7" s="1569" t="s">
        <v>8</v>
      </c>
      <c r="W7" s="1570">
        <f t="shared" ref="W7:W14" si="2">J7</f>
        <v>0</v>
      </c>
      <c r="X7" s="1571"/>
      <c r="Y7" s="3359" t="s">
        <v>530</v>
      </c>
      <c r="Z7" s="3360"/>
      <c r="AA7" s="1572" t="e">
        <f>D7/F7</f>
        <v>#DIV/0!</v>
      </c>
      <c r="AB7" s="1572" t="e">
        <f>D7/H7</f>
        <v>#DIV/0!</v>
      </c>
      <c r="AC7" s="1572" t="e">
        <f>D7/J7</f>
        <v>#DIV/0!</v>
      </c>
    </row>
    <row r="8" spans="1:29" s="1220" customFormat="1" ht="15.75" thickBot="1">
      <c r="A8" s="2941"/>
      <c r="B8" s="2948"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59" t="s">
        <v>533</v>
      </c>
      <c r="Q8" s="3360"/>
      <c r="R8" s="1569" t="s">
        <v>8</v>
      </c>
      <c r="S8" s="1570">
        <f t="shared" si="0"/>
        <v>0</v>
      </c>
      <c r="T8" s="1569" t="s">
        <v>8</v>
      </c>
      <c r="U8" s="1570">
        <f t="shared" si="1"/>
        <v>0</v>
      </c>
      <c r="V8" s="1569" t="s">
        <v>8</v>
      </c>
      <c r="W8" s="1570">
        <f t="shared" si="2"/>
        <v>0</v>
      </c>
      <c r="X8" s="1571"/>
      <c r="Y8" s="3359" t="s">
        <v>533</v>
      </c>
      <c r="Z8" s="3360"/>
      <c r="AA8" s="1572" t="e">
        <f t="shared" ref="AA8:AA34" si="3">D8/F8</f>
        <v>#DIV/0!</v>
      </c>
      <c r="AB8" s="1572" t="e">
        <f t="shared" ref="AB8:AB34" si="4">D8/H8</f>
        <v>#DIV/0!</v>
      </c>
      <c r="AC8" s="1572" t="e">
        <f t="shared" ref="AC8:AC34" si="5">D8/J8</f>
        <v>#DIV/0!</v>
      </c>
    </row>
    <row r="9" spans="1:29" s="1220" customFormat="1" ht="15">
      <c r="A9" s="2942"/>
      <c r="B9" s="2949" t="s">
        <v>2764</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67" t="s">
        <v>535</v>
      </c>
      <c r="Q9" s="1151" t="str">
        <f t="shared" ref="Q9:Q14" si="6">B9</f>
        <v>用途</v>
      </c>
      <c r="R9" s="1569" t="s">
        <v>8</v>
      </c>
      <c r="S9" s="1570">
        <f t="shared" si="0"/>
        <v>100</v>
      </c>
      <c r="T9" s="1569" t="s">
        <v>8</v>
      </c>
      <c r="U9" s="1570">
        <f t="shared" si="1"/>
        <v>100</v>
      </c>
      <c r="V9" s="1569" t="s">
        <v>8</v>
      </c>
      <c r="W9" s="1570">
        <f t="shared" si="2"/>
        <v>100</v>
      </c>
      <c r="X9" s="1571"/>
      <c r="Y9" s="3324" t="s">
        <v>536</v>
      </c>
      <c r="Z9" s="1150" t="str">
        <f t="shared" ref="Z9:Z14" si="7">Q9</f>
        <v>用途</v>
      </c>
      <c r="AA9" s="1572">
        <f t="shared" si="3"/>
        <v>1</v>
      </c>
      <c r="AB9" s="1572">
        <f t="shared" si="4"/>
        <v>1</v>
      </c>
      <c r="AC9" s="1572">
        <f t="shared" si="5"/>
        <v>1</v>
      </c>
    </row>
    <row r="10" spans="1:29" s="1338" customFormat="1" ht="27">
      <c r="A10" s="2943"/>
      <c r="B10" s="2948" t="s">
        <v>2765</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67"/>
      <c r="Q10" s="1151" t="str">
        <f t="shared" si="6"/>
        <v>土地使用年限（年）</v>
      </c>
      <c r="R10" s="1569" t="s">
        <v>8</v>
      </c>
      <c r="S10" s="1570">
        <f t="shared" si="0"/>
        <v>100</v>
      </c>
      <c r="T10" s="1569" t="s">
        <v>8</v>
      </c>
      <c r="U10" s="1570">
        <f t="shared" si="1"/>
        <v>100</v>
      </c>
      <c r="V10" s="1569" t="s">
        <v>8</v>
      </c>
      <c r="W10" s="1570">
        <f t="shared" si="2"/>
        <v>100</v>
      </c>
      <c r="X10" s="1571"/>
      <c r="Y10" s="3324"/>
      <c r="Z10" s="1150" t="str">
        <f t="shared" si="7"/>
        <v>土地使用年限（年）</v>
      </c>
      <c r="AA10" s="1572">
        <f t="shared" si="3"/>
        <v>1</v>
      </c>
      <c r="AB10" s="1572">
        <f t="shared" si="4"/>
        <v>1</v>
      </c>
      <c r="AC10" s="1572">
        <f t="shared" si="5"/>
        <v>1</v>
      </c>
    </row>
    <row r="11" spans="1:29" ht="15">
      <c r="A11" s="2945"/>
      <c r="B11" s="2951">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67"/>
      <c r="Q11" s="1151">
        <f t="shared" si="6"/>
        <v>111</v>
      </c>
      <c r="R11" s="1569" t="s">
        <v>8</v>
      </c>
      <c r="S11" s="1570">
        <f t="shared" si="0"/>
        <v>100</v>
      </c>
      <c r="T11" s="1569" t="s">
        <v>8</v>
      </c>
      <c r="U11" s="1570">
        <f t="shared" si="1"/>
        <v>100</v>
      </c>
      <c r="V11" s="1569" t="s">
        <v>8</v>
      </c>
      <c r="W11" s="1570">
        <f t="shared" si="2"/>
        <v>100</v>
      </c>
      <c r="X11" s="1571"/>
      <c r="Y11" s="3324"/>
      <c r="Z11" s="1150">
        <f t="shared" si="7"/>
        <v>111</v>
      </c>
      <c r="AA11" s="1572">
        <f t="shared" si="3"/>
        <v>1</v>
      </c>
      <c r="AB11" s="1572">
        <f t="shared" si="4"/>
        <v>1</v>
      </c>
      <c r="AC11" s="1572">
        <f t="shared" si="5"/>
        <v>1</v>
      </c>
    </row>
    <row r="12" spans="1:29" s="1220" customFormat="1" ht="15">
      <c r="A12" s="2945"/>
      <c r="B12" s="2951">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67"/>
      <c r="Q12" s="1151">
        <f t="shared" si="6"/>
        <v>111</v>
      </c>
      <c r="R12" s="1569" t="s">
        <v>8</v>
      </c>
      <c r="S12" s="1570">
        <f t="shared" si="0"/>
        <v>100</v>
      </c>
      <c r="T12" s="1569" t="s">
        <v>8</v>
      </c>
      <c r="U12" s="1570">
        <f t="shared" si="1"/>
        <v>100</v>
      </c>
      <c r="V12" s="1569" t="s">
        <v>8</v>
      </c>
      <c r="W12" s="1570">
        <f t="shared" si="2"/>
        <v>100</v>
      </c>
      <c r="X12" s="1571"/>
      <c r="Y12" s="3324"/>
      <c r="Z12" s="1150">
        <f t="shared" si="7"/>
        <v>111</v>
      </c>
      <c r="AA12" s="1572">
        <f>D12/F12</f>
        <v>1</v>
      </c>
      <c r="AB12" s="1572">
        <f>D12/H12</f>
        <v>1</v>
      </c>
      <c r="AC12" s="1572">
        <f>D12/J12</f>
        <v>1</v>
      </c>
    </row>
    <row r="13" spans="1:29" ht="15.75" thickBot="1">
      <c r="A13" s="2946"/>
      <c r="B13" s="2952">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67"/>
      <c r="Q13" s="1151">
        <f t="shared" si="6"/>
        <v>111</v>
      </c>
      <c r="R13" s="1569" t="s">
        <v>8</v>
      </c>
      <c r="S13" s="1570">
        <f t="shared" si="0"/>
        <v>100</v>
      </c>
      <c r="T13" s="1569" t="s">
        <v>8</v>
      </c>
      <c r="U13" s="1570">
        <f t="shared" si="1"/>
        <v>100</v>
      </c>
      <c r="V13" s="1569" t="s">
        <v>8</v>
      </c>
      <c r="W13" s="1570">
        <f t="shared" si="2"/>
        <v>100</v>
      </c>
      <c r="X13" s="1571"/>
      <c r="Y13" s="3324"/>
      <c r="Z13" s="1150">
        <f t="shared" si="7"/>
        <v>111</v>
      </c>
      <c r="AA13" s="1572">
        <f t="shared" si="3"/>
        <v>1</v>
      </c>
      <c r="AB13" s="1572">
        <f t="shared" si="4"/>
        <v>1</v>
      </c>
      <c r="AC13" s="1572">
        <f t="shared" si="5"/>
        <v>1</v>
      </c>
    </row>
    <row r="14" spans="1:29" ht="85.5">
      <c r="A14" s="2938" t="s">
        <v>2762</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69" t="s">
        <v>540</v>
      </c>
      <c r="Q14" s="1573" t="str">
        <f t="shared" si="6"/>
        <v>交通便捷度</v>
      </c>
      <c r="R14" s="1574" t="s">
        <v>8</v>
      </c>
      <c r="S14" s="1575">
        <f t="shared" si="0"/>
        <v>100</v>
      </c>
      <c r="T14" s="1574" t="s">
        <v>8</v>
      </c>
      <c r="U14" s="1575">
        <f t="shared" si="1"/>
        <v>100</v>
      </c>
      <c r="V14" s="1574" t="s">
        <v>8</v>
      </c>
      <c r="W14" s="1575">
        <f t="shared" si="2"/>
        <v>100</v>
      </c>
      <c r="X14" s="1568"/>
      <c r="Y14" s="336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70"/>
      <c r="Q15" s="1573"/>
      <c r="R15" s="1574"/>
      <c r="S15" s="1575"/>
      <c r="T15" s="1574"/>
      <c r="U15" s="1575"/>
      <c r="V15" s="1574"/>
      <c r="W15" s="1575"/>
      <c r="X15" s="1568"/>
      <c r="Y15" s="3370"/>
      <c r="Z15" s="1576"/>
      <c r="AA15" s="1577">
        <v>1</v>
      </c>
      <c r="AB15" s="1577">
        <v>1</v>
      </c>
      <c r="AC15" s="1577">
        <v>1</v>
      </c>
    </row>
    <row r="16" spans="1:29" ht="42.75">
      <c r="A16" s="532"/>
      <c r="B16" s="2629" t="s">
        <v>2552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70"/>
      <c r="Q16" s="1573" t="str">
        <f>B16</f>
        <v>公共配套设施</v>
      </c>
      <c r="R16" s="1574" t="s">
        <v>8</v>
      </c>
      <c r="S16" s="1575">
        <f>F16</f>
        <v>100</v>
      </c>
      <c r="T16" s="1574" t="s">
        <v>8</v>
      </c>
      <c r="U16" s="1575">
        <f>H16</f>
        <v>100</v>
      </c>
      <c r="V16" s="1574" t="s">
        <v>8</v>
      </c>
      <c r="W16" s="1575">
        <f>J16</f>
        <v>100</v>
      </c>
      <c r="X16" s="1568"/>
      <c r="Y16" s="337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70"/>
      <c r="Q17" s="1573"/>
      <c r="R17" s="1574"/>
      <c r="S17" s="1575"/>
      <c r="T17" s="1574"/>
      <c r="U17" s="1575"/>
      <c r="V17" s="1574"/>
      <c r="W17" s="1575"/>
      <c r="X17" s="1568"/>
      <c r="Y17" s="3370"/>
      <c r="Z17" s="1576"/>
      <c r="AA17" s="1577">
        <v>1</v>
      </c>
      <c r="AB17" s="1577">
        <v>1</v>
      </c>
      <c r="AC17" s="1577">
        <v>1</v>
      </c>
    </row>
    <row r="18" spans="1:29" ht="28.5">
      <c r="A18" s="532"/>
      <c r="B18" s="2617" t="s">
        <v>2564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70"/>
      <c r="Q18" s="2605" t="str">
        <f>B18</f>
        <v>基础设施水平</v>
      </c>
      <c r="R18" s="1574" t="s">
        <v>8</v>
      </c>
      <c r="S18" s="1575">
        <f>F18</f>
        <v>100</v>
      </c>
      <c r="T18" s="1574" t="s">
        <v>8</v>
      </c>
      <c r="U18" s="1575">
        <f>H18</f>
        <v>100</v>
      </c>
      <c r="V18" s="1574" t="s">
        <v>8</v>
      </c>
      <c r="W18" s="1575">
        <f>J18</f>
        <v>100</v>
      </c>
      <c r="X18" s="2607"/>
      <c r="Y18" s="3370"/>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370"/>
      <c r="Q19" s="2605"/>
      <c r="R19" s="1574"/>
      <c r="S19" s="1575"/>
      <c r="T19" s="1574"/>
      <c r="U19" s="1575"/>
      <c r="V19" s="1574"/>
      <c r="W19" s="1575"/>
      <c r="X19" s="2607"/>
      <c r="Y19" s="3370"/>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70"/>
      <c r="Q20" s="1573" t="str">
        <f>B20</f>
        <v>自然及人文环境</v>
      </c>
      <c r="R20" s="1574" t="s">
        <v>8</v>
      </c>
      <c r="S20" s="1575">
        <f>F20</f>
        <v>100</v>
      </c>
      <c r="T20" s="1574" t="s">
        <v>8</v>
      </c>
      <c r="U20" s="1575">
        <f>H20</f>
        <v>100</v>
      </c>
      <c r="V20" s="1574" t="s">
        <v>8</v>
      </c>
      <c r="W20" s="1575">
        <f>J20</f>
        <v>100</v>
      </c>
      <c r="X20" s="1568"/>
      <c r="Y20" s="337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70"/>
      <c r="Q21" s="1573"/>
      <c r="R21" s="1574"/>
      <c r="S21" s="1575"/>
      <c r="T21" s="1574"/>
      <c r="U21" s="1575"/>
      <c r="V21" s="1574"/>
      <c r="W21" s="1575"/>
      <c r="X21" s="1568"/>
      <c r="Y21" s="337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70"/>
      <c r="Q22" s="1573" t="str">
        <f>B22</f>
        <v>楼层</v>
      </c>
      <c r="R22" s="1574" t="s">
        <v>8</v>
      </c>
      <c r="S22" s="1575">
        <f>F22</f>
        <v>100</v>
      </c>
      <c r="T22" s="1574" t="s">
        <v>8</v>
      </c>
      <c r="U22" s="1575">
        <f>H22</f>
        <v>100</v>
      </c>
      <c r="V22" s="1574" t="s">
        <v>8</v>
      </c>
      <c r="W22" s="1575">
        <f>J22</f>
        <v>100</v>
      </c>
      <c r="X22" s="1568"/>
      <c r="Y22" s="337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70"/>
      <c r="Q23" s="1573">
        <f>B23</f>
        <v>111</v>
      </c>
      <c r="R23" s="1574" t="s">
        <v>8</v>
      </c>
      <c r="S23" s="1575">
        <f>F23</f>
        <v>100</v>
      </c>
      <c r="T23" s="1574" t="s">
        <v>8</v>
      </c>
      <c r="U23" s="1575">
        <f>H23</f>
        <v>100</v>
      </c>
      <c r="V23" s="1574" t="s">
        <v>8</v>
      </c>
      <c r="W23" s="1575">
        <f>J23</f>
        <v>100</v>
      </c>
      <c r="X23" s="1568"/>
      <c r="Y23" s="337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70"/>
      <c r="Q24" s="1573">
        <f t="shared" ref="Q24:Q34" si="11">B24</f>
        <v>111</v>
      </c>
      <c r="R24" s="1574" t="s">
        <v>8</v>
      </c>
      <c r="S24" s="1575">
        <f>F24</f>
        <v>100</v>
      </c>
      <c r="T24" s="1574" t="s">
        <v>8</v>
      </c>
      <c r="U24" s="1575">
        <f>H24</f>
        <v>100</v>
      </c>
      <c r="V24" s="1574" t="s">
        <v>8</v>
      </c>
      <c r="W24" s="1575">
        <f>J24</f>
        <v>100</v>
      </c>
      <c r="X24" s="1568"/>
      <c r="Y24" s="337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70"/>
      <c r="Q25" s="1151">
        <f t="shared" si="11"/>
        <v>111</v>
      </c>
      <c r="R25" s="1569" t="s">
        <v>8</v>
      </c>
      <c r="S25" s="1570">
        <f>F25</f>
        <v>100</v>
      </c>
      <c r="T25" s="1569" t="s">
        <v>8</v>
      </c>
      <c r="U25" s="1570">
        <f>H25</f>
        <v>100</v>
      </c>
      <c r="V25" s="1569" t="s">
        <v>8</v>
      </c>
      <c r="W25" s="1570">
        <f>J25</f>
        <v>100</v>
      </c>
      <c r="X25" s="1571"/>
      <c r="Y25" s="3370"/>
      <c r="Z25" s="1150">
        <f>Q25</f>
        <v>111</v>
      </c>
      <c r="AA25" s="1577">
        <f>D25/F25</f>
        <v>1</v>
      </c>
      <c r="AB25" s="1577">
        <f>D25/H25</f>
        <v>1</v>
      </c>
      <c r="AC25" s="1577">
        <f>D25/J25</f>
        <v>1</v>
      </c>
    </row>
    <row r="26" spans="1:29" ht="15">
      <c r="A26" s="2935" t="s">
        <v>2763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7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7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72"/>
      <c r="Q27" s="1606" t="str">
        <f t="shared" si="11"/>
        <v>成新率</v>
      </c>
      <c r="R27" s="1578" t="s">
        <v>8</v>
      </c>
      <c r="S27" s="1579" t="e">
        <f t="shared" si="12"/>
        <v>#N/A</v>
      </c>
      <c r="T27" s="1578" t="s">
        <v>8</v>
      </c>
      <c r="U27" s="1579" t="e">
        <f t="shared" si="13"/>
        <v>#N/A</v>
      </c>
      <c r="V27" s="1578" t="s">
        <v>8</v>
      </c>
      <c r="W27" s="1579" t="e">
        <f t="shared" si="14"/>
        <v>#N/A</v>
      </c>
      <c r="X27" s="1580"/>
      <c r="Y27" s="337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72"/>
      <c r="Q28" s="1573" t="str">
        <f t="shared" si="11"/>
        <v>物业等级</v>
      </c>
      <c r="R28" s="1574" t="s">
        <v>8</v>
      </c>
      <c r="S28" s="1575">
        <f t="shared" si="12"/>
        <v>100</v>
      </c>
      <c r="T28" s="1574" t="s">
        <v>8</v>
      </c>
      <c r="U28" s="1575">
        <f t="shared" si="13"/>
        <v>100</v>
      </c>
      <c r="V28" s="1574" t="s">
        <v>8</v>
      </c>
      <c r="W28" s="1575">
        <f t="shared" si="14"/>
        <v>100</v>
      </c>
      <c r="X28" s="1568"/>
      <c r="Y28" s="337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72"/>
      <c r="Q29" s="1573" t="str">
        <f t="shared" si="11"/>
        <v>有无电梯</v>
      </c>
      <c r="R29" s="1574" t="s">
        <v>8</v>
      </c>
      <c r="S29" s="1575">
        <f t="shared" si="12"/>
        <v>100</v>
      </c>
      <c r="T29" s="1574" t="s">
        <v>8</v>
      </c>
      <c r="U29" s="1575">
        <f t="shared" si="13"/>
        <v>100</v>
      </c>
      <c r="V29" s="1574" t="s">
        <v>8</v>
      </c>
      <c r="W29" s="1575">
        <f t="shared" si="14"/>
        <v>100</v>
      </c>
      <c r="X29" s="1568"/>
      <c r="Y29" s="337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72"/>
      <c r="Q30" s="1573" t="str">
        <f t="shared" si="11"/>
        <v>建筑面积</v>
      </c>
      <c r="R30" s="1574" t="s">
        <v>8</v>
      </c>
      <c r="S30" s="1575" t="e">
        <f t="shared" si="12"/>
        <v>#N/A</v>
      </c>
      <c r="T30" s="1574" t="s">
        <v>8</v>
      </c>
      <c r="U30" s="1575" t="e">
        <f t="shared" si="13"/>
        <v>#N/A</v>
      </c>
      <c r="V30" s="1574" t="s">
        <v>8</v>
      </c>
      <c r="W30" s="1575" t="e">
        <f t="shared" si="14"/>
        <v>#N/A</v>
      </c>
      <c r="X30" s="1568"/>
      <c r="Y30" s="337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72"/>
      <c r="Q31" s="1151" t="str">
        <f t="shared" si="11"/>
        <v>是否封闭</v>
      </c>
      <c r="R31" s="1569" t="s">
        <v>8</v>
      </c>
      <c r="S31" s="1570">
        <f t="shared" si="12"/>
        <v>100</v>
      </c>
      <c r="T31" s="1569" t="s">
        <v>8</v>
      </c>
      <c r="U31" s="1570">
        <f t="shared" si="13"/>
        <v>100</v>
      </c>
      <c r="V31" s="1569" t="s">
        <v>8</v>
      </c>
      <c r="W31" s="1570">
        <f t="shared" si="14"/>
        <v>100</v>
      </c>
      <c r="X31" s="1571"/>
      <c r="Y31" s="337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72" t="s">
        <v>550</v>
      </c>
      <c r="Q32" s="1573">
        <f t="shared" si="11"/>
        <v>111</v>
      </c>
      <c r="R32" s="1574" t="s">
        <v>8</v>
      </c>
      <c r="S32" s="1575">
        <f t="shared" si="12"/>
        <v>100</v>
      </c>
      <c r="T32" s="1574" t="s">
        <v>8</v>
      </c>
      <c r="U32" s="1575">
        <f t="shared" si="13"/>
        <v>100</v>
      </c>
      <c r="V32" s="1574" t="s">
        <v>8</v>
      </c>
      <c r="W32" s="1575">
        <f t="shared" si="14"/>
        <v>100</v>
      </c>
      <c r="X32" s="1568"/>
      <c r="Y32" s="337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72"/>
      <c r="Q33" s="1573">
        <f t="shared" si="11"/>
        <v>111</v>
      </c>
      <c r="R33" s="1574" t="s">
        <v>8</v>
      </c>
      <c r="S33" s="1575">
        <f t="shared" si="12"/>
        <v>100</v>
      </c>
      <c r="T33" s="1574" t="s">
        <v>8</v>
      </c>
      <c r="U33" s="1575">
        <f t="shared" si="13"/>
        <v>100</v>
      </c>
      <c r="V33" s="1574" t="s">
        <v>8</v>
      </c>
      <c r="W33" s="1575">
        <f t="shared" si="14"/>
        <v>100</v>
      </c>
      <c r="X33" s="1568"/>
      <c r="Y33" s="337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72"/>
      <c r="Q34" s="1573">
        <f t="shared" si="11"/>
        <v>111</v>
      </c>
      <c r="R34" s="1574" t="s">
        <v>8</v>
      </c>
      <c r="S34" s="1575">
        <f t="shared" si="12"/>
        <v>100</v>
      </c>
      <c r="T34" s="1574" t="s">
        <v>8</v>
      </c>
      <c r="U34" s="1575">
        <f t="shared" si="13"/>
        <v>100</v>
      </c>
      <c r="V34" s="1574" t="s">
        <v>8</v>
      </c>
      <c r="W34" s="1575">
        <f t="shared" si="14"/>
        <v>100</v>
      </c>
      <c r="X34" s="1568"/>
      <c r="Y34" s="3372"/>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367" t="str">
        <f>A35</f>
        <v>成交单价（元/平方米）</v>
      </c>
      <c r="Q35" s="3367"/>
      <c r="R35" s="3469">
        <f>E35</f>
        <v>0</v>
      </c>
      <c r="S35" s="3469"/>
      <c r="T35" s="3469">
        <f>G35</f>
        <v>0</v>
      </c>
      <c r="U35" s="3469"/>
      <c r="V35" s="3469">
        <f>I35</f>
        <v>0</v>
      </c>
      <c r="W35" s="3469"/>
      <c r="X35" s="1560"/>
      <c r="Y35" s="1582"/>
      <c r="Z35" s="1560"/>
      <c r="AA35" s="1560"/>
      <c r="AB35" s="1560"/>
      <c r="AC35" s="1560"/>
    </row>
    <row r="36" spans="1:29" ht="15.75" thickBot="1">
      <c r="A36" s="615" t="s">
        <v>2768</v>
      </c>
      <c r="B36" s="888"/>
      <c r="C36" s="2659" t="e">
        <f>R37</f>
        <v>#DIV/0!</v>
      </c>
      <c r="D36" s="2660"/>
      <c r="E36" s="2661" t="e">
        <f>R36</f>
        <v>#DIV/0!</v>
      </c>
      <c r="F36" s="2661"/>
      <c r="G36" s="2659" t="e">
        <f>T36</f>
        <v>#DIV/0!</v>
      </c>
      <c r="H36" s="2660"/>
      <c r="I36" s="2661" t="e">
        <f>V36</f>
        <v>#DIV/0!</v>
      </c>
      <c r="J36" s="2660"/>
      <c r="K36" s="1613"/>
      <c r="L36" s="2146"/>
      <c r="M36" s="2147"/>
      <c r="N36" s="2136"/>
      <c r="O36" s="2147"/>
      <c r="P36" s="3367" t="str">
        <f>A36</f>
        <v>比较价格（元/平方米）</v>
      </c>
      <c r="Q36" s="3367"/>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60"/>
      <c r="Y36" s="1560"/>
      <c r="Z36" s="1560"/>
      <c r="AA36" s="1560"/>
      <c r="AB36" s="1560"/>
      <c r="AC36" s="1560"/>
    </row>
    <row r="37" spans="1:29" ht="15.75" thickBot="1">
      <c r="A37" s="621" t="s">
        <v>2945</v>
      </c>
      <c r="B37" s="622"/>
      <c r="C37" s="2662" t="e">
        <f>R37</f>
        <v>#DIV/0!</v>
      </c>
      <c r="D37" s="2662"/>
      <c r="E37" s="2662"/>
      <c r="F37" s="2662"/>
      <c r="G37" s="2662"/>
      <c r="H37" s="2662"/>
      <c r="I37" s="2662"/>
      <c r="J37" s="2662"/>
      <c r="K37" s="1614"/>
      <c r="L37" s="2146"/>
      <c r="M37" s="2147"/>
      <c r="N37" s="2147"/>
      <c r="O37" s="2147"/>
      <c r="P37" s="3389" t="str">
        <f>A37</f>
        <v>估价对象XX用房的比较价格（楼面单价，元/平方米）</v>
      </c>
      <c r="Q37" s="3390"/>
      <c r="R37" s="3468" t="e">
        <f>IF(F1="售价",ROUND(AVERAGE(R36:V36),0),ROUND(AVERAGE(R36:V36),1))</f>
        <v>#DIV/0!</v>
      </c>
      <c r="S37" s="3468"/>
      <c r="T37" s="3468"/>
      <c r="U37" s="3468"/>
      <c r="V37" s="3468"/>
      <c r="W37" s="346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30" t="str">
        <f>YEAR(C7)&amp;"-"&amp;MONTH(C7)</f>
        <v>2017-12</v>
      </c>
      <c r="D46" s="2832">
        <f>EDATE(C46,-1)</f>
        <v>43040</v>
      </c>
      <c r="E46" s="2832">
        <f t="shared" ref="E46:O46" si="16">EDATE(D46,-1)</f>
        <v>43009</v>
      </c>
      <c r="F46" s="2832">
        <f t="shared" si="16"/>
        <v>42979</v>
      </c>
      <c r="G46" s="2832">
        <f t="shared" si="16"/>
        <v>42948</v>
      </c>
      <c r="H46" s="2832">
        <f t="shared" si="16"/>
        <v>42917</v>
      </c>
      <c r="I46" s="2832">
        <f t="shared" si="16"/>
        <v>42887</v>
      </c>
      <c r="J46" s="2832">
        <f t="shared" si="16"/>
        <v>42856</v>
      </c>
      <c r="K46" s="2832">
        <f t="shared" si="16"/>
        <v>42826</v>
      </c>
      <c r="L46" s="2832">
        <f t="shared" si="16"/>
        <v>42795</v>
      </c>
      <c r="M46" s="2832">
        <f t="shared" si="16"/>
        <v>42767</v>
      </c>
      <c r="N46" s="2832">
        <f t="shared" si="16"/>
        <v>42736</v>
      </c>
      <c r="O46" s="2832">
        <f t="shared" si="16"/>
        <v>42705</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2563</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2564</v>
      </c>
      <c r="C65" s="2624" t="s">
        <v>2565</v>
      </c>
      <c r="D65" s="2624" t="s">
        <v>2566</v>
      </c>
      <c r="E65" s="2624" t="s">
        <v>2567</v>
      </c>
      <c r="F65" s="2624" t="s">
        <v>2568</v>
      </c>
      <c r="G65" s="2624" t="s">
        <v>2569</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受贵公司委托，我公司对郑州市荥阳市出让国有建设用地使用权抵押价格进行了预评估。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郑州市荥阳市出让国有建设用地使用权。根据《国有土地使用证》[]，估价对象（分摊）出让国有建设用地使用权面积为666666.7平方米。根据《建设工程规划许可证》[]、《出让合同》[]，估价对象规划建筑面积为1845613.34平方米。</v>
      </c>
    </row>
    <row r="7" spans="1:4" ht="93.75">
      <c r="A7" s="2901" t="s">
        <v>2756</v>
      </c>
    </row>
    <row r="8" spans="1:4" ht="18.75">
      <c r="A8" s="1796" t="s">
        <v>1907</v>
      </c>
    </row>
    <row r="9" spans="1:4" ht="75">
      <c r="A9" s="1798" t="str">
        <f>IF(项目基本情况!B8="抵押",IF(项目基本情况!B5=项目基本情况!B6,定义!C51,定义!B51),定义!D51)</f>
        <v>拟使用郑州市荥阳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2029</v>
      </c>
    </row>
    <row r="11" spans="1:4" ht="18.75">
      <c r="A11" s="1782" t="str">
        <f>TEXT(项目基本情况!D3,"yyyy年m月d日;;")&amp;IF(项目基本情况!B3=项目基本情况!D3,"（评估专业人员勘察现场之日）","")</f>
        <v>2017年12月8日（评估专业人员勘察现场之日）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根据《国有土地使用证》[]，估价对象（分摊）出让国有建设用地使用权面积为666666.7平方米。根据《建设工程规划许可证》[]、《出让合同》[]，估价对象规划建筑面积为1845613.34平方米。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903" t="s">
        <v>2757</v>
      </c>
    </row>
    <row r="24" spans="1:1" ht="18.75">
      <c r="A24" s="1793" t="s">
        <v>2078</v>
      </c>
    </row>
    <row r="25" spans="1:1" ht="75">
      <c r="A25" s="1793" t="str">
        <f>定义!C53</f>
        <v>本次估价的“出让国有建设用地使用权价格”是指在估价对象土地所有权为国家所有，使用权性质为出让，在公开市场条件下、于估价期日2017年12月8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2306</v>
      </c>
      <c r="C1" s="3478" t="s">
        <v>2307</v>
      </c>
      <c r="D1" s="3479"/>
      <c r="E1" s="3479"/>
      <c r="F1" s="3479"/>
      <c r="G1" s="3479"/>
      <c r="H1" s="3479"/>
      <c r="I1" s="3479"/>
      <c r="J1" s="3479"/>
      <c r="K1" s="3479"/>
      <c r="L1" s="3479"/>
      <c r="M1" s="3479"/>
      <c r="N1" s="3479"/>
      <c r="O1" s="3479"/>
      <c r="P1" s="3479"/>
      <c r="Q1" s="3479"/>
      <c r="R1" s="3479"/>
      <c r="S1" s="3480"/>
      <c r="T1" s="2236" t="s">
        <v>2308</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8" t="s">
        <v>2938</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20" t="s">
        <v>2937</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20" t="s">
        <v>2936</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9"/>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8" t="s">
        <v>2951</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8" t="s">
        <v>2935</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8" t="s">
        <v>2934</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2310</v>
      </c>
      <c r="B17" s="2280" t="s">
        <v>2311</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75" t="s">
        <v>20</v>
      </c>
      <c r="D22" s="3476"/>
      <c r="E22" s="3476"/>
      <c r="F22" s="3476"/>
      <c r="G22" s="3476"/>
      <c r="H22" s="3476"/>
      <c r="I22" s="3476"/>
      <c r="J22" s="3476"/>
      <c r="K22" s="3476"/>
      <c r="L22" s="3476"/>
      <c r="M22" s="3476"/>
      <c r="N22" s="3476"/>
      <c r="O22" s="3476"/>
      <c r="P22" s="3476"/>
      <c r="Q22" s="347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2796</v>
      </c>
      <c r="C1" s="3032">
        <f>项目基本情况!D3</f>
        <v>43077</v>
      </c>
      <c r="H1" s="2966">
        <f>IF(C1&gt;C13,0,MATCH(C1,C$13:C$100,-1))+IF(SUMIF(C13:C100,C1,D13:D100)=0,13,12)</f>
        <v>13</v>
      </c>
      <c r="I1" s="2966">
        <f ca="1">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2827</v>
      </c>
      <c r="C2" s="3033">
        <f>'数据-取费表'!B22</f>
        <v>3</v>
      </c>
      <c r="D2" s="3028" t="s">
        <v>2797</v>
      </c>
      <c r="E2" s="3031">
        <f ca="1">INDIRECT("I"&amp;$I$1)/100</f>
        <v>4.7500000000000001E-2</v>
      </c>
      <c r="G2" s="2968"/>
      <c r="H2" s="2968"/>
      <c r="I2" s="2968" t="s">
        <v>2798</v>
      </c>
      <c r="K2" s="2968"/>
      <c r="L2" s="2968"/>
      <c r="M2" s="2968"/>
      <c r="N2" s="2968" t="s">
        <v>2799</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2829</v>
      </c>
      <c r="C3" s="3030">
        <f>'数据-取费表'!B19</f>
        <v>0</v>
      </c>
      <c r="D3" s="3028" t="s">
        <v>2797</v>
      </c>
      <c r="E3" s="3031">
        <f ca="1">INDIRECT("J"&amp;$J$1)/100</f>
        <v>0</v>
      </c>
      <c r="G3" s="2970" t="s">
        <v>2800</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2828</v>
      </c>
      <c r="C4" s="3031">
        <f ca="1">N4/100</f>
        <v>1.4999999999999999E-2</v>
      </c>
      <c r="G4" s="2976" t="s">
        <v>2801</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2802</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2803</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2804</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2805</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2806</v>
      </c>
      <c r="C10" s="2995"/>
      <c r="D10" s="2995"/>
      <c r="E10" s="2995"/>
      <c r="F10" s="2995"/>
      <c r="G10" s="2995"/>
      <c r="H10" s="2995"/>
      <c r="I10" s="2969"/>
      <c r="J10" s="2969"/>
      <c r="K10" s="2995"/>
      <c r="L10" s="2996" t="s">
        <v>2807</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2808</v>
      </c>
      <c r="C11" s="3000" t="s">
        <v>2809</v>
      </c>
      <c r="D11" s="3001" t="s">
        <v>2810</v>
      </c>
      <c r="E11" s="3002"/>
      <c r="F11" s="3001" t="s">
        <v>2811</v>
      </c>
      <c r="G11" s="3003"/>
      <c r="H11" s="3002"/>
      <c r="I11" s="3001" t="s">
        <v>2812</v>
      </c>
      <c r="J11" s="3002"/>
      <c r="K11" s="2998"/>
      <c r="L11" s="2999" t="s">
        <v>2808</v>
      </c>
      <c r="M11" s="3000" t="s">
        <v>2809</v>
      </c>
      <c r="N11" s="2999" t="s">
        <v>2813</v>
      </c>
      <c r="O11" s="3001" t="s">
        <v>2814</v>
      </c>
      <c r="P11" s="3003"/>
      <c r="Q11" s="3003"/>
      <c r="R11" s="3003"/>
      <c r="S11" s="3003"/>
      <c r="T11" s="3002"/>
      <c r="U11" s="3001" t="s">
        <v>2815</v>
      </c>
      <c r="V11" s="3003"/>
      <c r="W11" s="3002"/>
      <c r="X11" s="2999" t="s">
        <v>2816</v>
      </c>
      <c r="Y11" s="2999" t="s">
        <v>2817</v>
      </c>
      <c r="Z11" s="2999" t="s">
        <v>2818</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2819</v>
      </c>
      <c r="E12" s="3008" t="s">
        <v>2820</v>
      </c>
      <c r="F12" s="3008" t="s">
        <v>2821</v>
      </c>
      <c r="G12" s="3008" t="s">
        <v>2822</v>
      </c>
      <c r="H12" s="3008" t="s">
        <v>2804</v>
      </c>
      <c r="I12" s="3009" t="s">
        <v>2823</v>
      </c>
      <c r="J12" s="3009" t="s">
        <v>2823</v>
      </c>
      <c r="K12" s="3005"/>
      <c r="L12" s="3006"/>
      <c r="M12" s="3007"/>
      <c r="N12" s="3006"/>
      <c r="O12" s="3009" t="s">
        <v>2824</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2825</v>
      </c>
      <c r="C13" s="3013">
        <v>42301</v>
      </c>
      <c r="D13" s="3014">
        <v>4.3499999999999996</v>
      </c>
      <c r="E13" s="3014">
        <v>4.3499999999999996</v>
      </c>
      <c r="F13" s="3014">
        <v>4.75</v>
      </c>
      <c r="G13" s="3014">
        <v>4.75</v>
      </c>
      <c r="H13" s="3014">
        <v>4.9000000000000004</v>
      </c>
      <c r="I13" s="3014">
        <v>2.75</v>
      </c>
      <c r="J13" s="3014">
        <v>3.25</v>
      </c>
      <c r="K13" s="3011"/>
      <c r="L13" s="3012" t="s">
        <v>2825</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2826</v>
      </c>
      <c r="Y42" s="3018" t="s">
        <v>2826</v>
      </c>
      <c r="Z42" s="3018" t="s">
        <v>2826</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2826</v>
      </c>
      <c r="Y43" s="3018" t="s">
        <v>2826</v>
      </c>
      <c r="Z43" s="3018" t="s">
        <v>2826</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2826</v>
      </c>
      <c r="Y44" s="3018" t="s">
        <v>2826</v>
      </c>
      <c r="Z44" s="3018" t="s">
        <v>2826</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2826</v>
      </c>
      <c r="Y45" s="3018" t="s">
        <v>2826</v>
      </c>
      <c r="Z45" s="3018" t="s">
        <v>2826</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2826</v>
      </c>
      <c r="Y46" s="3018" t="s">
        <v>2826</v>
      </c>
      <c r="Z46" s="3018" t="s">
        <v>2826</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2826</v>
      </c>
      <c r="Y47" s="3018" t="s">
        <v>2826</v>
      </c>
      <c r="Z47" s="3018" t="s">
        <v>2826</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2826</v>
      </c>
      <c r="Y48" s="3018" t="s">
        <v>2826</v>
      </c>
      <c r="Z48" s="3018" t="s">
        <v>2826</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2826</v>
      </c>
      <c r="Y49" s="3018" t="s">
        <v>2826</v>
      </c>
      <c r="Z49" s="3018" t="s">
        <v>2826</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2826</v>
      </c>
      <c r="Y50" s="3018" t="s">
        <v>2826</v>
      </c>
      <c r="Z50" s="3018" t="s">
        <v>2826</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2826</v>
      </c>
      <c r="V51" s="3018" t="s">
        <v>2826</v>
      </c>
      <c r="W51" s="3018" t="s">
        <v>2826</v>
      </c>
      <c r="X51" s="3018" t="s">
        <v>2826</v>
      </c>
      <c r="Y51" s="3018" t="s">
        <v>2826</v>
      </c>
      <c r="Z51" s="3018" t="s">
        <v>2826</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2826</v>
      </c>
      <c r="J55" s="3018" t="s">
        <v>2826</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opLeftCell="A37" workbookViewId="0">
      <selection activeCell="Z148" sqref="Z148"/>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P18" sqref="P18"/>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Q51"/>
  <sheetViews>
    <sheetView workbookViewId="0">
      <selection activeCell="D20" sqref="D20"/>
    </sheetView>
  </sheetViews>
  <sheetFormatPr defaultRowHeight="13.5"/>
  <cols>
    <col min="1" max="1" width="27.75" style="3172" customWidth="1"/>
    <col min="2" max="2" width="6.25" style="3172" customWidth="1"/>
    <col min="3" max="3" width="7.875" style="3172" customWidth="1"/>
    <col min="4" max="4" width="6.25" style="3172" customWidth="1"/>
    <col min="5" max="5" width="27.75" style="3172" customWidth="1"/>
    <col min="6" max="6" width="7.875" style="3172" customWidth="1"/>
    <col min="7" max="8" width="13.875" style="3172" customWidth="1"/>
    <col min="9" max="9" width="19.125" style="3172" customWidth="1"/>
    <col min="10" max="10" width="9" style="3172" customWidth="1"/>
    <col min="11" max="11" width="26.125" style="3172" customWidth="1"/>
    <col min="12" max="12" width="10.625" style="3172" customWidth="1"/>
    <col min="13" max="13" width="16" style="3172" customWidth="1"/>
    <col min="14" max="14" width="14.375" style="3172" customWidth="1"/>
    <col min="15" max="15" width="6.25" style="3172" customWidth="1"/>
    <col min="16" max="256" width="9" style="3172"/>
    <col min="257" max="257" width="27.75" style="3172" customWidth="1"/>
    <col min="258" max="258" width="6.25" style="3172" customWidth="1"/>
    <col min="259" max="259" width="7.875" style="3172" customWidth="1"/>
    <col min="260" max="260" width="6.25" style="3172" customWidth="1"/>
    <col min="261" max="261" width="27.75" style="3172" customWidth="1"/>
    <col min="262" max="262" width="7.875" style="3172" customWidth="1"/>
    <col min="263" max="264" width="13.875" style="3172" customWidth="1"/>
    <col min="265" max="265" width="19.125" style="3172" customWidth="1"/>
    <col min="266" max="266" width="9" style="3172" customWidth="1"/>
    <col min="267" max="267" width="26.125" style="3172" customWidth="1"/>
    <col min="268" max="268" width="10.625" style="3172" customWidth="1"/>
    <col min="269" max="269" width="16" style="3172" customWidth="1"/>
    <col min="270" max="270" width="14.375" style="3172" customWidth="1"/>
    <col min="271" max="271" width="6.25" style="3172" customWidth="1"/>
    <col min="272" max="512" width="9" style="3172"/>
    <col min="513" max="513" width="27.75" style="3172" customWidth="1"/>
    <col min="514" max="514" width="6.25" style="3172" customWidth="1"/>
    <col min="515" max="515" width="7.875" style="3172" customWidth="1"/>
    <col min="516" max="516" width="6.25" style="3172" customWidth="1"/>
    <col min="517" max="517" width="27.75" style="3172" customWidth="1"/>
    <col min="518" max="518" width="7.875" style="3172" customWidth="1"/>
    <col min="519" max="520" width="13.875" style="3172" customWidth="1"/>
    <col min="521" max="521" width="19.125" style="3172" customWidth="1"/>
    <col min="522" max="522" width="9" style="3172" customWidth="1"/>
    <col min="523" max="523" width="26.125" style="3172" customWidth="1"/>
    <col min="524" max="524" width="10.625" style="3172" customWidth="1"/>
    <col min="525" max="525" width="16" style="3172" customWidth="1"/>
    <col min="526" max="526" width="14.375" style="3172" customWidth="1"/>
    <col min="527" max="527" width="6.25" style="3172" customWidth="1"/>
    <col min="528" max="768" width="9" style="3172"/>
    <col min="769" max="769" width="27.75" style="3172" customWidth="1"/>
    <col min="770" max="770" width="6.25" style="3172" customWidth="1"/>
    <col min="771" max="771" width="7.875" style="3172" customWidth="1"/>
    <col min="772" max="772" width="6.25" style="3172" customWidth="1"/>
    <col min="773" max="773" width="27.75" style="3172" customWidth="1"/>
    <col min="774" max="774" width="7.875" style="3172" customWidth="1"/>
    <col min="775" max="776" width="13.875" style="3172" customWidth="1"/>
    <col min="777" max="777" width="19.125" style="3172" customWidth="1"/>
    <col min="778" max="778" width="9" style="3172" customWidth="1"/>
    <col min="779" max="779" width="26.125" style="3172" customWidth="1"/>
    <col min="780" max="780" width="10.625" style="3172" customWidth="1"/>
    <col min="781" max="781" width="16" style="3172" customWidth="1"/>
    <col min="782" max="782" width="14.375" style="3172" customWidth="1"/>
    <col min="783" max="783" width="6.25" style="3172" customWidth="1"/>
    <col min="784" max="1024" width="9" style="3172"/>
    <col min="1025" max="1025" width="27.75" style="3172" customWidth="1"/>
    <col min="1026" max="1026" width="6.25" style="3172" customWidth="1"/>
    <col min="1027" max="1027" width="7.875" style="3172" customWidth="1"/>
    <col min="1028" max="1028" width="6.25" style="3172" customWidth="1"/>
    <col min="1029" max="1029" width="27.75" style="3172" customWidth="1"/>
    <col min="1030" max="1030" width="7.875" style="3172" customWidth="1"/>
    <col min="1031" max="1032" width="13.875" style="3172" customWidth="1"/>
    <col min="1033" max="1033" width="19.125" style="3172" customWidth="1"/>
    <col min="1034" max="1034" width="9" style="3172" customWidth="1"/>
    <col min="1035" max="1035" width="26.125" style="3172" customWidth="1"/>
    <col min="1036" max="1036" width="10.625" style="3172" customWidth="1"/>
    <col min="1037" max="1037" width="16" style="3172" customWidth="1"/>
    <col min="1038" max="1038" width="14.375" style="3172" customWidth="1"/>
    <col min="1039" max="1039" width="6.25" style="3172" customWidth="1"/>
    <col min="1040" max="1280" width="9" style="3172"/>
    <col min="1281" max="1281" width="27.75" style="3172" customWidth="1"/>
    <col min="1282" max="1282" width="6.25" style="3172" customWidth="1"/>
    <col min="1283" max="1283" width="7.875" style="3172" customWidth="1"/>
    <col min="1284" max="1284" width="6.25" style="3172" customWidth="1"/>
    <col min="1285" max="1285" width="27.75" style="3172" customWidth="1"/>
    <col min="1286" max="1286" width="7.875" style="3172" customWidth="1"/>
    <col min="1287" max="1288" width="13.875" style="3172" customWidth="1"/>
    <col min="1289" max="1289" width="19.125" style="3172" customWidth="1"/>
    <col min="1290" max="1290" width="9" style="3172" customWidth="1"/>
    <col min="1291" max="1291" width="26.125" style="3172" customWidth="1"/>
    <col min="1292" max="1292" width="10.625" style="3172" customWidth="1"/>
    <col min="1293" max="1293" width="16" style="3172" customWidth="1"/>
    <col min="1294" max="1294" width="14.375" style="3172" customWidth="1"/>
    <col min="1295" max="1295" width="6.25" style="3172" customWidth="1"/>
    <col min="1296" max="1536" width="9" style="3172"/>
    <col min="1537" max="1537" width="27.75" style="3172" customWidth="1"/>
    <col min="1538" max="1538" width="6.25" style="3172" customWidth="1"/>
    <col min="1539" max="1539" width="7.875" style="3172" customWidth="1"/>
    <col min="1540" max="1540" width="6.25" style="3172" customWidth="1"/>
    <col min="1541" max="1541" width="27.75" style="3172" customWidth="1"/>
    <col min="1542" max="1542" width="7.875" style="3172" customWidth="1"/>
    <col min="1543" max="1544" width="13.875" style="3172" customWidth="1"/>
    <col min="1545" max="1545" width="19.125" style="3172" customWidth="1"/>
    <col min="1546" max="1546" width="9" style="3172" customWidth="1"/>
    <col min="1547" max="1547" width="26.125" style="3172" customWidth="1"/>
    <col min="1548" max="1548" width="10.625" style="3172" customWidth="1"/>
    <col min="1549" max="1549" width="16" style="3172" customWidth="1"/>
    <col min="1550" max="1550" width="14.375" style="3172" customWidth="1"/>
    <col min="1551" max="1551" width="6.25" style="3172" customWidth="1"/>
    <col min="1552" max="1792" width="9" style="3172"/>
    <col min="1793" max="1793" width="27.75" style="3172" customWidth="1"/>
    <col min="1794" max="1794" width="6.25" style="3172" customWidth="1"/>
    <col min="1795" max="1795" width="7.875" style="3172" customWidth="1"/>
    <col min="1796" max="1796" width="6.25" style="3172" customWidth="1"/>
    <col min="1797" max="1797" width="27.75" style="3172" customWidth="1"/>
    <col min="1798" max="1798" width="7.875" style="3172" customWidth="1"/>
    <col min="1799" max="1800" width="13.875" style="3172" customWidth="1"/>
    <col min="1801" max="1801" width="19.125" style="3172" customWidth="1"/>
    <col min="1802" max="1802" width="9" style="3172" customWidth="1"/>
    <col min="1803" max="1803" width="26.125" style="3172" customWidth="1"/>
    <col min="1804" max="1804" width="10.625" style="3172" customWidth="1"/>
    <col min="1805" max="1805" width="16" style="3172" customWidth="1"/>
    <col min="1806" max="1806" width="14.375" style="3172" customWidth="1"/>
    <col min="1807" max="1807" width="6.25" style="3172" customWidth="1"/>
    <col min="1808" max="2048" width="9" style="3172"/>
    <col min="2049" max="2049" width="27.75" style="3172" customWidth="1"/>
    <col min="2050" max="2050" width="6.25" style="3172" customWidth="1"/>
    <col min="2051" max="2051" width="7.875" style="3172" customWidth="1"/>
    <col min="2052" max="2052" width="6.25" style="3172" customWidth="1"/>
    <col min="2053" max="2053" width="27.75" style="3172" customWidth="1"/>
    <col min="2054" max="2054" width="7.875" style="3172" customWidth="1"/>
    <col min="2055" max="2056" width="13.875" style="3172" customWidth="1"/>
    <col min="2057" max="2057" width="19.125" style="3172" customWidth="1"/>
    <col min="2058" max="2058" width="9" style="3172" customWidth="1"/>
    <col min="2059" max="2059" width="26.125" style="3172" customWidth="1"/>
    <col min="2060" max="2060" width="10.625" style="3172" customWidth="1"/>
    <col min="2061" max="2061" width="16" style="3172" customWidth="1"/>
    <col min="2062" max="2062" width="14.375" style="3172" customWidth="1"/>
    <col min="2063" max="2063" width="6.25" style="3172" customWidth="1"/>
    <col min="2064" max="2304" width="9" style="3172"/>
    <col min="2305" max="2305" width="27.75" style="3172" customWidth="1"/>
    <col min="2306" max="2306" width="6.25" style="3172" customWidth="1"/>
    <col min="2307" max="2307" width="7.875" style="3172" customWidth="1"/>
    <col min="2308" max="2308" width="6.25" style="3172" customWidth="1"/>
    <col min="2309" max="2309" width="27.75" style="3172" customWidth="1"/>
    <col min="2310" max="2310" width="7.875" style="3172" customWidth="1"/>
    <col min="2311" max="2312" width="13.875" style="3172" customWidth="1"/>
    <col min="2313" max="2313" width="19.125" style="3172" customWidth="1"/>
    <col min="2314" max="2314" width="9" style="3172" customWidth="1"/>
    <col min="2315" max="2315" width="26.125" style="3172" customWidth="1"/>
    <col min="2316" max="2316" width="10.625" style="3172" customWidth="1"/>
    <col min="2317" max="2317" width="16" style="3172" customWidth="1"/>
    <col min="2318" max="2318" width="14.375" style="3172" customWidth="1"/>
    <col min="2319" max="2319" width="6.25" style="3172" customWidth="1"/>
    <col min="2320" max="2560" width="9" style="3172"/>
    <col min="2561" max="2561" width="27.75" style="3172" customWidth="1"/>
    <col min="2562" max="2562" width="6.25" style="3172" customWidth="1"/>
    <col min="2563" max="2563" width="7.875" style="3172" customWidth="1"/>
    <col min="2564" max="2564" width="6.25" style="3172" customWidth="1"/>
    <col min="2565" max="2565" width="27.75" style="3172" customWidth="1"/>
    <col min="2566" max="2566" width="7.875" style="3172" customWidth="1"/>
    <col min="2567" max="2568" width="13.875" style="3172" customWidth="1"/>
    <col min="2569" max="2569" width="19.125" style="3172" customWidth="1"/>
    <col min="2570" max="2570" width="9" style="3172" customWidth="1"/>
    <col min="2571" max="2571" width="26.125" style="3172" customWidth="1"/>
    <col min="2572" max="2572" width="10.625" style="3172" customWidth="1"/>
    <col min="2573" max="2573" width="16" style="3172" customWidth="1"/>
    <col min="2574" max="2574" width="14.375" style="3172" customWidth="1"/>
    <col min="2575" max="2575" width="6.25" style="3172" customWidth="1"/>
    <col min="2576" max="2816" width="9" style="3172"/>
    <col min="2817" max="2817" width="27.75" style="3172" customWidth="1"/>
    <col min="2818" max="2818" width="6.25" style="3172" customWidth="1"/>
    <col min="2819" max="2819" width="7.875" style="3172" customWidth="1"/>
    <col min="2820" max="2820" width="6.25" style="3172" customWidth="1"/>
    <col min="2821" max="2821" width="27.75" style="3172" customWidth="1"/>
    <col min="2822" max="2822" width="7.875" style="3172" customWidth="1"/>
    <col min="2823" max="2824" width="13.875" style="3172" customWidth="1"/>
    <col min="2825" max="2825" width="19.125" style="3172" customWidth="1"/>
    <col min="2826" max="2826" width="9" style="3172" customWidth="1"/>
    <col min="2827" max="2827" width="26.125" style="3172" customWidth="1"/>
    <col min="2828" max="2828" width="10.625" style="3172" customWidth="1"/>
    <col min="2829" max="2829" width="16" style="3172" customWidth="1"/>
    <col min="2830" max="2830" width="14.375" style="3172" customWidth="1"/>
    <col min="2831" max="2831" width="6.25" style="3172" customWidth="1"/>
    <col min="2832" max="3072" width="9" style="3172"/>
    <col min="3073" max="3073" width="27.75" style="3172" customWidth="1"/>
    <col min="3074" max="3074" width="6.25" style="3172" customWidth="1"/>
    <col min="3075" max="3075" width="7.875" style="3172" customWidth="1"/>
    <col min="3076" max="3076" width="6.25" style="3172" customWidth="1"/>
    <col min="3077" max="3077" width="27.75" style="3172" customWidth="1"/>
    <col min="3078" max="3078" width="7.875" style="3172" customWidth="1"/>
    <col min="3079" max="3080" width="13.875" style="3172" customWidth="1"/>
    <col min="3081" max="3081" width="19.125" style="3172" customWidth="1"/>
    <col min="3082" max="3082" width="9" style="3172" customWidth="1"/>
    <col min="3083" max="3083" width="26.125" style="3172" customWidth="1"/>
    <col min="3084" max="3084" width="10.625" style="3172" customWidth="1"/>
    <col min="3085" max="3085" width="16" style="3172" customWidth="1"/>
    <col min="3086" max="3086" width="14.375" style="3172" customWidth="1"/>
    <col min="3087" max="3087" width="6.25" style="3172" customWidth="1"/>
    <col min="3088" max="3328" width="9" style="3172"/>
    <col min="3329" max="3329" width="27.75" style="3172" customWidth="1"/>
    <col min="3330" max="3330" width="6.25" style="3172" customWidth="1"/>
    <col min="3331" max="3331" width="7.875" style="3172" customWidth="1"/>
    <col min="3332" max="3332" width="6.25" style="3172" customWidth="1"/>
    <col min="3333" max="3333" width="27.75" style="3172" customWidth="1"/>
    <col min="3334" max="3334" width="7.875" style="3172" customWidth="1"/>
    <col min="3335" max="3336" width="13.875" style="3172" customWidth="1"/>
    <col min="3337" max="3337" width="19.125" style="3172" customWidth="1"/>
    <col min="3338" max="3338" width="9" style="3172" customWidth="1"/>
    <col min="3339" max="3339" width="26.125" style="3172" customWidth="1"/>
    <col min="3340" max="3340" width="10.625" style="3172" customWidth="1"/>
    <col min="3341" max="3341" width="16" style="3172" customWidth="1"/>
    <col min="3342" max="3342" width="14.375" style="3172" customWidth="1"/>
    <col min="3343" max="3343" width="6.25" style="3172" customWidth="1"/>
    <col min="3344" max="3584" width="9" style="3172"/>
    <col min="3585" max="3585" width="27.75" style="3172" customWidth="1"/>
    <col min="3586" max="3586" width="6.25" style="3172" customWidth="1"/>
    <col min="3587" max="3587" width="7.875" style="3172" customWidth="1"/>
    <col min="3588" max="3588" width="6.25" style="3172" customWidth="1"/>
    <col min="3589" max="3589" width="27.75" style="3172" customWidth="1"/>
    <col min="3590" max="3590" width="7.875" style="3172" customWidth="1"/>
    <col min="3591" max="3592" width="13.875" style="3172" customWidth="1"/>
    <col min="3593" max="3593" width="19.125" style="3172" customWidth="1"/>
    <col min="3594" max="3594" width="9" style="3172" customWidth="1"/>
    <col min="3595" max="3595" width="26.125" style="3172" customWidth="1"/>
    <col min="3596" max="3596" width="10.625" style="3172" customWidth="1"/>
    <col min="3597" max="3597" width="16" style="3172" customWidth="1"/>
    <col min="3598" max="3598" width="14.375" style="3172" customWidth="1"/>
    <col min="3599" max="3599" width="6.25" style="3172" customWidth="1"/>
    <col min="3600" max="3840" width="9" style="3172"/>
    <col min="3841" max="3841" width="27.75" style="3172" customWidth="1"/>
    <col min="3842" max="3842" width="6.25" style="3172" customWidth="1"/>
    <col min="3843" max="3843" width="7.875" style="3172" customWidth="1"/>
    <col min="3844" max="3844" width="6.25" style="3172" customWidth="1"/>
    <col min="3845" max="3845" width="27.75" style="3172" customWidth="1"/>
    <col min="3846" max="3846" width="7.875" style="3172" customWidth="1"/>
    <col min="3847" max="3848" width="13.875" style="3172" customWidth="1"/>
    <col min="3849" max="3849" width="19.125" style="3172" customWidth="1"/>
    <col min="3850" max="3850" width="9" style="3172" customWidth="1"/>
    <col min="3851" max="3851" width="26.125" style="3172" customWidth="1"/>
    <col min="3852" max="3852" width="10.625" style="3172" customWidth="1"/>
    <col min="3853" max="3853" width="16" style="3172" customWidth="1"/>
    <col min="3854" max="3854" width="14.375" style="3172" customWidth="1"/>
    <col min="3855" max="3855" width="6.25" style="3172" customWidth="1"/>
    <col min="3856" max="4096" width="9" style="3172"/>
    <col min="4097" max="4097" width="27.75" style="3172" customWidth="1"/>
    <col min="4098" max="4098" width="6.25" style="3172" customWidth="1"/>
    <col min="4099" max="4099" width="7.875" style="3172" customWidth="1"/>
    <col min="4100" max="4100" width="6.25" style="3172" customWidth="1"/>
    <col min="4101" max="4101" width="27.75" style="3172" customWidth="1"/>
    <col min="4102" max="4102" width="7.875" style="3172" customWidth="1"/>
    <col min="4103" max="4104" width="13.875" style="3172" customWidth="1"/>
    <col min="4105" max="4105" width="19.125" style="3172" customWidth="1"/>
    <col min="4106" max="4106" width="9" style="3172" customWidth="1"/>
    <col min="4107" max="4107" width="26.125" style="3172" customWidth="1"/>
    <col min="4108" max="4108" width="10.625" style="3172" customWidth="1"/>
    <col min="4109" max="4109" width="16" style="3172" customWidth="1"/>
    <col min="4110" max="4110" width="14.375" style="3172" customWidth="1"/>
    <col min="4111" max="4111" width="6.25" style="3172" customWidth="1"/>
    <col min="4112" max="4352" width="9" style="3172"/>
    <col min="4353" max="4353" width="27.75" style="3172" customWidth="1"/>
    <col min="4354" max="4354" width="6.25" style="3172" customWidth="1"/>
    <col min="4355" max="4355" width="7.875" style="3172" customWidth="1"/>
    <col min="4356" max="4356" width="6.25" style="3172" customWidth="1"/>
    <col min="4357" max="4357" width="27.75" style="3172" customWidth="1"/>
    <col min="4358" max="4358" width="7.875" style="3172" customWidth="1"/>
    <col min="4359" max="4360" width="13.875" style="3172" customWidth="1"/>
    <col min="4361" max="4361" width="19.125" style="3172" customWidth="1"/>
    <col min="4362" max="4362" width="9" style="3172" customWidth="1"/>
    <col min="4363" max="4363" width="26.125" style="3172" customWidth="1"/>
    <col min="4364" max="4364" width="10.625" style="3172" customWidth="1"/>
    <col min="4365" max="4365" width="16" style="3172" customWidth="1"/>
    <col min="4366" max="4366" width="14.375" style="3172" customWidth="1"/>
    <col min="4367" max="4367" width="6.25" style="3172" customWidth="1"/>
    <col min="4368" max="4608" width="9" style="3172"/>
    <col min="4609" max="4609" width="27.75" style="3172" customWidth="1"/>
    <col min="4610" max="4610" width="6.25" style="3172" customWidth="1"/>
    <col min="4611" max="4611" width="7.875" style="3172" customWidth="1"/>
    <col min="4612" max="4612" width="6.25" style="3172" customWidth="1"/>
    <col min="4613" max="4613" width="27.75" style="3172" customWidth="1"/>
    <col min="4614" max="4614" width="7.875" style="3172" customWidth="1"/>
    <col min="4615" max="4616" width="13.875" style="3172" customWidth="1"/>
    <col min="4617" max="4617" width="19.125" style="3172" customWidth="1"/>
    <col min="4618" max="4618" width="9" style="3172" customWidth="1"/>
    <col min="4619" max="4619" width="26.125" style="3172" customWidth="1"/>
    <col min="4620" max="4620" width="10.625" style="3172" customWidth="1"/>
    <col min="4621" max="4621" width="16" style="3172" customWidth="1"/>
    <col min="4622" max="4622" width="14.375" style="3172" customWidth="1"/>
    <col min="4623" max="4623" width="6.25" style="3172" customWidth="1"/>
    <col min="4624" max="4864" width="9" style="3172"/>
    <col min="4865" max="4865" width="27.75" style="3172" customWidth="1"/>
    <col min="4866" max="4866" width="6.25" style="3172" customWidth="1"/>
    <col min="4867" max="4867" width="7.875" style="3172" customWidth="1"/>
    <col min="4868" max="4868" width="6.25" style="3172" customWidth="1"/>
    <col min="4869" max="4869" width="27.75" style="3172" customWidth="1"/>
    <col min="4870" max="4870" width="7.875" style="3172" customWidth="1"/>
    <col min="4871" max="4872" width="13.875" style="3172" customWidth="1"/>
    <col min="4873" max="4873" width="19.125" style="3172" customWidth="1"/>
    <col min="4874" max="4874" width="9" style="3172" customWidth="1"/>
    <col min="4875" max="4875" width="26.125" style="3172" customWidth="1"/>
    <col min="4876" max="4876" width="10.625" style="3172" customWidth="1"/>
    <col min="4877" max="4877" width="16" style="3172" customWidth="1"/>
    <col min="4878" max="4878" width="14.375" style="3172" customWidth="1"/>
    <col min="4879" max="4879" width="6.25" style="3172" customWidth="1"/>
    <col min="4880" max="5120" width="9" style="3172"/>
    <col min="5121" max="5121" width="27.75" style="3172" customWidth="1"/>
    <col min="5122" max="5122" width="6.25" style="3172" customWidth="1"/>
    <col min="5123" max="5123" width="7.875" style="3172" customWidth="1"/>
    <col min="5124" max="5124" width="6.25" style="3172" customWidth="1"/>
    <col min="5125" max="5125" width="27.75" style="3172" customWidth="1"/>
    <col min="5126" max="5126" width="7.875" style="3172" customWidth="1"/>
    <col min="5127" max="5128" width="13.875" style="3172" customWidth="1"/>
    <col min="5129" max="5129" width="19.125" style="3172" customWidth="1"/>
    <col min="5130" max="5130" width="9" style="3172" customWidth="1"/>
    <col min="5131" max="5131" width="26.125" style="3172" customWidth="1"/>
    <col min="5132" max="5132" width="10.625" style="3172" customWidth="1"/>
    <col min="5133" max="5133" width="16" style="3172" customWidth="1"/>
    <col min="5134" max="5134" width="14.375" style="3172" customWidth="1"/>
    <col min="5135" max="5135" width="6.25" style="3172" customWidth="1"/>
    <col min="5136" max="5376" width="9" style="3172"/>
    <col min="5377" max="5377" width="27.75" style="3172" customWidth="1"/>
    <col min="5378" max="5378" width="6.25" style="3172" customWidth="1"/>
    <col min="5379" max="5379" width="7.875" style="3172" customWidth="1"/>
    <col min="5380" max="5380" width="6.25" style="3172" customWidth="1"/>
    <col min="5381" max="5381" width="27.75" style="3172" customWidth="1"/>
    <col min="5382" max="5382" width="7.875" style="3172" customWidth="1"/>
    <col min="5383" max="5384" width="13.875" style="3172" customWidth="1"/>
    <col min="5385" max="5385" width="19.125" style="3172" customWidth="1"/>
    <col min="5386" max="5386" width="9" style="3172" customWidth="1"/>
    <col min="5387" max="5387" width="26.125" style="3172" customWidth="1"/>
    <col min="5388" max="5388" width="10.625" style="3172" customWidth="1"/>
    <col min="5389" max="5389" width="16" style="3172" customWidth="1"/>
    <col min="5390" max="5390" width="14.375" style="3172" customWidth="1"/>
    <col min="5391" max="5391" width="6.25" style="3172" customWidth="1"/>
    <col min="5392" max="5632" width="9" style="3172"/>
    <col min="5633" max="5633" width="27.75" style="3172" customWidth="1"/>
    <col min="5634" max="5634" width="6.25" style="3172" customWidth="1"/>
    <col min="5635" max="5635" width="7.875" style="3172" customWidth="1"/>
    <col min="5636" max="5636" width="6.25" style="3172" customWidth="1"/>
    <col min="5637" max="5637" width="27.75" style="3172" customWidth="1"/>
    <col min="5638" max="5638" width="7.875" style="3172" customWidth="1"/>
    <col min="5639" max="5640" width="13.875" style="3172" customWidth="1"/>
    <col min="5641" max="5641" width="19.125" style="3172" customWidth="1"/>
    <col min="5642" max="5642" width="9" style="3172" customWidth="1"/>
    <col min="5643" max="5643" width="26.125" style="3172" customWidth="1"/>
    <col min="5644" max="5644" width="10.625" style="3172" customWidth="1"/>
    <col min="5645" max="5645" width="16" style="3172" customWidth="1"/>
    <col min="5646" max="5646" width="14.375" style="3172" customWidth="1"/>
    <col min="5647" max="5647" width="6.25" style="3172" customWidth="1"/>
    <col min="5648" max="5888" width="9" style="3172"/>
    <col min="5889" max="5889" width="27.75" style="3172" customWidth="1"/>
    <col min="5890" max="5890" width="6.25" style="3172" customWidth="1"/>
    <col min="5891" max="5891" width="7.875" style="3172" customWidth="1"/>
    <col min="5892" max="5892" width="6.25" style="3172" customWidth="1"/>
    <col min="5893" max="5893" width="27.75" style="3172" customWidth="1"/>
    <col min="5894" max="5894" width="7.875" style="3172" customWidth="1"/>
    <col min="5895" max="5896" width="13.875" style="3172" customWidth="1"/>
    <col min="5897" max="5897" width="19.125" style="3172" customWidth="1"/>
    <col min="5898" max="5898" width="9" style="3172" customWidth="1"/>
    <col min="5899" max="5899" width="26.125" style="3172" customWidth="1"/>
    <col min="5900" max="5900" width="10.625" style="3172" customWidth="1"/>
    <col min="5901" max="5901" width="16" style="3172" customWidth="1"/>
    <col min="5902" max="5902" width="14.375" style="3172" customWidth="1"/>
    <col min="5903" max="5903" width="6.25" style="3172" customWidth="1"/>
    <col min="5904" max="6144" width="9" style="3172"/>
    <col min="6145" max="6145" width="27.75" style="3172" customWidth="1"/>
    <col min="6146" max="6146" width="6.25" style="3172" customWidth="1"/>
    <col min="6147" max="6147" width="7.875" style="3172" customWidth="1"/>
    <col min="6148" max="6148" width="6.25" style="3172" customWidth="1"/>
    <col min="6149" max="6149" width="27.75" style="3172" customWidth="1"/>
    <col min="6150" max="6150" width="7.875" style="3172" customWidth="1"/>
    <col min="6151" max="6152" width="13.875" style="3172" customWidth="1"/>
    <col min="6153" max="6153" width="19.125" style="3172" customWidth="1"/>
    <col min="6154" max="6154" width="9" style="3172" customWidth="1"/>
    <col min="6155" max="6155" width="26.125" style="3172" customWidth="1"/>
    <col min="6156" max="6156" width="10.625" style="3172" customWidth="1"/>
    <col min="6157" max="6157" width="16" style="3172" customWidth="1"/>
    <col min="6158" max="6158" width="14.375" style="3172" customWidth="1"/>
    <col min="6159" max="6159" width="6.25" style="3172" customWidth="1"/>
    <col min="6160" max="6400" width="9" style="3172"/>
    <col min="6401" max="6401" width="27.75" style="3172" customWidth="1"/>
    <col min="6402" max="6402" width="6.25" style="3172" customWidth="1"/>
    <col min="6403" max="6403" width="7.875" style="3172" customWidth="1"/>
    <col min="6404" max="6404" width="6.25" style="3172" customWidth="1"/>
    <col min="6405" max="6405" width="27.75" style="3172" customWidth="1"/>
    <col min="6406" max="6406" width="7.875" style="3172" customWidth="1"/>
    <col min="6407" max="6408" width="13.875" style="3172" customWidth="1"/>
    <col min="6409" max="6409" width="19.125" style="3172" customWidth="1"/>
    <col min="6410" max="6410" width="9" style="3172" customWidth="1"/>
    <col min="6411" max="6411" width="26.125" style="3172" customWidth="1"/>
    <col min="6412" max="6412" width="10.625" style="3172" customWidth="1"/>
    <col min="6413" max="6413" width="16" style="3172" customWidth="1"/>
    <col min="6414" max="6414" width="14.375" style="3172" customWidth="1"/>
    <col min="6415" max="6415" width="6.25" style="3172" customWidth="1"/>
    <col min="6416" max="6656" width="9" style="3172"/>
    <col min="6657" max="6657" width="27.75" style="3172" customWidth="1"/>
    <col min="6658" max="6658" width="6.25" style="3172" customWidth="1"/>
    <col min="6659" max="6659" width="7.875" style="3172" customWidth="1"/>
    <col min="6660" max="6660" width="6.25" style="3172" customWidth="1"/>
    <col min="6661" max="6661" width="27.75" style="3172" customWidth="1"/>
    <col min="6662" max="6662" width="7.875" style="3172" customWidth="1"/>
    <col min="6663" max="6664" width="13.875" style="3172" customWidth="1"/>
    <col min="6665" max="6665" width="19.125" style="3172" customWidth="1"/>
    <col min="6666" max="6666" width="9" style="3172" customWidth="1"/>
    <col min="6667" max="6667" width="26.125" style="3172" customWidth="1"/>
    <col min="6668" max="6668" width="10.625" style="3172" customWidth="1"/>
    <col min="6669" max="6669" width="16" style="3172" customWidth="1"/>
    <col min="6670" max="6670" width="14.375" style="3172" customWidth="1"/>
    <col min="6671" max="6671" width="6.25" style="3172" customWidth="1"/>
    <col min="6672" max="6912" width="9" style="3172"/>
    <col min="6913" max="6913" width="27.75" style="3172" customWidth="1"/>
    <col min="6914" max="6914" width="6.25" style="3172" customWidth="1"/>
    <col min="6915" max="6915" width="7.875" style="3172" customWidth="1"/>
    <col min="6916" max="6916" width="6.25" style="3172" customWidth="1"/>
    <col min="6917" max="6917" width="27.75" style="3172" customWidth="1"/>
    <col min="6918" max="6918" width="7.875" style="3172" customWidth="1"/>
    <col min="6919" max="6920" width="13.875" style="3172" customWidth="1"/>
    <col min="6921" max="6921" width="19.125" style="3172" customWidth="1"/>
    <col min="6922" max="6922" width="9" style="3172" customWidth="1"/>
    <col min="6923" max="6923" width="26.125" style="3172" customWidth="1"/>
    <col min="6924" max="6924" width="10.625" style="3172" customWidth="1"/>
    <col min="6925" max="6925" width="16" style="3172" customWidth="1"/>
    <col min="6926" max="6926" width="14.375" style="3172" customWidth="1"/>
    <col min="6927" max="6927" width="6.25" style="3172" customWidth="1"/>
    <col min="6928" max="7168" width="9" style="3172"/>
    <col min="7169" max="7169" width="27.75" style="3172" customWidth="1"/>
    <col min="7170" max="7170" width="6.25" style="3172" customWidth="1"/>
    <col min="7171" max="7171" width="7.875" style="3172" customWidth="1"/>
    <col min="7172" max="7172" width="6.25" style="3172" customWidth="1"/>
    <col min="7173" max="7173" width="27.75" style="3172" customWidth="1"/>
    <col min="7174" max="7174" width="7.875" style="3172" customWidth="1"/>
    <col min="7175" max="7176" width="13.875" style="3172" customWidth="1"/>
    <col min="7177" max="7177" width="19.125" style="3172" customWidth="1"/>
    <col min="7178" max="7178" width="9" style="3172" customWidth="1"/>
    <col min="7179" max="7179" width="26.125" style="3172" customWidth="1"/>
    <col min="7180" max="7180" width="10.625" style="3172" customWidth="1"/>
    <col min="7181" max="7181" width="16" style="3172" customWidth="1"/>
    <col min="7182" max="7182" width="14.375" style="3172" customWidth="1"/>
    <col min="7183" max="7183" width="6.25" style="3172" customWidth="1"/>
    <col min="7184" max="7424" width="9" style="3172"/>
    <col min="7425" max="7425" width="27.75" style="3172" customWidth="1"/>
    <col min="7426" max="7426" width="6.25" style="3172" customWidth="1"/>
    <col min="7427" max="7427" width="7.875" style="3172" customWidth="1"/>
    <col min="7428" max="7428" width="6.25" style="3172" customWidth="1"/>
    <col min="7429" max="7429" width="27.75" style="3172" customWidth="1"/>
    <col min="7430" max="7430" width="7.875" style="3172" customWidth="1"/>
    <col min="7431" max="7432" width="13.875" style="3172" customWidth="1"/>
    <col min="7433" max="7433" width="19.125" style="3172" customWidth="1"/>
    <col min="7434" max="7434" width="9" style="3172" customWidth="1"/>
    <col min="7435" max="7435" width="26.125" style="3172" customWidth="1"/>
    <col min="7436" max="7436" width="10.625" style="3172" customWidth="1"/>
    <col min="7437" max="7437" width="16" style="3172" customWidth="1"/>
    <col min="7438" max="7438" width="14.375" style="3172" customWidth="1"/>
    <col min="7439" max="7439" width="6.25" style="3172" customWidth="1"/>
    <col min="7440" max="7680" width="9" style="3172"/>
    <col min="7681" max="7681" width="27.75" style="3172" customWidth="1"/>
    <col min="7682" max="7682" width="6.25" style="3172" customWidth="1"/>
    <col min="7683" max="7683" width="7.875" style="3172" customWidth="1"/>
    <col min="7684" max="7684" width="6.25" style="3172" customWidth="1"/>
    <col min="7685" max="7685" width="27.75" style="3172" customWidth="1"/>
    <col min="7686" max="7686" width="7.875" style="3172" customWidth="1"/>
    <col min="7687" max="7688" width="13.875" style="3172" customWidth="1"/>
    <col min="7689" max="7689" width="19.125" style="3172" customWidth="1"/>
    <col min="7690" max="7690" width="9" style="3172" customWidth="1"/>
    <col min="7691" max="7691" width="26.125" style="3172" customWidth="1"/>
    <col min="7692" max="7692" width="10.625" style="3172" customWidth="1"/>
    <col min="7693" max="7693" width="16" style="3172" customWidth="1"/>
    <col min="7694" max="7694" width="14.375" style="3172" customWidth="1"/>
    <col min="7695" max="7695" width="6.25" style="3172" customWidth="1"/>
    <col min="7696" max="7936" width="9" style="3172"/>
    <col min="7937" max="7937" width="27.75" style="3172" customWidth="1"/>
    <col min="7938" max="7938" width="6.25" style="3172" customWidth="1"/>
    <col min="7939" max="7939" width="7.875" style="3172" customWidth="1"/>
    <col min="7940" max="7940" width="6.25" style="3172" customWidth="1"/>
    <col min="7941" max="7941" width="27.75" style="3172" customWidth="1"/>
    <col min="7942" max="7942" width="7.875" style="3172" customWidth="1"/>
    <col min="7943" max="7944" width="13.875" style="3172" customWidth="1"/>
    <col min="7945" max="7945" width="19.125" style="3172" customWidth="1"/>
    <col min="7946" max="7946" width="9" style="3172" customWidth="1"/>
    <col min="7947" max="7947" width="26.125" style="3172" customWidth="1"/>
    <col min="7948" max="7948" width="10.625" style="3172" customWidth="1"/>
    <col min="7949" max="7949" width="16" style="3172" customWidth="1"/>
    <col min="7950" max="7950" width="14.375" style="3172" customWidth="1"/>
    <col min="7951" max="7951" width="6.25" style="3172" customWidth="1"/>
    <col min="7952" max="8192" width="9" style="3172"/>
    <col min="8193" max="8193" width="27.75" style="3172" customWidth="1"/>
    <col min="8194" max="8194" width="6.25" style="3172" customWidth="1"/>
    <col min="8195" max="8195" width="7.875" style="3172" customWidth="1"/>
    <col min="8196" max="8196" width="6.25" style="3172" customWidth="1"/>
    <col min="8197" max="8197" width="27.75" style="3172" customWidth="1"/>
    <col min="8198" max="8198" width="7.875" style="3172" customWidth="1"/>
    <col min="8199" max="8200" width="13.875" style="3172" customWidth="1"/>
    <col min="8201" max="8201" width="19.125" style="3172" customWidth="1"/>
    <col min="8202" max="8202" width="9" style="3172" customWidth="1"/>
    <col min="8203" max="8203" width="26.125" style="3172" customWidth="1"/>
    <col min="8204" max="8204" width="10.625" style="3172" customWidth="1"/>
    <col min="8205" max="8205" width="16" style="3172" customWidth="1"/>
    <col min="8206" max="8206" width="14.375" style="3172" customWidth="1"/>
    <col min="8207" max="8207" width="6.25" style="3172" customWidth="1"/>
    <col min="8208" max="8448" width="9" style="3172"/>
    <col min="8449" max="8449" width="27.75" style="3172" customWidth="1"/>
    <col min="8450" max="8450" width="6.25" style="3172" customWidth="1"/>
    <col min="8451" max="8451" width="7.875" style="3172" customWidth="1"/>
    <col min="8452" max="8452" width="6.25" style="3172" customWidth="1"/>
    <col min="8453" max="8453" width="27.75" style="3172" customWidth="1"/>
    <col min="8454" max="8454" width="7.875" style="3172" customWidth="1"/>
    <col min="8455" max="8456" width="13.875" style="3172" customWidth="1"/>
    <col min="8457" max="8457" width="19.125" style="3172" customWidth="1"/>
    <col min="8458" max="8458" width="9" style="3172" customWidth="1"/>
    <col min="8459" max="8459" width="26.125" style="3172" customWidth="1"/>
    <col min="8460" max="8460" width="10.625" style="3172" customWidth="1"/>
    <col min="8461" max="8461" width="16" style="3172" customWidth="1"/>
    <col min="8462" max="8462" width="14.375" style="3172" customWidth="1"/>
    <col min="8463" max="8463" width="6.25" style="3172" customWidth="1"/>
    <col min="8464" max="8704" width="9" style="3172"/>
    <col min="8705" max="8705" width="27.75" style="3172" customWidth="1"/>
    <col min="8706" max="8706" width="6.25" style="3172" customWidth="1"/>
    <col min="8707" max="8707" width="7.875" style="3172" customWidth="1"/>
    <col min="8708" max="8708" width="6.25" style="3172" customWidth="1"/>
    <col min="8709" max="8709" width="27.75" style="3172" customWidth="1"/>
    <col min="8710" max="8710" width="7.875" style="3172" customWidth="1"/>
    <col min="8711" max="8712" width="13.875" style="3172" customWidth="1"/>
    <col min="8713" max="8713" width="19.125" style="3172" customWidth="1"/>
    <col min="8714" max="8714" width="9" style="3172" customWidth="1"/>
    <col min="8715" max="8715" width="26.125" style="3172" customWidth="1"/>
    <col min="8716" max="8716" width="10.625" style="3172" customWidth="1"/>
    <col min="8717" max="8717" width="16" style="3172" customWidth="1"/>
    <col min="8718" max="8718" width="14.375" style="3172" customWidth="1"/>
    <col min="8719" max="8719" width="6.25" style="3172" customWidth="1"/>
    <col min="8720" max="8960" width="9" style="3172"/>
    <col min="8961" max="8961" width="27.75" style="3172" customWidth="1"/>
    <col min="8962" max="8962" width="6.25" style="3172" customWidth="1"/>
    <col min="8963" max="8963" width="7.875" style="3172" customWidth="1"/>
    <col min="8964" max="8964" width="6.25" style="3172" customWidth="1"/>
    <col min="8965" max="8965" width="27.75" style="3172" customWidth="1"/>
    <col min="8966" max="8966" width="7.875" style="3172" customWidth="1"/>
    <col min="8967" max="8968" width="13.875" style="3172" customWidth="1"/>
    <col min="8969" max="8969" width="19.125" style="3172" customWidth="1"/>
    <col min="8970" max="8970" width="9" style="3172" customWidth="1"/>
    <col min="8971" max="8971" width="26.125" style="3172" customWidth="1"/>
    <col min="8972" max="8972" width="10.625" style="3172" customWidth="1"/>
    <col min="8973" max="8973" width="16" style="3172" customWidth="1"/>
    <col min="8974" max="8974" width="14.375" style="3172" customWidth="1"/>
    <col min="8975" max="8975" width="6.25" style="3172" customWidth="1"/>
    <col min="8976" max="9216" width="9" style="3172"/>
    <col min="9217" max="9217" width="27.75" style="3172" customWidth="1"/>
    <col min="9218" max="9218" width="6.25" style="3172" customWidth="1"/>
    <col min="9219" max="9219" width="7.875" style="3172" customWidth="1"/>
    <col min="9220" max="9220" width="6.25" style="3172" customWidth="1"/>
    <col min="9221" max="9221" width="27.75" style="3172" customWidth="1"/>
    <col min="9222" max="9222" width="7.875" style="3172" customWidth="1"/>
    <col min="9223" max="9224" width="13.875" style="3172" customWidth="1"/>
    <col min="9225" max="9225" width="19.125" style="3172" customWidth="1"/>
    <col min="9226" max="9226" width="9" style="3172" customWidth="1"/>
    <col min="9227" max="9227" width="26.125" style="3172" customWidth="1"/>
    <col min="9228" max="9228" width="10.625" style="3172" customWidth="1"/>
    <col min="9229" max="9229" width="16" style="3172" customWidth="1"/>
    <col min="9230" max="9230" width="14.375" style="3172" customWidth="1"/>
    <col min="9231" max="9231" width="6.25" style="3172" customWidth="1"/>
    <col min="9232" max="9472" width="9" style="3172"/>
    <col min="9473" max="9473" width="27.75" style="3172" customWidth="1"/>
    <col min="9474" max="9474" width="6.25" style="3172" customWidth="1"/>
    <col min="9475" max="9475" width="7.875" style="3172" customWidth="1"/>
    <col min="9476" max="9476" width="6.25" style="3172" customWidth="1"/>
    <col min="9477" max="9477" width="27.75" style="3172" customWidth="1"/>
    <col min="9478" max="9478" width="7.875" style="3172" customWidth="1"/>
    <col min="9479" max="9480" width="13.875" style="3172" customWidth="1"/>
    <col min="9481" max="9481" width="19.125" style="3172" customWidth="1"/>
    <col min="9482" max="9482" width="9" style="3172" customWidth="1"/>
    <col min="9483" max="9483" width="26.125" style="3172" customWidth="1"/>
    <col min="9484" max="9484" width="10.625" style="3172" customWidth="1"/>
    <col min="9485" max="9485" width="16" style="3172" customWidth="1"/>
    <col min="9486" max="9486" width="14.375" style="3172" customWidth="1"/>
    <col min="9487" max="9487" width="6.25" style="3172" customWidth="1"/>
    <col min="9488" max="9728" width="9" style="3172"/>
    <col min="9729" max="9729" width="27.75" style="3172" customWidth="1"/>
    <col min="9730" max="9730" width="6.25" style="3172" customWidth="1"/>
    <col min="9731" max="9731" width="7.875" style="3172" customWidth="1"/>
    <col min="9732" max="9732" width="6.25" style="3172" customWidth="1"/>
    <col min="9733" max="9733" width="27.75" style="3172" customWidth="1"/>
    <col min="9734" max="9734" width="7.875" style="3172" customWidth="1"/>
    <col min="9735" max="9736" width="13.875" style="3172" customWidth="1"/>
    <col min="9737" max="9737" width="19.125" style="3172" customWidth="1"/>
    <col min="9738" max="9738" width="9" style="3172" customWidth="1"/>
    <col min="9739" max="9739" width="26.125" style="3172" customWidth="1"/>
    <col min="9740" max="9740" width="10.625" style="3172" customWidth="1"/>
    <col min="9741" max="9741" width="16" style="3172" customWidth="1"/>
    <col min="9742" max="9742" width="14.375" style="3172" customWidth="1"/>
    <col min="9743" max="9743" width="6.25" style="3172" customWidth="1"/>
    <col min="9744" max="9984" width="9" style="3172"/>
    <col min="9985" max="9985" width="27.75" style="3172" customWidth="1"/>
    <col min="9986" max="9986" width="6.25" style="3172" customWidth="1"/>
    <col min="9987" max="9987" width="7.875" style="3172" customWidth="1"/>
    <col min="9988" max="9988" width="6.25" style="3172" customWidth="1"/>
    <col min="9989" max="9989" width="27.75" style="3172" customWidth="1"/>
    <col min="9990" max="9990" width="7.875" style="3172" customWidth="1"/>
    <col min="9991" max="9992" width="13.875" style="3172" customWidth="1"/>
    <col min="9993" max="9993" width="19.125" style="3172" customWidth="1"/>
    <col min="9994" max="9994" width="9" style="3172" customWidth="1"/>
    <col min="9995" max="9995" width="26.125" style="3172" customWidth="1"/>
    <col min="9996" max="9996" width="10.625" style="3172" customWidth="1"/>
    <col min="9997" max="9997" width="16" style="3172" customWidth="1"/>
    <col min="9998" max="9998" width="14.375" style="3172" customWidth="1"/>
    <col min="9999" max="9999" width="6.25" style="3172" customWidth="1"/>
    <col min="10000" max="10240" width="9" style="3172"/>
    <col min="10241" max="10241" width="27.75" style="3172" customWidth="1"/>
    <col min="10242" max="10242" width="6.25" style="3172" customWidth="1"/>
    <col min="10243" max="10243" width="7.875" style="3172" customWidth="1"/>
    <col min="10244" max="10244" width="6.25" style="3172" customWidth="1"/>
    <col min="10245" max="10245" width="27.75" style="3172" customWidth="1"/>
    <col min="10246" max="10246" width="7.875" style="3172" customWidth="1"/>
    <col min="10247" max="10248" width="13.875" style="3172" customWidth="1"/>
    <col min="10249" max="10249" width="19.125" style="3172" customWidth="1"/>
    <col min="10250" max="10250" width="9" style="3172" customWidth="1"/>
    <col min="10251" max="10251" width="26.125" style="3172" customWidth="1"/>
    <col min="10252" max="10252" width="10.625" style="3172" customWidth="1"/>
    <col min="10253" max="10253" width="16" style="3172" customWidth="1"/>
    <col min="10254" max="10254" width="14.375" style="3172" customWidth="1"/>
    <col min="10255" max="10255" width="6.25" style="3172" customWidth="1"/>
    <col min="10256" max="10496" width="9" style="3172"/>
    <col min="10497" max="10497" width="27.75" style="3172" customWidth="1"/>
    <col min="10498" max="10498" width="6.25" style="3172" customWidth="1"/>
    <col min="10499" max="10499" width="7.875" style="3172" customWidth="1"/>
    <col min="10500" max="10500" width="6.25" style="3172" customWidth="1"/>
    <col min="10501" max="10501" width="27.75" style="3172" customWidth="1"/>
    <col min="10502" max="10502" width="7.875" style="3172" customWidth="1"/>
    <col min="10503" max="10504" width="13.875" style="3172" customWidth="1"/>
    <col min="10505" max="10505" width="19.125" style="3172" customWidth="1"/>
    <col min="10506" max="10506" width="9" style="3172" customWidth="1"/>
    <col min="10507" max="10507" width="26.125" style="3172" customWidth="1"/>
    <col min="10508" max="10508" width="10.625" style="3172" customWidth="1"/>
    <col min="10509" max="10509" width="16" style="3172" customWidth="1"/>
    <col min="10510" max="10510" width="14.375" style="3172" customWidth="1"/>
    <col min="10511" max="10511" width="6.25" style="3172" customWidth="1"/>
    <col min="10512" max="10752" width="9" style="3172"/>
    <col min="10753" max="10753" width="27.75" style="3172" customWidth="1"/>
    <col min="10754" max="10754" width="6.25" style="3172" customWidth="1"/>
    <col min="10755" max="10755" width="7.875" style="3172" customWidth="1"/>
    <col min="10756" max="10756" width="6.25" style="3172" customWidth="1"/>
    <col min="10757" max="10757" width="27.75" style="3172" customWidth="1"/>
    <col min="10758" max="10758" width="7.875" style="3172" customWidth="1"/>
    <col min="10759" max="10760" width="13.875" style="3172" customWidth="1"/>
    <col min="10761" max="10761" width="19.125" style="3172" customWidth="1"/>
    <col min="10762" max="10762" width="9" style="3172" customWidth="1"/>
    <col min="10763" max="10763" width="26.125" style="3172" customWidth="1"/>
    <col min="10764" max="10764" width="10.625" style="3172" customWidth="1"/>
    <col min="10765" max="10765" width="16" style="3172" customWidth="1"/>
    <col min="10766" max="10766" width="14.375" style="3172" customWidth="1"/>
    <col min="10767" max="10767" width="6.25" style="3172" customWidth="1"/>
    <col min="10768" max="11008" width="9" style="3172"/>
    <col min="11009" max="11009" width="27.75" style="3172" customWidth="1"/>
    <col min="11010" max="11010" width="6.25" style="3172" customWidth="1"/>
    <col min="11011" max="11011" width="7.875" style="3172" customWidth="1"/>
    <col min="11012" max="11012" width="6.25" style="3172" customWidth="1"/>
    <col min="11013" max="11013" width="27.75" style="3172" customWidth="1"/>
    <col min="11014" max="11014" width="7.875" style="3172" customWidth="1"/>
    <col min="11015" max="11016" width="13.875" style="3172" customWidth="1"/>
    <col min="11017" max="11017" width="19.125" style="3172" customWidth="1"/>
    <col min="11018" max="11018" width="9" style="3172" customWidth="1"/>
    <col min="11019" max="11019" width="26.125" style="3172" customWidth="1"/>
    <col min="11020" max="11020" width="10.625" style="3172" customWidth="1"/>
    <col min="11021" max="11021" width="16" style="3172" customWidth="1"/>
    <col min="11022" max="11022" width="14.375" style="3172" customWidth="1"/>
    <col min="11023" max="11023" width="6.25" style="3172" customWidth="1"/>
    <col min="11024" max="11264" width="9" style="3172"/>
    <col min="11265" max="11265" width="27.75" style="3172" customWidth="1"/>
    <col min="11266" max="11266" width="6.25" style="3172" customWidth="1"/>
    <col min="11267" max="11267" width="7.875" style="3172" customWidth="1"/>
    <col min="11268" max="11268" width="6.25" style="3172" customWidth="1"/>
    <col min="11269" max="11269" width="27.75" style="3172" customWidth="1"/>
    <col min="11270" max="11270" width="7.875" style="3172" customWidth="1"/>
    <col min="11271" max="11272" width="13.875" style="3172" customWidth="1"/>
    <col min="11273" max="11273" width="19.125" style="3172" customWidth="1"/>
    <col min="11274" max="11274" width="9" style="3172" customWidth="1"/>
    <col min="11275" max="11275" width="26.125" style="3172" customWidth="1"/>
    <col min="11276" max="11276" width="10.625" style="3172" customWidth="1"/>
    <col min="11277" max="11277" width="16" style="3172" customWidth="1"/>
    <col min="11278" max="11278" width="14.375" style="3172" customWidth="1"/>
    <col min="11279" max="11279" width="6.25" style="3172" customWidth="1"/>
    <col min="11280" max="11520" width="9" style="3172"/>
    <col min="11521" max="11521" width="27.75" style="3172" customWidth="1"/>
    <col min="11522" max="11522" width="6.25" style="3172" customWidth="1"/>
    <col min="11523" max="11523" width="7.875" style="3172" customWidth="1"/>
    <col min="11524" max="11524" width="6.25" style="3172" customWidth="1"/>
    <col min="11525" max="11525" width="27.75" style="3172" customWidth="1"/>
    <col min="11526" max="11526" width="7.875" style="3172" customWidth="1"/>
    <col min="11527" max="11528" width="13.875" style="3172" customWidth="1"/>
    <col min="11529" max="11529" width="19.125" style="3172" customWidth="1"/>
    <col min="11530" max="11530" width="9" style="3172" customWidth="1"/>
    <col min="11531" max="11531" width="26.125" style="3172" customWidth="1"/>
    <col min="11532" max="11532" width="10.625" style="3172" customWidth="1"/>
    <col min="11533" max="11533" width="16" style="3172" customWidth="1"/>
    <col min="11534" max="11534" width="14.375" style="3172" customWidth="1"/>
    <col min="11535" max="11535" width="6.25" style="3172" customWidth="1"/>
    <col min="11536" max="11776" width="9" style="3172"/>
    <col min="11777" max="11777" width="27.75" style="3172" customWidth="1"/>
    <col min="11778" max="11778" width="6.25" style="3172" customWidth="1"/>
    <col min="11779" max="11779" width="7.875" style="3172" customWidth="1"/>
    <col min="11780" max="11780" width="6.25" style="3172" customWidth="1"/>
    <col min="11781" max="11781" width="27.75" style="3172" customWidth="1"/>
    <col min="11782" max="11782" width="7.875" style="3172" customWidth="1"/>
    <col min="11783" max="11784" width="13.875" style="3172" customWidth="1"/>
    <col min="11785" max="11785" width="19.125" style="3172" customWidth="1"/>
    <col min="11786" max="11786" width="9" style="3172" customWidth="1"/>
    <col min="11787" max="11787" width="26.125" style="3172" customWidth="1"/>
    <col min="11788" max="11788" width="10.625" style="3172" customWidth="1"/>
    <col min="11789" max="11789" width="16" style="3172" customWidth="1"/>
    <col min="11790" max="11790" width="14.375" style="3172" customWidth="1"/>
    <col min="11791" max="11791" width="6.25" style="3172" customWidth="1"/>
    <col min="11792" max="12032" width="9" style="3172"/>
    <col min="12033" max="12033" width="27.75" style="3172" customWidth="1"/>
    <col min="12034" max="12034" width="6.25" style="3172" customWidth="1"/>
    <col min="12035" max="12035" width="7.875" style="3172" customWidth="1"/>
    <col min="12036" max="12036" width="6.25" style="3172" customWidth="1"/>
    <col min="12037" max="12037" width="27.75" style="3172" customWidth="1"/>
    <col min="12038" max="12038" width="7.875" style="3172" customWidth="1"/>
    <col min="12039" max="12040" width="13.875" style="3172" customWidth="1"/>
    <col min="12041" max="12041" width="19.125" style="3172" customWidth="1"/>
    <col min="12042" max="12042" width="9" style="3172" customWidth="1"/>
    <col min="12043" max="12043" width="26.125" style="3172" customWidth="1"/>
    <col min="12044" max="12044" width="10.625" style="3172" customWidth="1"/>
    <col min="12045" max="12045" width="16" style="3172" customWidth="1"/>
    <col min="12046" max="12046" width="14.375" style="3172" customWidth="1"/>
    <col min="12047" max="12047" width="6.25" style="3172" customWidth="1"/>
    <col min="12048" max="12288" width="9" style="3172"/>
    <col min="12289" max="12289" width="27.75" style="3172" customWidth="1"/>
    <col min="12290" max="12290" width="6.25" style="3172" customWidth="1"/>
    <col min="12291" max="12291" width="7.875" style="3172" customWidth="1"/>
    <col min="12292" max="12292" width="6.25" style="3172" customWidth="1"/>
    <col min="12293" max="12293" width="27.75" style="3172" customWidth="1"/>
    <col min="12294" max="12294" width="7.875" style="3172" customWidth="1"/>
    <col min="12295" max="12296" width="13.875" style="3172" customWidth="1"/>
    <col min="12297" max="12297" width="19.125" style="3172" customWidth="1"/>
    <col min="12298" max="12298" width="9" style="3172" customWidth="1"/>
    <col min="12299" max="12299" width="26.125" style="3172" customWidth="1"/>
    <col min="12300" max="12300" width="10.625" style="3172" customWidth="1"/>
    <col min="12301" max="12301" width="16" style="3172" customWidth="1"/>
    <col min="12302" max="12302" width="14.375" style="3172" customWidth="1"/>
    <col min="12303" max="12303" width="6.25" style="3172" customWidth="1"/>
    <col min="12304" max="12544" width="9" style="3172"/>
    <col min="12545" max="12545" width="27.75" style="3172" customWidth="1"/>
    <col min="12546" max="12546" width="6.25" style="3172" customWidth="1"/>
    <col min="12547" max="12547" width="7.875" style="3172" customWidth="1"/>
    <col min="12548" max="12548" width="6.25" style="3172" customWidth="1"/>
    <col min="12549" max="12549" width="27.75" style="3172" customWidth="1"/>
    <col min="12550" max="12550" width="7.875" style="3172" customWidth="1"/>
    <col min="12551" max="12552" width="13.875" style="3172" customWidth="1"/>
    <col min="12553" max="12553" width="19.125" style="3172" customWidth="1"/>
    <col min="12554" max="12554" width="9" style="3172" customWidth="1"/>
    <col min="12555" max="12555" width="26.125" style="3172" customWidth="1"/>
    <col min="12556" max="12556" width="10.625" style="3172" customWidth="1"/>
    <col min="12557" max="12557" width="16" style="3172" customWidth="1"/>
    <col min="12558" max="12558" width="14.375" style="3172" customWidth="1"/>
    <col min="12559" max="12559" width="6.25" style="3172" customWidth="1"/>
    <col min="12560" max="12800" width="9" style="3172"/>
    <col min="12801" max="12801" width="27.75" style="3172" customWidth="1"/>
    <col min="12802" max="12802" width="6.25" style="3172" customWidth="1"/>
    <col min="12803" max="12803" width="7.875" style="3172" customWidth="1"/>
    <col min="12804" max="12804" width="6.25" style="3172" customWidth="1"/>
    <col min="12805" max="12805" width="27.75" style="3172" customWidth="1"/>
    <col min="12806" max="12806" width="7.875" style="3172" customWidth="1"/>
    <col min="12807" max="12808" width="13.875" style="3172" customWidth="1"/>
    <col min="12809" max="12809" width="19.125" style="3172" customWidth="1"/>
    <col min="12810" max="12810" width="9" style="3172" customWidth="1"/>
    <col min="12811" max="12811" width="26.125" style="3172" customWidth="1"/>
    <col min="12812" max="12812" width="10.625" style="3172" customWidth="1"/>
    <col min="12813" max="12813" width="16" style="3172" customWidth="1"/>
    <col min="12814" max="12814" width="14.375" style="3172" customWidth="1"/>
    <col min="12815" max="12815" width="6.25" style="3172" customWidth="1"/>
    <col min="12816" max="13056" width="9" style="3172"/>
    <col min="13057" max="13057" width="27.75" style="3172" customWidth="1"/>
    <col min="13058" max="13058" width="6.25" style="3172" customWidth="1"/>
    <col min="13059" max="13059" width="7.875" style="3172" customWidth="1"/>
    <col min="13060" max="13060" width="6.25" style="3172" customWidth="1"/>
    <col min="13061" max="13061" width="27.75" style="3172" customWidth="1"/>
    <col min="13062" max="13062" width="7.875" style="3172" customWidth="1"/>
    <col min="13063" max="13064" width="13.875" style="3172" customWidth="1"/>
    <col min="13065" max="13065" width="19.125" style="3172" customWidth="1"/>
    <col min="13066" max="13066" width="9" style="3172" customWidth="1"/>
    <col min="13067" max="13067" width="26.125" style="3172" customWidth="1"/>
    <col min="13068" max="13068" width="10.625" style="3172" customWidth="1"/>
    <col min="13069" max="13069" width="16" style="3172" customWidth="1"/>
    <col min="13070" max="13070" width="14.375" style="3172" customWidth="1"/>
    <col min="13071" max="13071" width="6.25" style="3172" customWidth="1"/>
    <col min="13072" max="13312" width="9" style="3172"/>
    <col min="13313" max="13313" width="27.75" style="3172" customWidth="1"/>
    <col min="13314" max="13314" width="6.25" style="3172" customWidth="1"/>
    <col min="13315" max="13315" width="7.875" style="3172" customWidth="1"/>
    <col min="13316" max="13316" width="6.25" style="3172" customWidth="1"/>
    <col min="13317" max="13317" width="27.75" style="3172" customWidth="1"/>
    <col min="13318" max="13318" width="7.875" style="3172" customWidth="1"/>
    <col min="13319" max="13320" width="13.875" style="3172" customWidth="1"/>
    <col min="13321" max="13321" width="19.125" style="3172" customWidth="1"/>
    <col min="13322" max="13322" width="9" style="3172" customWidth="1"/>
    <col min="13323" max="13323" width="26.125" style="3172" customWidth="1"/>
    <col min="13324" max="13324" width="10.625" style="3172" customWidth="1"/>
    <col min="13325" max="13325" width="16" style="3172" customWidth="1"/>
    <col min="13326" max="13326" width="14.375" style="3172" customWidth="1"/>
    <col min="13327" max="13327" width="6.25" style="3172" customWidth="1"/>
    <col min="13328" max="13568" width="9" style="3172"/>
    <col min="13569" max="13569" width="27.75" style="3172" customWidth="1"/>
    <col min="13570" max="13570" width="6.25" style="3172" customWidth="1"/>
    <col min="13571" max="13571" width="7.875" style="3172" customWidth="1"/>
    <col min="13572" max="13572" width="6.25" style="3172" customWidth="1"/>
    <col min="13573" max="13573" width="27.75" style="3172" customWidth="1"/>
    <col min="13574" max="13574" width="7.875" style="3172" customWidth="1"/>
    <col min="13575" max="13576" width="13.875" style="3172" customWidth="1"/>
    <col min="13577" max="13577" width="19.125" style="3172" customWidth="1"/>
    <col min="13578" max="13578" width="9" style="3172" customWidth="1"/>
    <col min="13579" max="13579" width="26.125" style="3172" customWidth="1"/>
    <col min="13580" max="13580" width="10.625" style="3172" customWidth="1"/>
    <col min="13581" max="13581" width="16" style="3172" customWidth="1"/>
    <col min="13582" max="13582" width="14.375" style="3172" customWidth="1"/>
    <col min="13583" max="13583" width="6.25" style="3172" customWidth="1"/>
    <col min="13584" max="13824" width="9" style="3172"/>
    <col min="13825" max="13825" width="27.75" style="3172" customWidth="1"/>
    <col min="13826" max="13826" width="6.25" style="3172" customWidth="1"/>
    <col min="13827" max="13827" width="7.875" style="3172" customWidth="1"/>
    <col min="13828" max="13828" width="6.25" style="3172" customWidth="1"/>
    <col min="13829" max="13829" width="27.75" style="3172" customWidth="1"/>
    <col min="13830" max="13830" width="7.875" style="3172" customWidth="1"/>
    <col min="13831" max="13832" width="13.875" style="3172" customWidth="1"/>
    <col min="13833" max="13833" width="19.125" style="3172" customWidth="1"/>
    <col min="13834" max="13834" width="9" style="3172" customWidth="1"/>
    <col min="13835" max="13835" width="26.125" style="3172" customWidth="1"/>
    <col min="13836" max="13836" width="10.625" style="3172" customWidth="1"/>
    <col min="13837" max="13837" width="16" style="3172" customWidth="1"/>
    <col min="13838" max="13838" width="14.375" style="3172" customWidth="1"/>
    <col min="13839" max="13839" width="6.25" style="3172" customWidth="1"/>
    <col min="13840" max="14080" width="9" style="3172"/>
    <col min="14081" max="14081" width="27.75" style="3172" customWidth="1"/>
    <col min="14082" max="14082" width="6.25" style="3172" customWidth="1"/>
    <col min="14083" max="14083" width="7.875" style="3172" customWidth="1"/>
    <col min="14084" max="14084" width="6.25" style="3172" customWidth="1"/>
    <col min="14085" max="14085" width="27.75" style="3172" customWidth="1"/>
    <col min="14086" max="14086" width="7.875" style="3172" customWidth="1"/>
    <col min="14087" max="14088" width="13.875" style="3172" customWidth="1"/>
    <col min="14089" max="14089" width="19.125" style="3172" customWidth="1"/>
    <col min="14090" max="14090" width="9" style="3172" customWidth="1"/>
    <col min="14091" max="14091" width="26.125" style="3172" customWidth="1"/>
    <col min="14092" max="14092" width="10.625" style="3172" customWidth="1"/>
    <col min="14093" max="14093" width="16" style="3172" customWidth="1"/>
    <col min="14094" max="14094" width="14.375" style="3172" customWidth="1"/>
    <col min="14095" max="14095" width="6.25" style="3172" customWidth="1"/>
    <col min="14096" max="14336" width="9" style="3172"/>
    <col min="14337" max="14337" width="27.75" style="3172" customWidth="1"/>
    <col min="14338" max="14338" width="6.25" style="3172" customWidth="1"/>
    <col min="14339" max="14339" width="7.875" style="3172" customWidth="1"/>
    <col min="14340" max="14340" width="6.25" style="3172" customWidth="1"/>
    <col min="14341" max="14341" width="27.75" style="3172" customWidth="1"/>
    <col min="14342" max="14342" width="7.875" style="3172" customWidth="1"/>
    <col min="14343" max="14344" width="13.875" style="3172" customWidth="1"/>
    <col min="14345" max="14345" width="19.125" style="3172" customWidth="1"/>
    <col min="14346" max="14346" width="9" style="3172" customWidth="1"/>
    <col min="14347" max="14347" width="26.125" style="3172" customWidth="1"/>
    <col min="14348" max="14348" width="10.625" style="3172" customWidth="1"/>
    <col min="14349" max="14349" width="16" style="3172" customWidth="1"/>
    <col min="14350" max="14350" width="14.375" style="3172" customWidth="1"/>
    <col min="14351" max="14351" width="6.25" style="3172" customWidth="1"/>
    <col min="14352" max="14592" width="9" style="3172"/>
    <col min="14593" max="14593" width="27.75" style="3172" customWidth="1"/>
    <col min="14594" max="14594" width="6.25" style="3172" customWidth="1"/>
    <col min="14595" max="14595" width="7.875" style="3172" customWidth="1"/>
    <col min="14596" max="14596" width="6.25" style="3172" customWidth="1"/>
    <col min="14597" max="14597" width="27.75" style="3172" customWidth="1"/>
    <col min="14598" max="14598" width="7.875" style="3172" customWidth="1"/>
    <col min="14599" max="14600" width="13.875" style="3172" customWidth="1"/>
    <col min="14601" max="14601" width="19.125" style="3172" customWidth="1"/>
    <col min="14602" max="14602" width="9" style="3172" customWidth="1"/>
    <col min="14603" max="14603" width="26.125" style="3172" customWidth="1"/>
    <col min="14604" max="14604" width="10.625" style="3172" customWidth="1"/>
    <col min="14605" max="14605" width="16" style="3172" customWidth="1"/>
    <col min="14606" max="14606" width="14.375" style="3172" customWidth="1"/>
    <col min="14607" max="14607" width="6.25" style="3172" customWidth="1"/>
    <col min="14608" max="14848" width="9" style="3172"/>
    <col min="14849" max="14849" width="27.75" style="3172" customWidth="1"/>
    <col min="14850" max="14850" width="6.25" style="3172" customWidth="1"/>
    <col min="14851" max="14851" width="7.875" style="3172" customWidth="1"/>
    <col min="14852" max="14852" width="6.25" style="3172" customWidth="1"/>
    <col min="14853" max="14853" width="27.75" style="3172" customWidth="1"/>
    <col min="14854" max="14854" width="7.875" style="3172" customWidth="1"/>
    <col min="14855" max="14856" width="13.875" style="3172" customWidth="1"/>
    <col min="14857" max="14857" width="19.125" style="3172" customWidth="1"/>
    <col min="14858" max="14858" width="9" style="3172" customWidth="1"/>
    <col min="14859" max="14859" width="26.125" style="3172" customWidth="1"/>
    <col min="14860" max="14860" width="10.625" style="3172" customWidth="1"/>
    <col min="14861" max="14861" width="16" style="3172" customWidth="1"/>
    <col min="14862" max="14862" width="14.375" style="3172" customWidth="1"/>
    <col min="14863" max="14863" width="6.25" style="3172" customWidth="1"/>
    <col min="14864" max="15104" width="9" style="3172"/>
    <col min="15105" max="15105" width="27.75" style="3172" customWidth="1"/>
    <col min="15106" max="15106" width="6.25" style="3172" customWidth="1"/>
    <col min="15107" max="15107" width="7.875" style="3172" customWidth="1"/>
    <col min="15108" max="15108" width="6.25" style="3172" customWidth="1"/>
    <col min="15109" max="15109" width="27.75" style="3172" customWidth="1"/>
    <col min="15110" max="15110" width="7.875" style="3172" customWidth="1"/>
    <col min="15111" max="15112" width="13.875" style="3172" customWidth="1"/>
    <col min="15113" max="15113" width="19.125" style="3172" customWidth="1"/>
    <col min="15114" max="15114" width="9" style="3172" customWidth="1"/>
    <col min="15115" max="15115" width="26.125" style="3172" customWidth="1"/>
    <col min="15116" max="15116" width="10.625" style="3172" customWidth="1"/>
    <col min="15117" max="15117" width="16" style="3172" customWidth="1"/>
    <col min="15118" max="15118" width="14.375" style="3172" customWidth="1"/>
    <col min="15119" max="15119" width="6.25" style="3172" customWidth="1"/>
    <col min="15120" max="15360" width="9" style="3172"/>
    <col min="15361" max="15361" width="27.75" style="3172" customWidth="1"/>
    <col min="15362" max="15362" width="6.25" style="3172" customWidth="1"/>
    <col min="15363" max="15363" width="7.875" style="3172" customWidth="1"/>
    <col min="15364" max="15364" width="6.25" style="3172" customWidth="1"/>
    <col min="15365" max="15365" width="27.75" style="3172" customWidth="1"/>
    <col min="15366" max="15366" width="7.875" style="3172" customWidth="1"/>
    <col min="15367" max="15368" width="13.875" style="3172" customWidth="1"/>
    <col min="15369" max="15369" width="19.125" style="3172" customWidth="1"/>
    <col min="15370" max="15370" width="9" style="3172" customWidth="1"/>
    <col min="15371" max="15371" width="26.125" style="3172" customWidth="1"/>
    <col min="15372" max="15372" width="10.625" style="3172" customWidth="1"/>
    <col min="15373" max="15373" width="16" style="3172" customWidth="1"/>
    <col min="15374" max="15374" width="14.375" style="3172" customWidth="1"/>
    <col min="15375" max="15375" width="6.25" style="3172" customWidth="1"/>
    <col min="15376" max="15616" width="9" style="3172"/>
    <col min="15617" max="15617" width="27.75" style="3172" customWidth="1"/>
    <col min="15618" max="15618" width="6.25" style="3172" customWidth="1"/>
    <col min="15619" max="15619" width="7.875" style="3172" customWidth="1"/>
    <col min="15620" max="15620" width="6.25" style="3172" customWidth="1"/>
    <col min="15621" max="15621" width="27.75" style="3172" customWidth="1"/>
    <col min="15622" max="15622" width="7.875" style="3172" customWidth="1"/>
    <col min="15623" max="15624" width="13.875" style="3172" customWidth="1"/>
    <col min="15625" max="15625" width="19.125" style="3172" customWidth="1"/>
    <col min="15626" max="15626" width="9" style="3172" customWidth="1"/>
    <col min="15627" max="15627" width="26.125" style="3172" customWidth="1"/>
    <col min="15628" max="15628" width="10.625" style="3172" customWidth="1"/>
    <col min="15629" max="15629" width="16" style="3172" customWidth="1"/>
    <col min="15630" max="15630" width="14.375" style="3172" customWidth="1"/>
    <col min="15631" max="15631" width="6.25" style="3172" customWidth="1"/>
    <col min="15632" max="15872" width="9" style="3172"/>
    <col min="15873" max="15873" width="27.75" style="3172" customWidth="1"/>
    <col min="15874" max="15874" width="6.25" style="3172" customWidth="1"/>
    <col min="15875" max="15875" width="7.875" style="3172" customWidth="1"/>
    <col min="15876" max="15876" width="6.25" style="3172" customWidth="1"/>
    <col min="15877" max="15877" width="27.75" style="3172" customWidth="1"/>
    <col min="15878" max="15878" width="7.875" style="3172" customWidth="1"/>
    <col min="15879" max="15880" width="13.875" style="3172" customWidth="1"/>
    <col min="15881" max="15881" width="19.125" style="3172" customWidth="1"/>
    <col min="15882" max="15882" width="9" style="3172" customWidth="1"/>
    <col min="15883" max="15883" width="26.125" style="3172" customWidth="1"/>
    <col min="15884" max="15884" width="10.625" style="3172" customWidth="1"/>
    <col min="15885" max="15885" width="16" style="3172" customWidth="1"/>
    <col min="15886" max="15886" width="14.375" style="3172" customWidth="1"/>
    <col min="15887" max="15887" width="6.25" style="3172" customWidth="1"/>
    <col min="15888" max="16128" width="9" style="3172"/>
    <col min="16129" max="16129" width="27.75" style="3172" customWidth="1"/>
    <col min="16130" max="16130" width="6.25" style="3172" customWidth="1"/>
    <col min="16131" max="16131" width="7.875" style="3172" customWidth="1"/>
    <col min="16132" max="16132" width="6.25" style="3172" customWidth="1"/>
    <col min="16133" max="16133" width="27.75" style="3172" customWidth="1"/>
    <col min="16134" max="16134" width="7.875" style="3172" customWidth="1"/>
    <col min="16135" max="16136" width="13.875" style="3172" customWidth="1"/>
    <col min="16137" max="16137" width="19.125" style="3172" customWidth="1"/>
    <col min="16138" max="16138" width="9" style="3172" customWidth="1"/>
    <col min="16139" max="16139" width="26.125" style="3172" customWidth="1"/>
    <col min="16140" max="16140" width="10.625" style="3172" customWidth="1"/>
    <col min="16141" max="16141" width="16" style="3172" customWidth="1"/>
    <col min="16142" max="16142" width="14.375" style="3172" customWidth="1"/>
    <col min="16143" max="16143" width="6.25" style="3172" customWidth="1"/>
    <col min="16144" max="16384" width="9" style="3172"/>
  </cols>
  <sheetData>
    <row r="1" spans="1:17">
      <c r="A1" s="3172" t="s">
        <v>2997</v>
      </c>
      <c r="B1" s="3172" t="s">
        <v>2998</v>
      </c>
      <c r="C1" s="3172" t="s">
        <v>2999</v>
      </c>
      <c r="D1" s="3172" t="s">
        <v>3000</v>
      </c>
      <c r="E1" s="3172" t="s">
        <v>3001</v>
      </c>
      <c r="F1" s="3172" t="s">
        <v>3002</v>
      </c>
      <c r="G1" s="3172" t="s">
        <v>3003</v>
      </c>
      <c r="H1" s="3172" t="s">
        <v>3004</v>
      </c>
      <c r="I1" s="3172" t="s">
        <v>2035</v>
      </c>
      <c r="J1" s="3172" t="s">
        <v>3005</v>
      </c>
      <c r="K1" s="3172" t="s">
        <v>3006</v>
      </c>
      <c r="L1" s="3172" t="s">
        <v>3007</v>
      </c>
      <c r="M1" s="3172" t="s">
        <v>3008</v>
      </c>
      <c r="N1" s="3172" t="s">
        <v>3009</v>
      </c>
      <c r="O1" s="3172" t="s">
        <v>3010</v>
      </c>
      <c r="P1" s="3180" t="s">
        <v>3118</v>
      </c>
    </row>
    <row r="2" spans="1:17" s="3173" customFormat="1">
      <c r="A2" s="3173" t="s">
        <v>3011</v>
      </c>
      <c r="B2" s="3173" t="s">
        <v>2984</v>
      </c>
      <c r="C2" s="3173" t="s">
        <v>3012</v>
      </c>
      <c r="D2" s="3173" t="s">
        <v>3013</v>
      </c>
      <c r="E2" s="3173" t="s">
        <v>3011</v>
      </c>
      <c r="F2" s="3173" t="s">
        <v>3014</v>
      </c>
      <c r="G2" s="3173">
        <v>44049.15</v>
      </c>
      <c r="H2" s="3173">
        <v>70478.64</v>
      </c>
      <c r="I2" s="3173" t="s">
        <v>3015</v>
      </c>
      <c r="J2" s="3173" t="s">
        <v>3016</v>
      </c>
      <c r="K2" s="3173" t="s">
        <v>3017</v>
      </c>
      <c r="L2" s="3173">
        <v>17870</v>
      </c>
      <c r="M2" s="3173">
        <v>270.45999999999998</v>
      </c>
      <c r="N2" s="3173">
        <v>2535.5100000000002</v>
      </c>
      <c r="O2" s="3173">
        <v>0</v>
      </c>
      <c r="P2" s="3173">
        <f>L2*10000/G2</f>
        <v>4056.831970650966</v>
      </c>
    </row>
    <row r="3" spans="1:17" s="3173" customFormat="1">
      <c r="A3" s="3173" t="s">
        <v>3018</v>
      </c>
      <c r="B3" s="3173" t="s">
        <v>2984</v>
      </c>
      <c r="C3" s="3173" t="s">
        <v>3012</v>
      </c>
      <c r="D3" s="3173" t="s">
        <v>3013</v>
      </c>
      <c r="E3" s="3173" t="s">
        <v>3018</v>
      </c>
      <c r="F3" s="3173" t="s">
        <v>3014</v>
      </c>
      <c r="G3" s="3173">
        <v>41576.58</v>
      </c>
      <c r="H3" s="3173">
        <v>66522.53</v>
      </c>
      <c r="I3" s="3173" t="s">
        <v>3015</v>
      </c>
      <c r="J3" s="3173" t="s">
        <v>3016</v>
      </c>
      <c r="K3" s="3173" t="s">
        <v>3017</v>
      </c>
      <c r="L3" s="3173">
        <v>16850</v>
      </c>
      <c r="M3" s="3173">
        <v>270.18</v>
      </c>
      <c r="N3" s="3173">
        <v>2532.98</v>
      </c>
      <c r="O3" s="3173">
        <v>0</v>
      </c>
      <c r="P3" s="3173">
        <f t="shared" ref="P3:P11" si="0">L3*10000/G3</f>
        <v>4052.7623965222729</v>
      </c>
    </row>
    <row r="4" spans="1:17" s="3173" customFormat="1">
      <c r="A4" s="3173" t="s">
        <v>3019</v>
      </c>
      <c r="B4" s="3173" t="s">
        <v>2984</v>
      </c>
      <c r="C4" s="3173" t="s">
        <v>3012</v>
      </c>
      <c r="D4" s="3173" t="s">
        <v>3013</v>
      </c>
      <c r="E4" s="3173" t="s">
        <v>3019</v>
      </c>
      <c r="F4" s="3173" t="s">
        <v>3014</v>
      </c>
      <c r="G4" s="3173">
        <v>43986.2</v>
      </c>
      <c r="H4" s="3173">
        <v>70377.919999999998</v>
      </c>
      <c r="I4" s="3173" t="s">
        <v>3015</v>
      </c>
      <c r="J4" s="3173" t="s">
        <v>3016</v>
      </c>
      <c r="K4" s="3173" t="s">
        <v>3017</v>
      </c>
      <c r="L4" s="3173">
        <v>17825</v>
      </c>
      <c r="M4" s="3173">
        <v>270.16000000000003</v>
      </c>
      <c r="N4" s="3173">
        <v>2532.75</v>
      </c>
      <c r="O4" s="3173">
        <v>0</v>
      </c>
      <c r="P4" s="3173">
        <f t="shared" si="0"/>
        <v>4052.407345940318</v>
      </c>
    </row>
    <row r="5" spans="1:17" s="3173" customFormat="1">
      <c r="A5" s="3173" t="s">
        <v>3020</v>
      </c>
      <c r="B5" s="3173" t="s">
        <v>2984</v>
      </c>
      <c r="C5" s="3173" t="s">
        <v>3012</v>
      </c>
      <c r="D5" s="3173" t="s">
        <v>3013</v>
      </c>
      <c r="E5" s="3173" t="s">
        <v>3020</v>
      </c>
      <c r="F5" s="3173" t="s">
        <v>3014</v>
      </c>
      <c r="G5" s="3173">
        <v>49629.94</v>
      </c>
      <c r="H5" s="3173">
        <v>99259.88</v>
      </c>
      <c r="I5" s="3173" t="s">
        <v>3021</v>
      </c>
      <c r="J5" s="3173" t="s">
        <v>3016</v>
      </c>
      <c r="K5" s="3173" t="s">
        <v>3017</v>
      </c>
      <c r="L5" s="3173">
        <v>21300</v>
      </c>
      <c r="M5" s="3173">
        <v>286.12</v>
      </c>
      <c r="N5" s="3173">
        <v>2145.88</v>
      </c>
      <c r="O5" s="3173">
        <v>0</v>
      </c>
      <c r="P5" s="3173">
        <f t="shared" si="0"/>
        <v>4291.7642052357905</v>
      </c>
    </row>
    <row r="6" spans="1:17" s="3173" customFormat="1">
      <c r="A6" s="3173" t="s">
        <v>3022</v>
      </c>
      <c r="B6" s="3173" t="s">
        <v>2984</v>
      </c>
      <c r="C6" s="3173" t="s">
        <v>3012</v>
      </c>
      <c r="D6" s="3173" t="s">
        <v>3013</v>
      </c>
      <c r="E6" s="3173" t="s">
        <v>3022</v>
      </c>
      <c r="F6" s="3173" t="s">
        <v>3014</v>
      </c>
      <c r="G6" s="3173">
        <v>29362.47</v>
      </c>
      <c r="H6" s="3173">
        <v>58724.94</v>
      </c>
      <c r="I6" s="3173" t="s">
        <v>3021</v>
      </c>
      <c r="J6" s="3173" t="s">
        <v>3016</v>
      </c>
      <c r="K6" s="3173" t="s">
        <v>3017</v>
      </c>
      <c r="L6" s="3173">
        <v>12615</v>
      </c>
      <c r="M6" s="3173">
        <v>286.42</v>
      </c>
      <c r="N6" s="3173">
        <v>2148.15</v>
      </c>
      <c r="O6" s="3173">
        <v>0</v>
      </c>
      <c r="P6" s="3173">
        <f t="shared" si="0"/>
        <v>4296.3006858755407</v>
      </c>
    </row>
    <row r="7" spans="1:17" s="3173" customFormat="1">
      <c r="A7" s="3173" t="s">
        <v>3023</v>
      </c>
      <c r="B7" s="3173" t="s">
        <v>2984</v>
      </c>
      <c r="C7" s="3173" t="s">
        <v>3012</v>
      </c>
      <c r="D7" s="3173" t="s">
        <v>3013</v>
      </c>
      <c r="E7" s="3173" t="s">
        <v>3023</v>
      </c>
      <c r="F7" s="3173" t="s">
        <v>3014</v>
      </c>
      <c r="G7" s="3173">
        <v>41803.300000000003</v>
      </c>
      <c r="H7" s="3173">
        <v>83606.600000000006</v>
      </c>
      <c r="I7" s="3173" t="s">
        <v>3021</v>
      </c>
      <c r="J7" s="3173" t="s">
        <v>3016</v>
      </c>
      <c r="K7" s="3173" t="s">
        <v>3017</v>
      </c>
      <c r="L7" s="3173">
        <v>17940</v>
      </c>
      <c r="M7" s="3173">
        <v>286.10000000000002</v>
      </c>
      <c r="N7" s="3173">
        <v>2145.7600000000002</v>
      </c>
      <c r="O7" s="3173">
        <v>0</v>
      </c>
      <c r="P7" s="3173">
        <f t="shared" si="0"/>
        <v>4291.5272239272972</v>
      </c>
    </row>
    <row r="8" spans="1:17" s="3173" customFormat="1">
      <c r="A8" s="3173" t="s">
        <v>3024</v>
      </c>
      <c r="B8" s="3173" t="s">
        <v>2984</v>
      </c>
      <c r="C8" s="3173" t="s">
        <v>3012</v>
      </c>
      <c r="D8" s="3173" t="s">
        <v>3013</v>
      </c>
      <c r="E8" s="3173" t="s">
        <v>3024</v>
      </c>
      <c r="F8" s="3173" t="s">
        <v>3014</v>
      </c>
      <c r="G8" s="3173">
        <v>29274.85</v>
      </c>
      <c r="H8" s="3173">
        <v>58549.7</v>
      </c>
      <c r="I8" s="3173" t="s">
        <v>3021</v>
      </c>
      <c r="J8" s="3173" t="s">
        <v>3016</v>
      </c>
      <c r="K8" s="3173" t="s">
        <v>3017</v>
      </c>
      <c r="L8" s="3173">
        <v>12580</v>
      </c>
      <c r="M8" s="3173">
        <v>286.48</v>
      </c>
      <c r="N8" s="3173">
        <v>2148.59</v>
      </c>
      <c r="O8" s="3173">
        <v>0</v>
      </c>
      <c r="P8" s="3173">
        <f t="shared" si="0"/>
        <v>4297.2039139397812</v>
      </c>
    </row>
    <row r="9" spans="1:17" s="3173" customFormat="1">
      <c r="A9" s="3173" t="s">
        <v>3023</v>
      </c>
      <c r="B9" s="3173" t="s">
        <v>2984</v>
      </c>
      <c r="C9" s="3173" t="s">
        <v>3012</v>
      </c>
      <c r="D9" s="3173" t="s">
        <v>3013</v>
      </c>
      <c r="E9" s="3173" t="s">
        <v>3023</v>
      </c>
      <c r="F9" s="3173" t="s">
        <v>3014</v>
      </c>
      <c r="G9" s="3173">
        <v>41803.300000000003</v>
      </c>
      <c r="H9" s="3173">
        <v>83606.600000000006</v>
      </c>
      <c r="I9" s="3173" t="s">
        <v>3021</v>
      </c>
      <c r="J9" s="3173" t="s">
        <v>3016</v>
      </c>
      <c r="K9" s="3173" t="s">
        <v>3017</v>
      </c>
      <c r="L9" s="3173">
        <v>17940</v>
      </c>
      <c r="M9" s="3173">
        <v>286.10000000000002</v>
      </c>
      <c r="N9" s="3173">
        <v>2145.7600000000002</v>
      </c>
      <c r="O9" s="3173">
        <v>2.13</v>
      </c>
      <c r="P9" s="3173">
        <f t="shared" si="0"/>
        <v>4291.5272239272972</v>
      </c>
    </row>
    <row r="10" spans="1:17" s="3173" customFormat="1">
      <c r="A10" s="3173" t="s">
        <v>3018</v>
      </c>
      <c r="B10" s="3173" t="s">
        <v>2984</v>
      </c>
      <c r="C10" s="3173" t="s">
        <v>3012</v>
      </c>
      <c r="D10" s="3173" t="s">
        <v>3013</v>
      </c>
      <c r="E10" s="3173" t="s">
        <v>3018</v>
      </c>
      <c r="F10" s="3173" t="s">
        <v>3014</v>
      </c>
      <c r="G10" s="3173">
        <v>41576.58</v>
      </c>
      <c r="H10" s="3173">
        <v>66522.53</v>
      </c>
      <c r="I10" s="3173" t="s">
        <v>3015</v>
      </c>
      <c r="J10" s="3173" t="s">
        <v>3016</v>
      </c>
      <c r="K10" s="3173" t="s">
        <v>3017</v>
      </c>
      <c r="L10" s="3173">
        <v>16850</v>
      </c>
      <c r="M10" s="3173">
        <v>270.18</v>
      </c>
      <c r="N10" s="3173">
        <v>2532.98</v>
      </c>
      <c r="O10" s="3173">
        <v>5.81</v>
      </c>
      <c r="P10" s="3173">
        <f t="shared" si="0"/>
        <v>4052.7623965222729</v>
      </c>
    </row>
    <row r="11" spans="1:17" s="3173" customFormat="1">
      <c r="A11" s="3173" t="s">
        <v>3019</v>
      </c>
      <c r="B11" s="3173" t="s">
        <v>2984</v>
      </c>
      <c r="C11" s="3173" t="s">
        <v>3012</v>
      </c>
      <c r="D11" s="3173" t="s">
        <v>3013</v>
      </c>
      <c r="E11" s="3173" t="s">
        <v>3019</v>
      </c>
      <c r="F11" s="3173" t="s">
        <v>3014</v>
      </c>
      <c r="G11" s="3173">
        <v>43986.2</v>
      </c>
      <c r="H11" s="3173">
        <v>70377.919999999998</v>
      </c>
      <c r="I11" s="3173" t="s">
        <v>3015</v>
      </c>
      <c r="J11" s="3173" t="s">
        <v>3016</v>
      </c>
      <c r="K11" s="3173" t="s">
        <v>3017</v>
      </c>
      <c r="L11" s="3173">
        <v>17825</v>
      </c>
      <c r="M11" s="3173">
        <v>270.16000000000003</v>
      </c>
      <c r="N11" s="3173">
        <v>2532.75</v>
      </c>
      <c r="O11" s="3173">
        <v>5.82</v>
      </c>
      <c r="P11" s="3173">
        <f t="shared" si="0"/>
        <v>4052.407345940318</v>
      </c>
    </row>
    <row r="12" spans="1:17" s="3173" customFormat="1">
      <c r="A12" s="3173" t="s">
        <v>3020</v>
      </c>
      <c r="B12" s="3173" t="s">
        <v>2984</v>
      </c>
      <c r="C12" s="3173" t="s">
        <v>3012</v>
      </c>
      <c r="D12" s="3173" t="s">
        <v>3013</v>
      </c>
      <c r="E12" s="3173" t="s">
        <v>3020</v>
      </c>
      <c r="F12" s="3173" t="s">
        <v>3014</v>
      </c>
      <c r="G12" s="3173">
        <v>49629.94</v>
      </c>
      <c r="H12" s="3173">
        <v>99259.88</v>
      </c>
      <c r="I12" s="3173" t="s">
        <v>3021</v>
      </c>
      <c r="J12" s="3173" t="s">
        <v>3016</v>
      </c>
      <c r="K12" s="3173" t="s">
        <v>3017</v>
      </c>
      <c r="L12" s="3173">
        <v>21300</v>
      </c>
      <c r="M12" s="3173">
        <v>286.12</v>
      </c>
      <c r="N12" s="3173">
        <v>2145.88</v>
      </c>
      <c r="O12" s="3173">
        <v>2.13</v>
      </c>
      <c r="P12" s="3173">
        <f>L12*10000/G12</f>
        <v>4291.7642052357905</v>
      </c>
    </row>
    <row r="13" spans="1:17" s="3174" customFormat="1">
      <c r="A13" s="3174" t="s">
        <v>3025</v>
      </c>
      <c r="B13" s="3174" t="s">
        <v>2984</v>
      </c>
      <c r="C13" s="3174" t="s">
        <v>3012</v>
      </c>
      <c r="D13" s="3174" t="s">
        <v>3013</v>
      </c>
      <c r="E13" s="3174" t="s">
        <v>3025</v>
      </c>
      <c r="F13" s="3174" t="s">
        <v>3014</v>
      </c>
      <c r="G13" s="3174">
        <v>3977.33</v>
      </c>
      <c r="H13" s="3174">
        <v>8750.1299999999992</v>
      </c>
      <c r="I13" s="3174" t="s">
        <v>3026</v>
      </c>
      <c r="J13" s="3174" t="s">
        <v>3027</v>
      </c>
      <c r="K13" s="3174" t="s">
        <v>3028</v>
      </c>
      <c r="L13" s="3174">
        <v>1010</v>
      </c>
      <c r="M13" s="3174">
        <v>169.29</v>
      </c>
      <c r="N13" s="3174">
        <v>1154.26</v>
      </c>
      <c r="O13" s="3174">
        <v>0</v>
      </c>
      <c r="P13" s="3173">
        <f t="shared" ref="P13:P14" si="1">L13*10000/G13</f>
        <v>2539.3920041837114</v>
      </c>
    </row>
    <row r="14" spans="1:17">
      <c r="A14" s="3172" t="s">
        <v>3029</v>
      </c>
      <c r="B14" s="3172" t="s">
        <v>2984</v>
      </c>
      <c r="C14" s="3172" t="s">
        <v>3012</v>
      </c>
      <c r="D14" s="3172" t="s">
        <v>3013</v>
      </c>
      <c r="E14" s="3172" t="s">
        <v>3029</v>
      </c>
      <c r="F14" s="3172" t="s">
        <v>3014</v>
      </c>
      <c r="G14" s="3172">
        <v>4380.28</v>
      </c>
      <c r="H14" s="3172">
        <v>8760.56</v>
      </c>
      <c r="I14" s="3172" t="s">
        <v>3021</v>
      </c>
      <c r="J14" s="3172" t="s">
        <v>3027</v>
      </c>
      <c r="K14" s="3172" t="s">
        <v>3030</v>
      </c>
      <c r="L14" s="3172">
        <v>1100</v>
      </c>
      <c r="M14" s="3172">
        <v>167.42</v>
      </c>
      <c r="N14" s="3172">
        <v>1255.6300000000001</v>
      </c>
      <c r="O14" s="3172">
        <v>0</v>
      </c>
      <c r="P14" s="3173">
        <f t="shared" si="1"/>
        <v>2511.2549882655903</v>
      </c>
    </row>
    <row r="15" spans="1:17" s="3175" customFormat="1">
      <c r="A15" s="3175" t="s">
        <v>3031</v>
      </c>
      <c r="B15" s="3175" t="s">
        <v>2984</v>
      </c>
      <c r="C15" s="3175" t="s">
        <v>3012</v>
      </c>
      <c r="D15" s="3175" t="s">
        <v>3013</v>
      </c>
      <c r="E15" s="3175" t="s">
        <v>3031</v>
      </c>
      <c r="F15" s="3175" t="s">
        <v>3014</v>
      </c>
      <c r="G15" s="3175">
        <v>5867.08</v>
      </c>
      <c r="H15" s="3175">
        <v>8800.6200000000008</v>
      </c>
      <c r="I15" s="3175" t="s">
        <v>3032</v>
      </c>
      <c r="J15" s="3175" t="s">
        <v>3027</v>
      </c>
      <c r="K15" s="3175" t="s">
        <v>3028</v>
      </c>
      <c r="L15" s="3175">
        <v>1425</v>
      </c>
      <c r="M15" s="3175">
        <v>161.91999999999999</v>
      </c>
      <c r="N15" s="3175">
        <v>1619.2</v>
      </c>
      <c r="O15" s="3175">
        <v>0</v>
      </c>
      <c r="P15" s="3175">
        <f>L15*10000/G15</f>
        <v>2428.8061522938156</v>
      </c>
      <c r="Q15" s="3178" t="s">
        <v>3087</v>
      </c>
    </row>
    <row r="16" spans="1:17" s="3173" customFormat="1">
      <c r="A16" s="3173" t="s">
        <v>3033</v>
      </c>
      <c r="B16" s="3173" t="s">
        <v>2984</v>
      </c>
      <c r="C16" s="3173" t="s">
        <v>3012</v>
      </c>
      <c r="D16" s="3173" t="s">
        <v>3013</v>
      </c>
      <c r="E16" s="3173" t="s">
        <v>3033</v>
      </c>
      <c r="F16" s="3173" t="s">
        <v>3014</v>
      </c>
      <c r="G16" s="3173">
        <v>12257.45</v>
      </c>
      <c r="H16" s="3173">
        <v>36772.35</v>
      </c>
      <c r="I16" s="3173" t="s">
        <v>3034</v>
      </c>
      <c r="J16" s="3173" t="s">
        <v>3035</v>
      </c>
      <c r="K16" s="3173" t="s">
        <v>3036</v>
      </c>
      <c r="L16" s="3173">
        <v>2965</v>
      </c>
      <c r="M16" s="3173">
        <v>161.26</v>
      </c>
      <c r="N16" s="3173">
        <v>806.3</v>
      </c>
      <c r="O16" s="3173">
        <v>0</v>
      </c>
      <c r="P16" s="3173">
        <f t="shared" ref="P16:P21" si="2">L16*10000/G16</f>
        <v>2418.9370546076057</v>
      </c>
    </row>
    <row r="17" spans="1:17" s="3173" customFormat="1">
      <c r="A17" s="3173" t="s">
        <v>3037</v>
      </c>
      <c r="B17" s="3173" t="s">
        <v>2984</v>
      </c>
      <c r="C17" s="3173" t="s">
        <v>3012</v>
      </c>
      <c r="D17" s="3173" t="s">
        <v>3013</v>
      </c>
      <c r="E17" s="3173" t="s">
        <v>3037</v>
      </c>
      <c r="F17" s="3173" t="s">
        <v>3014</v>
      </c>
      <c r="G17" s="3173">
        <v>33104.06</v>
      </c>
      <c r="H17" s="3173">
        <v>92691.37</v>
      </c>
      <c r="I17" s="3173" t="s">
        <v>3038</v>
      </c>
      <c r="J17" s="3173" t="s">
        <v>3035</v>
      </c>
      <c r="K17" s="3173" t="s">
        <v>3039</v>
      </c>
      <c r="L17" s="3173">
        <v>9140</v>
      </c>
      <c r="M17" s="3173">
        <v>184.07</v>
      </c>
      <c r="N17" s="3173">
        <v>986.07</v>
      </c>
      <c r="O17" s="3173">
        <v>4.58</v>
      </c>
      <c r="P17" s="3173">
        <f t="shared" si="2"/>
        <v>2760.9906458603568</v>
      </c>
    </row>
    <row r="18" spans="1:17" s="3173" customFormat="1">
      <c r="A18" s="3173" t="s">
        <v>3040</v>
      </c>
      <c r="B18" s="3173" t="s">
        <v>2984</v>
      </c>
      <c r="C18" s="3173" t="s">
        <v>3012</v>
      </c>
      <c r="D18" s="3173" t="s">
        <v>3013</v>
      </c>
      <c r="E18" s="3173" t="s">
        <v>3040</v>
      </c>
      <c r="F18" s="3173" t="s">
        <v>3014</v>
      </c>
      <c r="G18" s="3173">
        <v>22424.33</v>
      </c>
      <c r="H18" s="3173">
        <v>67272.990000000005</v>
      </c>
      <c r="I18" s="3173" t="s">
        <v>3034</v>
      </c>
      <c r="J18" s="3173" t="s">
        <v>3035</v>
      </c>
      <c r="K18" s="3173" t="s">
        <v>3036</v>
      </c>
      <c r="L18" s="3173">
        <v>5060</v>
      </c>
      <c r="M18" s="3173">
        <v>150.43</v>
      </c>
      <c r="N18" s="3173">
        <v>752.15</v>
      </c>
      <c r="O18" s="3173">
        <v>0</v>
      </c>
      <c r="P18" s="3173">
        <f t="shared" si="2"/>
        <v>2256.477674026381</v>
      </c>
    </row>
    <row r="19" spans="1:17" s="3173" customFormat="1">
      <c r="A19" s="3173" t="s">
        <v>3041</v>
      </c>
      <c r="B19" s="3173" t="s">
        <v>2984</v>
      </c>
      <c r="C19" s="3173" t="s">
        <v>3012</v>
      </c>
      <c r="D19" s="3173" t="s">
        <v>3013</v>
      </c>
      <c r="E19" s="3173" t="s">
        <v>3041</v>
      </c>
      <c r="F19" s="3173" t="s">
        <v>3014</v>
      </c>
      <c r="G19" s="3173">
        <v>30784.47</v>
      </c>
      <c r="H19" s="3173">
        <v>92353.41</v>
      </c>
      <c r="I19" s="3173" t="s">
        <v>3034</v>
      </c>
      <c r="J19" s="3173" t="s">
        <v>3035</v>
      </c>
      <c r="K19" s="3173" t="s">
        <v>3036</v>
      </c>
      <c r="L19" s="3173">
        <v>6960</v>
      </c>
      <c r="M19" s="3173">
        <v>150.72999999999999</v>
      </c>
      <c r="N19" s="3173">
        <v>753.62</v>
      </c>
      <c r="O19" s="3173">
        <v>0</v>
      </c>
      <c r="P19" s="3173">
        <f t="shared" si="2"/>
        <v>2260.8802425378772</v>
      </c>
    </row>
    <row r="20" spans="1:17" s="3173" customFormat="1">
      <c r="A20" s="3173" t="s">
        <v>3042</v>
      </c>
      <c r="B20" s="3173" t="s">
        <v>2984</v>
      </c>
      <c r="C20" s="3173" t="s">
        <v>3012</v>
      </c>
      <c r="D20" s="3173" t="s">
        <v>3013</v>
      </c>
      <c r="E20" s="3173" t="s">
        <v>3042</v>
      </c>
      <c r="F20" s="3173" t="s">
        <v>3014</v>
      </c>
      <c r="G20" s="3173">
        <v>49343.7</v>
      </c>
      <c r="H20" s="3173">
        <v>138162.35999999999</v>
      </c>
      <c r="I20" s="3173" t="s">
        <v>3038</v>
      </c>
      <c r="J20" s="3173" t="s">
        <v>3035</v>
      </c>
      <c r="K20" s="3173" t="s">
        <v>3039</v>
      </c>
      <c r="L20" s="3173">
        <v>12645</v>
      </c>
      <c r="M20" s="3173">
        <v>170.84</v>
      </c>
      <c r="N20" s="3173">
        <v>915.23</v>
      </c>
      <c r="O20" s="3173">
        <v>1.61</v>
      </c>
      <c r="P20" s="3173">
        <f t="shared" si="2"/>
        <v>2562.6371755664859</v>
      </c>
    </row>
    <row r="21" spans="1:17" s="3173" customFormat="1">
      <c r="A21" s="3173" t="s">
        <v>3043</v>
      </c>
      <c r="B21" s="3173" t="s">
        <v>2984</v>
      </c>
      <c r="C21" s="3173" t="s">
        <v>3012</v>
      </c>
      <c r="D21" s="3173" t="s">
        <v>3013</v>
      </c>
      <c r="E21" s="3173" t="s">
        <v>3043</v>
      </c>
      <c r="F21" s="3173" t="s">
        <v>3014</v>
      </c>
      <c r="G21" s="3173">
        <v>5162.01</v>
      </c>
      <c r="H21" s="3173">
        <v>15486.03</v>
      </c>
      <c r="I21" s="3173" t="s">
        <v>3044</v>
      </c>
      <c r="J21" s="3173" t="s">
        <v>3035</v>
      </c>
      <c r="K21" s="3173" t="s">
        <v>3036</v>
      </c>
      <c r="L21" s="3173">
        <v>1230</v>
      </c>
      <c r="M21" s="3173">
        <v>158.85</v>
      </c>
      <c r="N21" s="3173">
        <v>794.25</v>
      </c>
      <c r="O21" s="3173">
        <v>0</v>
      </c>
      <c r="P21" s="3173">
        <f t="shared" si="2"/>
        <v>2382.7927493360144</v>
      </c>
    </row>
    <row r="22" spans="1:17" s="3175" customFormat="1">
      <c r="A22" s="3175" t="s">
        <v>3045</v>
      </c>
      <c r="B22" s="3175" t="s">
        <v>2984</v>
      </c>
      <c r="C22" s="3175" t="s">
        <v>3012</v>
      </c>
      <c r="D22" s="3175" t="s">
        <v>3013</v>
      </c>
      <c r="E22" s="3175" t="s">
        <v>3045</v>
      </c>
      <c r="F22" s="3175" t="s">
        <v>3014</v>
      </c>
      <c r="G22" s="3175">
        <v>43383.41</v>
      </c>
      <c r="H22" s="3175">
        <v>130150.23</v>
      </c>
      <c r="I22" s="3175" t="s">
        <v>3034</v>
      </c>
      <c r="J22" s="3175" t="s">
        <v>3035</v>
      </c>
      <c r="K22" s="3175" t="s">
        <v>3036</v>
      </c>
      <c r="L22" s="3175">
        <v>10660</v>
      </c>
      <c r="M22" s="3175">
        <v>163.81</v>
      </c>
      <c r="N22" s="3175">
        <v>819.04</v>
      </c>
      <c r="O22" s="3175">
        <v>0</v>
      </c>
      <c r="P22" s="3175">
        <f>L22*10000/G22</f>
        <v>2457.1604675612175</v>
      </c>
      <c r="Q22" s="3178" t="s">
        <v>3088</v>
      </c>
    </row>
    <row r="23" spans="1:17" s="3173" customFormat="1">
      <c r="A23" s="3173" t="s">
        <v>3046</v>
      </c>
      <c r="B23" s="3173" t="s">
        <v>2984</v>
      </c>
      <c r="C23" s="3173" t="s">
        <v>3012</v>
      </c>
      <c r="D23" s="3173" t="s">
        <v>3013</v>
      </c>
      <c r="E23" s="3173" t="s">
        <v>3046</v>
      </c>
      <c r="F23" s="3173" t="s">
        <v>3014</v>
      </c>
      <c r="G23" s="3173">
        <v>4574.2</v>
      </c>
      <c r="H23" s="3173">
        <v>13722.6</v>
      </c>
      <c r="I23" s="3173" t="s">
        <v>3044</v>
      </c>
      <c r="J23" s="3173" t="s">
        <v>3035</v>
      </c>
      <c r="K23" s="3173" t="s">
        <v>3036</v>
      </c>
      <c r="L23" s="3173">
        <v>1090</v>
      </c>
      <c r="M23" s="3173">
        <v>158.86000000000001</v>
      </c>
      <c r="N23" s="3173">
        <v>794.3</v>
      </c>
      <c r="O23" s="3173">
        <v>0</v>
      </c>
      <c r="P23" s="3173">
        <f t="shared" ref="P23:P27" si="3">L23*10000/G23</f>
        <v>2382.9303484762363</v>
      </c>
    </row>
    <row r="24" spans="1:17" s="3173" customFormat="1">
      <c r="A24" s="3173" t="s">
        <v>3047</v>
      </c>
      <c r="B24" s="3173" t="s">
        <v>2984</v>
      </c>
      <c r="C24" s="3173" t="s">
        <v>3012</v>
      </c>
      <c r="D24" s="3173" t="s">
        <v>3013</v>
      </c>
      <c r="E24" s="3173" t="s">
        <v>3047</v>
      </c>
      <c r="F24" s="3173" t="s">
        <v>3014</v>
      </c>
      <c r="G24" s="3173">
        <v>31349.25</v>
      </c>
      <c r="H24" s="3173">
        <v>94047.75</v>
      </c>
      <c r="I24" s="3173" t="s">
        <v>3034</v>
      </c>
      <c r="J24" s="3173" t="s">
        <v>3035</v>
      </c>
      <c r="K24" s="3173" t="s">
        <v>3036</v>
      </c>
      <c r="L24" s="3173">
        <v>7085</v>
      </c>
      <c r="M24" s="3173">
        <v>150.66999999999999</v>
      </c>
      <c r="N24" s="3173">
        <v>753.34</v>
      </c>
      <c r="O24" s="3173">
        <v>0</v>
      </c>
      <c r="P24" s="3173">
        <f t="shared" si="3"/>
        <v>2260.0221695893842</v>
      </c>
    </row>
    <row r="25" spans="1:17">
      <c r="A25" s="3172" t="s">
        <v>3048</v>
      </c>
      <c r="B25" s="3172" t="s">
        <v>2984</v>
      </c>
      <c r="C25" s="3172" t="s">
        <v>3012</v>
      </c>
      <c r="D25" s="3172" t="s">
        <v>3013</v>
      </c>
      <c r="E25" s="3172" t="s">
        <v>3048</v>
      </c>
      <c r="F25" s="3172" t="s">
        <v>3014</v>
      </c>
      <c r="G25" s="3172">
        <v>12142.37</v>
      </c>
      <c r="H25" s="3172">
        <v>30355.93</v>
      </c>
      <c r="I25" s="3172" t="s">
        <v>3049</v>
      </c>
      <c r="J25" s="3172" t="s">
        <v>3050</v>
      </c>
      <c r="K25" s="3172" t="s">
        <v>3051</v>
      </c>
      <c r="L25" s="3172">
        <v>3100</v>
      </c>
      <c r="M25" s="3172">
        <v>170.2</v>
      </c>
      <c r="N25" s="3172">
        <v>1021.22</v>
      </c>
      <c r="O25" s="3172">
        <v>0</v>
      </c>
      <c r="P25" s="3177">
        <f t="shared" si="3"/>
        <v>2553.0435985726012</v>
      </c>
    </row>
    <row r="26" spans="1:17">
      <c r="A26" s="3172" t="s">
        <v>3052</v>
      </c>
      <c r="B26" s="3172" t="s">
        <v>2984</v>
      </c>
      <c r="C26" s="3172" t="s">
        <v>3012</v>
      </c>
      <c r="D26" s="3172" t="s">
        <v>3013</v>
      </c>
      <c r="E26" s="3172" t="s">
        <v>3052</v>
      </c>
      <c r="F26" s="3172" t="s">
        <v>3014</v>
      </c>
      <c r="G26" s="3172">
        <v>41297.14</v>
      </c>
      <c r="H26" s="3172">
        <v>103242.85</v>
      </c>
      <c r="I26" s="3172" t="s">
        <v>3053</v>
      </c>
      <c r="J26" s="3172" t="s">
        <v>3050</v>
      </c>
      <c r="K26" s="3172" t="s">
        <v>3054</v>
      </c>
      <c r="L26" s="3172">
        <v>8475</v>
      </c>
      <c r="M26" s="3172">
        <v>136.81</v>
      </c>
      <c r="N26" s="3172">
        <v>820.87</v>
      </c>
      <c r="O26" s="3172">
        <v>0</v>
      </c>
      <c r="P26" s="3177">
        <f t="shared" si="3"/>
        <v>2052.2002250034748</v>
      </c>
    </row>
    <row r="27" spans="1:17">
      <c r="A27" s="3172" t="s">
        <v>3055</v>
      </c>
      <c r="B27" s="3172" t="s">
        <v>2984</v>
      </c>
      <c r="C27" s="3172" t="s">
        <v>3012</v>
      </c>
      <c r="D27" s="3172" t="s">
        <v>3013</v>
      </c>
      <c r="E27" s="3172" t="s">
        <v>3055</v>
      </c>
      <c r="F27" s="3172" t="s">
        <v>3014</v>
      </c>
      <c r="G27" s="3172">
        <v>34151.78</v>
      </c>
      <c r="H27" s="3172">
        <v>95624.98</v>
      </c>
      <c r="I27" s="3172" t="s">
        <v>3038</v>
      </c>
      <c r="J27" s="3172" t="s">
        <v>3050</v>
      </c>
      <c r="K27" s="3172" t="s">
        <v>3036</v>
      </c>
      <c r="L27" s="3172">
        <v>7500</v>
      </c>
      <c r="M27" s="3172">
        <v>146.41</v>
      </c>
      <c r="N27" s="3172">
        <v>784.3</v>
      </c>
      <c r="O27" s="3172">
        <v>0</v>
      </c>
      <c r="P27" s="3177">
        <f t="shared" si="3"/>
        <v>2196.0787988210277</v>
      </c>
    </row>
    <row r="28" spans="1:17" s="3175" customFormat="1">
      <c r="A28" s="3175" t="s">
        <v>3056</v>
      </c>
      <c r="B28" s="3175" t="s">
        <v>2984</v>
      </c>
      <c r="C28" s="3175" t="s">
        <v>3012</v>
      </c>
      <c r="D28" s="3175" t="s">
        <v>3013</v>
      </c>
      <c r="E28" s="3175" t="s">
        <v>3056</v>
      </c>
      <c r="F28" s="3175" t="s">
        <v>3014</v>
      </c>
      <c r="G28" s="3175">
        <v>44159.57</v>
      </c>
      <c r="H28" s="3175">
        <v>110398.9</v>
      </c>
      <c r="I28" s="3175" t="s">
        <v>3049</v>
      </c>
      <c r="J28" s="3175" t="s">
        <v>3050</v>
      </c>
      <c r="K28" s="3175" t="s">
        <v>3051</v>
      </c>
      <c r="L28" s="3175">
        <v>11265</v>
      </c>
      <c r="M28" s="3175">
        <v>170.07</v>
      </c>
      <c r="N28" s="3175">
        <v>1020.38</v>
      </c>
      <c r="O28" s="3175">
        <v>0</v>
      </c>
      <c r="P28" s="3175">
        <f>L28*10000/G28</f>
        <v>2550.9759266224737</v>
      </c>
      <c r="Q28" s="3178" t="s">
        <v>3089</v>
      </c>
    </row>
    <row r="29" spans="1:17">
      <c r="A29" s="3172" t="s">
        <v>3057</v>
      </c>
      <c r="B29" s="3172" t="s">
        <v>2984</v>
      </c>
      <c r="C29" s="3172" t="s">
        <v>3012</v>
      </c>
      <c r="D29" s="3172" t="s">
        <v>3013</v>
      </c>
      <c r="E29" s="3172" t="s">
        <v>3057</v>
      </c>
      <c r="F29" s="3172" t="s">
        <v>3014</v>
      </c>
      <c r="G29" s="3172">
        <v>45076.26</v>
      </c>
      <c r="H29" s="3172">
        <v>72122.02</v>
      </c>
      <c r="I29" s="3172" t="s">
        <v>3015</v>
      </c>
      <c r="J29" s="3172" t="s">
        <v>3050</v>
      </c>
      <c r="K29" s="3172" t="s">
        <v>3058</v>
      </c>
      <c r="L29" s="3172">
        <v>4400</v>
      </c>
      <c r="M29" s="3172">
        <v>65.069999999999993</v>
      </c>
      <c r="N29" s="3172">
        <v>610.08000000000004</v>
      </c>
      <c r="O29" s="3172">
        <v>0</v>
      </c>
    </row>
    <row r="30" spans="1:17" s="3173" customFormat="1">
      <c r="A30" s="3173" t="s">
        <v>3059</v>
      </c>
      <c r="B30" s="3173" t="s">
        <v>2984</v>
      </c>
      <c r="C30" s="3173" t="s">
        <v>3012</v>
      </c>
      <c r="D30" s="3173" t="s">
        <v>3013</v>
      </c>
      <c r="E30" s="3173" t="s">
        <v>3059</v>
      </c>
      <c r="F30" s="3173" t="s">
        <v>3014</v>
      </c>
      <c r="G30" s="3173">
        <v>2584.17</v>
      </c>
      <c r="H30" s="3173">
        <v>6460.43</v>
      </c>
      <c r="I30" s="3173" t="s">
        <v>3060</v>
      </c>
      <c r="J30" s="3173" t="s">
        <v>3050</v>
      </c>
      <c r="K30" s="3173" t="s">
        <v>3036</v>
      </c>
      <c r="L30" s="3173">
        <v>551</v>
      </c>
      <c r="M30" s="3173">
        <v>142.15</v>
      </c>
      <c r="N30" s="3173">
        <v>852.87</v>
      </c>
      <c r="O30" s="3173">
        <v>0</v>
      </c>
    </row>
    <row r="31" spans="1:17" s="3173" customFormat="1">
      <c r="A31" s="3173" t="s">
        <v>3061</v>
      </c>
      <c r="B31" s="3173" t="s">
        <v>2984</v>
      </c>
      <c r="C31" s="3173" t="s">
        <v>3012</v>
      </c>
      <c r="D31" s="3173" t="s">
        <v>3013</v>
      </c>
      <c r="E31" s="3173" t="s">
        <v>3061</v>
      </c>
      <c r="F31" s="3173" t="s">
        <v>3014</v>
      </c>
      <c r="G31" s="3173">
        <v>27892.35</v>
      </c>
      <c r="H31" s="3173">
        <v>83677.05</v>
      </c>
      <c r="I31" s="3173" t="s">
        <v>3034</v>
      </c>
      <c r="J31" s="3173" t="s">
        <v>3050</v>
      </c>
      <c r="K31" s="3173" t="s">
        <v>3036</v>
      </c>
      <c r="L31" s="3173">
        <v>6305</v>
      </c>
      <c r="M31" s="3173">
        <v>150.69999999999999</v>
      </c>
      <c r="N31" s="3173">
        <v>753.49</v>
      </c>
      <c r="O31" s="3173">
        <v>0</v>
      </c>
    </row>
    <row r="32" spans="1:17" s="3173" customFormat="1">
      <c r="A32" s="3173" t="s">
        <v>3062</v>
      </c>
      <c r="B32" s="3173" t="s">
        <v>2984</v>
      </c>
      <c r="C32" s="3173" t="s">
        <v>3012</v>
      </c>
      <c r="D32" s="3173" t="s">
        <v>3013</v>
      </c>
      <c r="E32" s="3173" t="s">
        <v>3062</v>
      </c>
      <c r="F32" s="3173" t="s">
        <v>3014</v>
      </c>
      <c r="G32" s="3173">
        <v>41574.47</v>
      </c>
      <c r="H32" s="3173">
        <v>103936.18</v>
      </c>
      <c r="I32" s="3173" t="s">
        <v>3060</v>
      </c>
      <c r="J32" s="3173" t="s">
        <v>3050</v>
      </c>
      <c r="K32" s="3173" t="s">
        <v>3036</v>
      </c>
      <c r="L32" s="3173">
        <v>8860</v>
      </c>
      <c r="M32" s="3173">
        <v>142.07</v>
      </c>
      <c r="N32" s="3173">
        <v>852.45</v>
      </c>
      <c r="O32" s="3173">
        <v>0</v>
      </c>
    </row>
    <row r="33" spans="1:15" s="3173" customFormat="1">
      <c r="A33" s="3173" t="s">
        <v>3063</v>
      </c>
      <c r="B33" s="3173" t="s">
        <v>2984</v>
      </c>
      <c r="C33" s="3173" t="s">
        <v>3012</v>
      </c>
      <c r="D33" s="3173" t="s">
        <v>3013</v>
      </c>
      <c r="E33" s="3173" t="s">
        <v>3063</v>
      </c>
      <c r="F33" s="3173" t="s">
        <v>3014</v>
      </c>
      <c r="G33" s="3173">
        <v>26239.9</v>
      </c>
      <c r="H33" s="3173">
        <v>65599.75</v>
      </c>
      <c r="I33" s="3173" t="s">
        <v>3060</v>
      </c>
      <c r="J33" s="3173" t="s">
        <v>3050</v>
      </c>
      <c r="K33" s="3173" t="s">
        <v>3036</v>
      </c>
      <c r="L33" s="3173">
        <v>5595</v>
      </c>
      <c r="M33" s="3173">
        <v>142.15</v>
      </c>
      <c r="N33" s="3173">
        <v>852.89</v>
      </c>
      <c r="O33" s="3173">
        <v>0</v>
      </c>
    </row>
    <row r="34" spans="1:15" s="3173" customFormat="1">
      <c r="A34" s="3173" t="s">
        <v>3064</v>
      </c>
      <c r="B34" s="3173" t="s">
        <v>2984</v>
      </c>
      <c r="C34" s="3173" t="s">
        <v>3012</v>
      </c>
      <c r="D34" s="3173" t="s">
        <v>3013</v>
      </c>
      <c r="E34" s="3173" t="s">
        <v>3064</v>
      </c>
      <c r="F34" s="3173" t="s">
        <v>3014</v>
      </c>
      <c r="G34" s="3173">
        <v>6243.49</v>
      </c>
      <c r="H34" s="3173">
        <v>15608.73</v>
      </c>
      <c r="I34" s="3173" t="s">
        <v>3060</v>
      </c>
      <c r="J34" s="3173" t="s">
        <v>3050</v>
      </c>
      <c r="K34" s="3173" t="s">
        <v>3036</v>
      </c>
      <c r="L34" s="3173">
        <v>1330</v>
      </c>
      <c r="M34" s="3173">
        <v>142.01</v>
      </c>
      <c r="N34" s="3173">
        <v>852.09</v>
      </c>
      <c r="O34" s="3173">
        <v>0</v>
      </c>
    </row>
    <row r="35" spans="1:15" s="3173" customFormat="1">
      <c r="A35" s="3173" t="s">
        <v>3064</v>
      </c>
      <c r="B35" s="3173" t="s">
        <v>2984</v>
      </c>
      <c r="C35" s="3173" t="s">
        <v>3012</v>
      </c>
      <c r="D35" s="3173" t="s">
        <v>3013</v>
      </c>
      <c r="E35" s="3173" t="s">
        <v>3064</v>
      </c>
      <c r="F35" s="3173" t="s">
        <v>3014</v>
      </c>
      <c r="G35" s="3173">
        <v>42368.68</v>
      </c>
      <c r="H35" s="3173">
        <v>105921.7</v>
      </c>
      <c r="I35" s="3173" t="s">
        <v>3060</v>
      </c>
      <c r="J35" s="3173" t="s">
        <v>3050</v>
      </c>
      <c r="K35" s="3173" t="s">
        <v>3036</v>
      </c>
      <c r="L35" s="3173">
        <v>9030</v>
      </c>
      <c r="M35" s="3173">
        <v>142.09</v>
      </c>
      <c r="N35" s="3173">
        <v>852.51</v>
      </c>
      <c r="O35" s="3173">
        <v>0</v>
      </c>
    </row>
    <row r="36" spans="1:15">
      <c r="A36" s="3172" t="s">
        <v>3065</v>
      </c>
      <c r="B36" s="3172" t="s">
        <v>2984</v>
      </c>
      <c r="C36" s="3172" t="s">
        <v>3012</v>
      </c>
      <c r="D36" s="3172" t="s">
        <v>3013</v>
      </c>
      <c r="E36" s="3172" t="s">
        <v>3065</v>
      </c>
      <c r="F36" s="3172" t="s">
        <v>3014</v>
      </c>
      <c r="G36" s="3172">
        <v>21863.94</v>
      </c>
      <c r="H36" s="3172">
        <v>65591.820000000007</v>
      </c>
      <c r="I36" s="3172" t="s">
        <v>3034</v>
      </c>
      <c r="J36" s="3172" t="s">
        <v>3050</v>
      </c>
      <c r="K36" s="3172" t="s">
        <v>3066</v>
      </c>
      <c r="L36" s="3172">
        <v>9090</v>
      </c>
      <c r="M36" s="3172">
        <v>277.17</v>
      </c>
      <c r="N36" s="3172">
        <v>1385.83</v>
      </c>
      <c r="O36" s="3172">
        <v>65.569999999999993</v>
      </c>
    </row>
    <row r="37" spans="1:15">
      <c r="A37" s="3172" t="s">
        <v>3067</v>
      </c>
      <c r="B37" s="3172" t="s">
        <v>2984</v>
      </c>
      <c r="C37" s="3172" t="s">
        <v>3012</v>
      </c>
      <c r="D37" s="3172" t="s">
        <v>3013</v>
      </c>
      <c r="E37" s="3172" t="s">
        <v>3067</v>
      </c>
      <c r="F37" s="3172" t="s">
        <v>3014</v>
      </c>
      <c r="G37" s="3172">
        <v>8494.83</v>
      </c>
      <c r="H37" s="3172">
        <v>13591.73</v>
      </c>
      <c r="I37" s="3172" t="s">
        <v>3015</v>
      </c>
      <c r="J37" s="3172" t="s">
        <v>3050</v>
      </c>
      <c r="K37" s="3172" t="s">
        <v>3058</v>
      </c>
      <c r="L37" s="3172">
        <v>805</v>
      </c>
      <c r="M37" s="3172">
        <v>63.18</v>
      </c>
      <c r="N37" s="3172">
        <v>592.26</v>
      </c>
      <c r="O37" s="3172">
        <v>0</v>
      </c>
    </row>
    <row r="38" spans="1:15">
      <c r="A38" s="3172" t="s">
        <v>3068</v>
      </c>
      <c r="B38" s="3172" t="s">
        <v>2984</v>
      </c>
      <c r="C38" s="3172" t="s">
        <v>3012</v>
      </c>
      <c r="D38" s="3172" t="s">
        <v>3013</v>
      </c>
      <c r="E38" s="3172" t="s">
        <v>3068</v>
      </c>
      <c r="F38" s="3172" t="s">
        <v>3014</v>
      </c>
      <c r="G38" s="3172">
        <v>6942.3</v>
      </c>
      <c r="H38" s="3172">
        <v>19438.439999999999</v>
      </c>
      <c r="I38" s="3172" t="s">
        <v>3038</v>
      </c>
      <c r="J38" s="3172" t="s">
        <v>3050</v>
      </c>
      <c r="K38" s="3172" t="s">
        <v>3036</v>
      </c>
      <c r="L38" s="3172">
        <v>1525</v>
      </c>
      <c r="M38" s="3172">
        <v>146.44999999999999</v>
      </c>
      <c r="N38" s="3172">
        <v>784.52</v>
      </c>
      <c r="O38" s="3172">
        <v>0</v>
      </c>
    </row>
    <row r="39" spans="1:15">
      <c r="A39" s="3172" t="s">
        <v>3069</v>
      </c>
      <c r="B39" s="3172" t="s">
        <v>2984</v>
      </c>
      <c r="C39" s="3172" t="s">
        <v>3012</v>
      </c>
      <c r="D39" s="3172" t="s">
        <v>3013</v>
      </c>
      <c r="E39" s="3172" t="s">
        <v>3069</v>
      </c>
      <c r="F39" s="3172" t="s">
        <v>3014</v>
      </c>
      <c r="G39" s="3172">
        <v>45049.37</v>
      </c>
      <c r="H39" s="3172">
        <v>72078.990000000005</v>
      </c>
      <c r="I39" s="3172" t="s">
        <v>3015</v>
      </c>
      <c r="J39" s="3172" t="s">
        <v>3050</v>
      </c>
      <c r="K39" s="3172" t="s">
        <v>3058</v>
      </c>
      <c r="L39" s="3172">
        <v>4400</v>
      </c>
      <c r="M39" s="3172">
        <v>65.11</v>
      </c>
      <c r="N39" s="3172">
        <v>610.44000000000005</v>
      </c>
      <c r="O39" s="3172">
        <v>0</v>
      </c>
    </row>
    <row r="40" spans="1:15">
      <c r="A40" s="3172" t="s">
        <v>3070</v>
      </c>
      <c r="B40" s="3172" t="s">
        <v>2984</v>
      </c>
      <c r="C40" s="3172" t="s">
        <v>3012</v>
      </c>
      <c r="D40" s="3172" t="s">
        <v>3013</v>
      </c>
      <c r="E40" s="3172" t="s">
        <v>3070</v>
      </c>
      <c r="F40" s="3172" t="s">
        <v>3014</v>
      </c>
      <c r="G40" s="3172">
        <v>39777.74</v>
      </c>
      <c r="H40" s="3172">
        <v>63644.38</v>
      </c>
      <c r="I40" s="3172" t="s">
        <v>3015</v>
      </c>
      <c r="J40" s="3172" t="s">
        <v>3050</v>
      </c>
      <c r="K40" s="3172" t="s">
        <v>3058</v>
      </c>
      <c r="L40" s="3172">
        <v>3885</v>
      </c>
      <c r="M40" s="3172">
        <v>65.11</v>
      </c>
      <c r="N40" s="3172">
        <v>610.41</v>
      </c>
      <c r="O40" s="3172">
        <v>0</v>
      </c>
    </row>
    <row r="41" spans="1:15">
      <c r="A41" s="3172" t="s">
        <v>3071</v>
      </c>
      <c r="B41" s="3172" t="s">
        <v>2984</v>
      </c>
      <c r="C41" s="3172" t="s">
        <v>3012</v>
      </c>
      <c r="D41" s="3172" t="s">
        <v>3013</v>
      </c>
      <c r="E41" s="3172" t="s">
        <v>3071</v>
      </c>
      <c r="F41" s="3172" t="s">
        <v>3014</v>
      </c>
      <c r="G41" s="3172">
        <v>45873.61</v>
      </c>
      <c r="H41" s="3172">
        <v>73397.78</v>
      </c>
      <c r="I41" s="3172" t="s">
        <v>3015</v>
      </c>
      <c r="J41" s="3172" t="s">
        <v>3050</v>
      </c>
      <c r="K41" s="3172" t="s">
        <v>3058</v>
      </c>
      <c r="L41" s="3172">
        <v>4480</v>
      </c>
      <c r="M41" s="3172">
        <v>65.11</v>
      </c>
      <c r="N41" s="3172">
        <v>610.37</v>
      </c>
      <c r="O41" s="3172">
        <v>0</v>
      </c>
    </row>
    <row r="42" spans="1:15">
      <c r="A42" s="3172" t="s">
        <v>3072</v>
      </c>
      <c r="B42" s="3172" t="s">
        <v>2984</v>
      </c>
      <c r="C42" s="3172" t="s">
        <v>3012</v>
      </c>
      <c r="D42" s="3172" t="s">
        <v>3013</v>
      </c>
      <c r="E42" s="3172" t="s">
        <v>3072</v>
      </c>
      <c r="F42" s="3172" t="s">
        <v>3014</v>
      </c>
      <c r="G42" s="3172">
        <v>32782.019999999997</v>
      </c>
      <c r="H42" s="3172">
        <v>81955.05</v>
      </c>
      <c r="I42" s="3172" t="s">
        <v>3060</v>
      </c>
      <c r="J42" s="3172" t="s">
        <v>3073</v>
      </c>
      <c r="K42" s="3172" t="s">
        <v>3036</v>
      </c>
      <c r="L42" s="3172">
        <v>7545</v>
      </c>
      <c r="M42" s="3172">
        <v>153.44</v>
      </c>
      <c r="N42" s="3172">
        <v>920.62</v>
      </c>
      <c r="O42" s="3172">
        <v>0</v>
      </c>
    </row>
    <row r="43" spans="1:15">
      <c r="A43" s="3172" t="s">
        <v>3043</v>
      </c>
      <c r="B43" s="3172" t="s">
        <v>2984</v>
      </c>
      <c r="C43" s="3172" t="s">
        <v>3012</v>
      </c>
      <c r="D43" s="3172" t="s">
        <v>3013</v>
      </c>
      <c r="E43" s="3172" t="s">
        <v>3043</v>
      </c>
      <c r="F43" s="3172" t="s">
        <v>3014</v>
      </c>
      <c r="G43" s="3172">
        <v>9295.81</v>
      </c>
      <c r="H43" s="3172">
        <v>24169.11</v>
      </c>
      <c r="I43" s="3172" t="s">
        <v>3074</v>
      </c>
      <c r="J43" s="3172" t="s">
        <v>3075</v>
      </c>
      <c r="K43" s="3172" t="s">
        <v>3036</v>
      </c>
      <c r="L43" s="3172">
        <v>2135</v>
      </c>
      <c r="M43" s="3172">
        <v>153.12</v>
      </c>
      <c r="N43" s="3172">
        <v>883.36</v>
      </c>
      <c r="O43" s="3172">
        <v>0</v>
      </c>
    </row>
    <row r="44" spans="1:15">
      <c r="A44" s="3172" t="s">
        <v>3076</v>
      </c>
      <c r="B44" s="3172" t="s">
        <v>2984</v>
      </c>
      <c r="C44" s="3172" t="s">
        <v>3012</v>
      </c>
      <c r="D44" s="3172" t="s">
        <v>3013</v>
      </c>
      <c r="E44" s="3172" t="s">
        <v>3076</v>
      </c>
      <c r="F44" s="3172" t="s">
        <v>3014</v>
      </c>
      <c r="G44" s="3172">
        <v>38510.17</v>
      </c>
      <c r="H44" s="3172">
        <v>96275.43</v>
      </c>
      <c r="I44" s="3172" t="s">
        <v>3060</v>
      </c>
      <c r="J44" s="3172" t="s">
        <v>3075</v>
      </c>
      <c r="K44" s="3172" t="s">
        <v>3077</v>
      </c>
      <c r="L44" s="3172">
        <v>10315</v>
      </c>
      <c r="M44" s="3172">
        <v>178.57</v>
      </c>
      <c r="N44" s="3172">
        <v>1071.4100000000001</v>
      </c>
      <c r="O44" s="3172">
        <v>0</v>
      </c>
    </row>
    <row r="45" spans="1:15">
      <c r="A45" s="3172" t="s">
        <v>3078</v>
      </c>
      <c r="B45" s="3172" t="s">
        <v>2984</v>
      </c>
      <c r="C45" s="3172" t="s">
        <v>3012</v>
      </c>
      <c r="D45" s="3172" t="s">
        <v>3013</v>
      </c>
      <c r="E45" s="3172" t="s">
        <v>3078</v>
      </c>
      <c r="F45" s="3172" t="s">
        <v>3014</v>
      </c>
      <c r="G45" s="3172">
        <v>46032.959999999999</v>
      </c>
      <c r="H45" s="3172">
        <v>115082.4</v>
      </c>
      <c r="I45" s="3172" t="s">
        <v>3060</v>
      </c>
      <c r="J45" s="3172" t="s">
        <v>3075</v>
      </c>
      <c r="K45" s="3172" t="s">
        <v>3058</v>
      </c>
      <c r="L45" s="3172">
        <v>4940</v>
      </c>
      <c r="M45" s="3172">
        <v>71.540000000000006</v>
      </c>
      <c r="N45" s="3172">
        <v>429.25</v>
      </c>
      <c r="O45" s="3172">
        <v>0</v>
      </c>
    </row>
    <row r="46" spans="1:15">
      <c r="A46" s="3172" t="s">
        <v>3079</v>
      </c>
      <c r="B46" s="3172" t="s">
        <v>2984</v>
      </c>
      <c r="C46" s="3172" t="s">
        <v>3012</v>
      </c>
      <c r="D46" s="3172" t="s">
        <v>3013</v>
      </c>
      <c r="E46" s="3172" t="s">
        <v>3079</v>
      </c>
      <c r="F46" s="3172" t="s">
        <v>3014</v>
      </c>
      <c r="G46" s="3172">
        <v>27528.09</v>
      </c>
      <c r="H46" s="3172">
        <v>68820.23</v>
      </c>
      <c r="I46" s="3172" t="s">
        <v>3060</v>
      </c>
      <c r="J46" s="3172" t="s">
        <v>3075</v>
      </c>
      <c r="K46" s="3172" t="s">
        <v>3080</v>
      </c>
      <c r="L46" s="3172">
        <v>7380</v>
      </c>
      <c r="M46" s="3172">
        <v>178.73</v>
      </c>
      <c r="N46" s="3172">
        <v>1072.3499999999999</v>
      </c>
      <c r="O46" s="3172">
        <v>0</v>
      </c>
    </row>
    <row r="47" spans="1:15">
      <c r="A47" s="3172" t="s">
        <v>3081</v>
      </c>
      <c r="B47" s="3172" t="s">
        <v>2984</v>
      </c>
      <c r="C47" s="3172" t="s">
        <v>3012</v>
      </c>
      <c r="D47" s="3172" t="s">
        <v>3013</v>
      </c>
      <c r="E47" s="3172" t="s">
        <v>3081</v>
      </c>
      <c r="F47" s="3172" t="s">
        <v>3014</v>
      </c>
      <c r="G47" s="3172">
        <v>27261.78</v>
      </c>
      <c r="H47" s="3172">
        <v>68154.45</v>
      </c>
      <c r="I47" s="3172" t="s">
        <v>3060</v>
      </c>
      <c r="J47" s="3172" t="s">
        <v>3075</v>
      </c>
      <c r="K47" s="3172" t="s">
        <v>3082</v>
      </c>
      <c r="L47" s="3172">
        <v>7420</v>
      </c>
      <c r="M47" s="3172">
        <v>181.45</v>
      </c>
      <c r="N47" s="3172">
        <v>1088.7</v>
      </c>
      <c r="O47" s="3172">
        <v>0</v>
      </c>
    </row>
    <row r="48" spans="1:15">
      <c r="A48" s="3172" t="s">
        <v>3079</v>
      </c>
      <c r="B48" s="3172" t="s">
        <v>2984</v>
      </c>
      <c r="C48" s="3172" t="s">
        <v>3012</v>
      </c>
      <c r="D48" s="3172" t="s">
        <v>3013</v>
      </c>
      <c r="E48" s="3172" t="s">
        <v>3079</v>
      </c>
      <c r="F48" s="3172" t="s">
        <v>3014</v>
      </c>
      <c r="G48" s="3172">
        <v>43086.53</v>
      </c>
      <c r="H48" s="3172">
        <v>107716.33</v>
      </c>
      <c r="I48" s="3172" t="s">
        <v>3060</v>
      </c>
      <c r="J48" s="3172" t="s">
        <v>3075</v>
      </c>
      <c r="K48" s="3172" t="s">
        <v>3080</v>
      </c>
      <c r="L48" s="3172">
        <v>11660</v>
      </c>
      <c r="M48" s="3172">
        <v>180.41</v>
      </c>
      <c r="N48" s="3172">
        <v>1082.47</v>
      </c>
      <c r="O48" s="3172">
        <v>0</v>
      </c>
    </row>
    <row r="49" spans="1:15">
      <c r="A49" s="3172" t="s">
        <v>3079</v>
      </c>
      <c r="B49" s="3172" t="s">
        <v>2984</v>
      </c>
      <c r="C49" s="3172" t="s">
        <v>3012</v>
      </c>
      <c r="D49" s="3172" t="s">
        <v>3013</v>
      </c>
      <c r="E49" s="3172" t="s">
        <v>3079</v>
      </c>
      <c r="F49" s="3172" t="s">
        <v>3014</v>
      </c>
      <c r="G49" s="3172">
        <v>26387.48</v>
      </c>
      <c r="H49" s="3172">
        <v>65968.7</v>
      </c>
      <c r="I49" s="3172" t="s">
        <v>3060</v>
      </c>
      <c r="J49" s="3172" t="s">
        <v>3075</v>
      </c>
      <c r="K49" s="3172" t="s">
        <v>3080</v>
      </c>
      <c r="L49" s="3172">
        <v>7060</v>
      </c>
      <c r="M49" s="3172">
        <v>178.37</v>
      </c>
      <c r="N49" s="3172">
        <v>1070.2</v>
      </c>
      <c r="O49" s="3172">
        <v>0</v>
      </c>
    </row>
    <row r="50" spans="1:15">
      <c r="A50" s="3172" t="s">
        <v>3081</v>
      </c>
      <c r="B50" s="3172" t="s">
        <v>2984</v>
      </c>
      <c r="C50" s="3172" t="s">
        <v>3012</v>
      </c>
      <c r="D50" s="3172" t="s">
        <v>3013</v>
      </c>
      <c r="E50" s="3172" t="s">
        <v>3081</v>
      </c>
      <c r="F50" s="3172" t="s">
        <v>3014</v>
      </c>
      <c r="G50" s="3172">
        <v>27253</v>
      </c>
      <c r="H50" s="3172">
        <v>68132.5</v>
      </c>
      <c r="I50" s="3172" t="s">
        <v>3060</v>
      </c>
      <c r="J50" s="3172" t="s">
        <v>3075</v>
      </c>
      <c r="K50" s="3172" t="s">
        <v>3082</v>
      </c>
      <c r="L50" s="3172">
        <v>7420</v>
      </c>
      <c r="M50" s="3172">
        <v>181.51</v>
      </c>
      <c r="N50" s="3172">
        <v>1089.04</v>
      </c>
      <c r="O50" s="3172">
        <v>0</v>
      </c>
    </row>
    <row r="51" spans="1:15">
      <c r="A51" s="3172" t="s">
        <v>3043</v>
      </c>
      <c r="B51" s="3172" t="s">
        <v>2984</v>
      </c>
      <c r="C51" s="3172" t="s">
        <v>3012</v>
      </c>
      <c r="D51" s="3172" t="s">
        <v>3013</v>
      </c>
      <c r="E51" s="3172" t="s">
        <v>3043</v>
      </c>
      <c r="F51" s="3172" t="s">
        <v>3014</v>
      </c>
      <c r="G51" s="3172">
        <v>8937.24</v>
      </c>
      <c r="H51" s="3172">
        <v>26811.72</v>
      </c>
      <c r="I51" s="3172" t="s">
        <v>3044</v>
      </c>
      <c r="J51" s="3172" t="s">
        <v>3075</v>
      </c>
      <c r="K51" s="3172" t="s">
        <v>3036</v>
      </c>
      <c r="L51" s="3172">
        <v>2125</v>
      </c>
      <c r="M51" s="3172">
        <v>158.51</v>
      </c>
      <c r="N51" s="3172">
        <v>792.55</v>
      </c>
      <c r="O51" s="3172">
        <v>0</v>
      </c>
    </row>
  </sheetData>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6" t="s">
        <v>2041</v>
      </c>
      <c r="B1" s="3186"/>
      <c r="C1" s="3186"/>
      <c r="D1" s="3186"/>
      <c r="E1" s="3186"/>
      <c r="F1" s="3186"/>
      <c r="G1" s="3186"/>
      <c r="H1" s="3186"/>
      <c r="I1" s="3186"/>
      <c r="J1" s="3186"/>
      <c r="K1" s="3186"/>
      <c r="L1" s="3186"/>
      <c r="M1" s="3186"/>
      <c r="N1" s="3186"/>
      <c r="O1" s="3186"/>
      <c r="P1" s="3186"/>
      <c r="Q1" s="3186"/>
      <c r="R1" s="3186"/>
    </row>
    <row r="2" spans="1:18">
      <c r="A2" s="1809" t="s">
        <v>2043</v>
      </c>
      <c r="B2" s="1809"/>
      <c r="C2" s="1809"/>
      <c r="D2" s="1809"/>
      <c r="E2" s="1809"/>
      <c r="F2" s="1809"/>
      <c r="G2" s="1809"/>
      <c r="H2" s="1809"/>
      <c r="I2" s="1810"/>
      <c r="J2" s="1810"/>
      <c r="K2" s="1811" t="str">
        <f>"估价期日："&amp;TEXT(项目基本情况!D3,"yyyy年m月d日;;")</f>
        <v>估价期日：2017年12月8日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87" t="s">
        <v>2032</v>
      </c>
      <c r="B3" s="3187" t="s">
        <v>2739</v>
      </c>
      <c r="C3" s="3188" t="s">
        <v>2033</v>
      </c>
      <c r="D3" s="3187" t="s">
        <v>2743</v>
      </c>
      <c r="E3" s="3190" t="s">
        <v>2034</v>
      </c>
      <c r="F3" s="3190"/>
      <c r="G3" s="3190"/>
      <c r="H3" s="3190" t="s">
        <v>2035</v>
      </c>
      <c r="I3" s="3190"/>
      <c r="J3" s="3190"/>
      <c r="K3" s="3188" t="s">
        <v>2036</v>
      </c>
      <c r="L3" s="3188" t="s">
        <v>2037</v>
      </c>
      <c r="M3" s="3187" t="s">
        <v>2740</v>
      </c>
      <c r="N3" s="3189" t="str">
        <f>"（分摊）"&amp;项目基本情况!B16&amp;"国有建设用地使用权面积/㎡"</f>
        <v>（分摊）出让国有建设用地使用权面积/㎡</v>
      </c>
      <c r="O3" s="3187" t="s">
        <v>2066</v>
      </c>
      <c r="P3" s="3188" t="s">
        <v>2046</v>
      </c>
      <c r="Q3" s="3188" t="s">
        <v>2067</v>
      </c>
      <c r="R3" s="3188" t="s">
        <v>2038</v>
      </c>
    </row>
    <row r="4" spans="1:18" ht="36.75" customHeight="1">
      <c r="A4" s="3187"/>
      <c r="B4" s="3187"/>
      <c r="C4" s="3188"/>
      <c r="D4" s="3187"/>
      <c r="E4" s="2676" t="s">
        <v>2045</v>
      </c>
      <c r="F4" s="2676" t="s">
        <v>2752</v>
      </c>
      <c r="G4" s="2676" t="s">
        <v>2039</v>
      </c>
      <c r="H4" s="2676" t="s">
        <v>2040</v>
      </c>
      <c r="I4" s="2676" t="s">
        <v>2753</v>
      </c>
      <c r="J4" s="2676" t="s">
        <v>2039</v>
      </c>
      <c r="K4" s="3188"/>
      <c r="L4" s="3188"/>
      <c r="M4" s="3187"/>
      <c r="N4" s="3189"/>
      <c r="O4" s="3187"/>
      <c r="P4" s="3188"/>
      <c r="Q4" s="3188"/>
      <c r="R4" s="3188"/>
    </row>
    <row r="5" spans="1:18" ht="135" customHeight="1">
      <c r="A5" s="1945" t="s">
        <v>2663</v>
      </c>
      <c r="B5" s="2895" t="s">
        <v>2661</v>
      </c>
      <c r="C5" s="2675">
        <v>22</v>
      </c>
      <c r="D5" s="2674" t="s">
        <v>2662</v>
      </c>
      <c r="E5" s="1812">
        <f>项目基本情况!B12</f>
        <v>0</v>
      </c>
      <c r="F5" s="2674">
        <v>258</v>
      </c>
      <c r="G5" s="1812">
        <f>项目基本情况!B13</f>
        <v>0</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666666.69999999995</v>
      </c>
      <c r="O5" s="1812">
        <f>项目基本情况!C21</f>
        <v>1845613.3399999999</v>
      </c>
      <c r="P5" s="1812">
        <f ca="1">结果表!E42</f>
        <v>3624</v>
      </c>
      <c r="Q5" s="1812">
        <f ca="1">结果表!D42</f>
        <v>1309</v>
      </c>
      <c r="R5" s="1813">
        <f ca="1">结果表!C42</f>
        <v>241609</v>
      </c>
    </row>
    <row r="6" spans="1:18">
      <c r="A6" s="3191" t="str">
        <f>IF(项目基本情况!B9="市场价格","——","抵押价格")</f>
        <v>抵押价格</v>
      </c>
      <c r="B6" s="3192"/>
      <c r="C6" s="3192"/>
      <c r="D6" s="3192"/>
      <c r="E6" s="3192"/>
      <c r="F6" s="3192"/>
      <c r="G6" s="3192"/>
      <c r="H6" s="3192"/>
      <c r="I6" s="3192"/>
      <c r="J6" s="3192"/>
      <c r="K6" s="3192"/>
      <c r="L6" s="3192"/>
      <c r="M6" s="3192"/>
      <c r="N6" s="3192"/>
      <c r="O6" s="3192"/>
      <c r="P6" s="3192"/>
      <c r="Q6" s="3193"/>
      <c r="R6" s="1814" t="str">
        <f>结果表!O39</f>
        <v>——</v>
      </c>
    </row>
    <row r="7" spans="1:18">
      <c r="A7" s="3191" t="str">
        <f>IF(项目基本情况!B9="市场价格","——",IF(项目基本情况!E8="已注销及未注销","抵押担保权已注销时的抵押价格","——"))</f>
        <v>——</v>
      </c>
      <c r="B7" s="3192"/>
      <c r="C7" s="3192"/>
      <c r="D7" s="3192"/>
      <c r="E7" s="3192"/>
      <c r="F7" s="3192"/>
      <c r="G7" s="3192"/>
      <c r="H7" s="3192"/>
      <c r="I7" s="3192"/>
      <c r="J7" s="3192"/>
      <c r="K7" s="3192"/>
      <c r="L7" s="3192"/>
      <c r="M7" s="3192"/>
      <c r="N7" s="3192"/>
      <c r="O7" s="3192"/>
      <c r="P7" s="3192"/>
      <c r="Q7" s="3193"/>
      <c r="R7" s="1814" t="str">
        <f>结果表!O40</f>
        <v>——</v>
      </c>
    </row>
    <row r="8" spans="1:18">
      <c r="A8" s="3191">
        <f>IF(项目基本情况!B9="市场价格","——",项目基本情况!E9)</f>
        <v>0</v>
      </c>
      <c r="B8" s="3192"/>
      <c r="C8" s="3192"/>
      <c r="D8" s="3192"/>
      <c r="E8" s="3192"/>
      <c r="F8" s="3192"/>
      <c r="G8" s="3192"/>
      <c r="H8" s="3192"/>
      <c r="I8" s="3192"/>
      <c r="J8" s="3192"/>
      <c r="K8" s="3192"/>
      <c r="L8" s="3192"/>
      <c r="M8" s="3192"/>
      <c r="N8" s="3192"/>
      <c r="O8" s="3192"/>
      <c r="P8" s="3192"/>
      <c r="Q8" s="3193"/>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194" t="s">
        <v>2068</v>
      </c>
      <c r="B1" s="3194"/>
      <c r="C1" s="3194"/>
      <c r="D1" s="3194"/>
    </row>
    <row r="2" spans="1:4" ht="47.25" customHeight="1">
      <c r="A2" s="3198" t="str">
        <f>"1.权利限制："&amp;项目基本情况!L24&amp;"未设定租赁等其他他项权利。"</f>
        <v>1.权利限制：根据估价对象《不动产权证书》原件、《国有土地使用权》复印件，截至估价期日，估价对象抵押权未见登记。未设定租赁等其他他项权利。</v>
      </c>
      <c r="B2" s="3198"/>
      <c r="C2" s="3198"/>
      <c r="D2" s="3198"/>
    </row>
    <row r="3" spans="1:4" ht="48" customHeight="1">
      <c r="A3" s="319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4"/>
      <c r="C3" s="3194"/>
      <c r="D3" s="3194"/>
    </row>
    <row r="4" spans="1:4" ht="36.75" customHeight="1">
      <c r="A4" s="3194" t="str">
        <f>"3.估价规划限制条件：详见"&amp;项目基本情况!E21&amp;"。"</f>
        <v>3.估价规划限制条件：详见《建设工程规划许可证》[]、《出让合同》[]。</v>
      </c>
      <c r="B4" s="3194"/>
      <c r="C4" s="3194"/>
      <c r="D4" s="3194"/>
    </row>
    <row r="5" spans="1:4">
      <c r="A5" s="3197" t="s">
        <v>2069</v>
      </c>
      <c r="B5" s="3197"/>
      <c r="C5" s="3197"/>
      <c r="D5" s="3197"/>
    </row>
    <row r="6" spans="1:4">
      <c r="A6" s="3194" t="s">
        <v>2047</v>
      </c>
      <c r="B6" s="3194"/>
      <c r="C6" s="3194"/>
      <c r="D6" s="3194"/>
    </row>
    <row r="7" spans="1:4" ht="33" customHeight="1">
      <c r="A7" s="3194" t="s">
        <v>2581</v>
      </c>
      <c r="B7" s="3194"/>
      <c r="C7" s="3194"/>
      <c r="D7" s="3194"/>
    </row>
    <row r="8" spans="1:4" ht="32.25" customHeight="1">
      <c r="A8" s="31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4"/>
      <c r="C8" s="3194"/>
      <c r="D8" s="3194"/>
    </row>
    <row r="9" spans="1:4" ht="33.75" customHeight="1">
      <c r="A9" s="31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4"/>
      <c r="C9" s="3194"/>
      <c r="D9" s="3194"/>
    </row>
    <row r="10" spans="1:4">
      <c r="A10" s="3194" t="str">
        <f>IF(项目基本情况!B8="抵押","4.估价师所知悉的法定优先受偿款情况为：","——")</f>
        <v>4.估价师所知悉的法定优先受偿款情况为：</v>
      </c>
      <c r="B10" s="3194"/>
      <c r="C10" s="3194"/>
      <c r="D10" s="3194"/>
    </row>
    <row r="11" spans="1:4" ht="37.5" customHeight="1">
      <c r="A11" s="319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6"/>
      <c r="C11" s="3196"/>
      <c r="D11" s="3196"/>
    </row>
    <row r="12" spans="1:4" ht="168" customHeight="1">
      <c r="A12" s="3197" t="s">
        <v>2071</v>
      </c>
      <c r="B12" s="3197"/>
      <c r="C12" s="3197"/>
      <c r="D12" s="3197"/>
    </row>
    <row r="13" spans="1:4">
      <c r="A13" s="3195" t="s">
        <v>2754</v>
      </c>
      <c r="B13" s="3195"/>
      <c r="C13" s="3195"/>
      <c r="D13" s="3195"/>
    </row>
    <row r="14" spans="1:4">
      <c r="A14" s="3196" t="str">
        <f>IF(项目基本情况!B8="抵押","综上，"&amp;结果表!K47,"——")</f>
        <v>综上，本次评估不存在估价师知悉的法定优先受偿款</v>
      </c>
      <c r="B14" s="3196"/>
      <c r="C14" s="3196"/>
      <c r="D14" s="3196"/>
    </row>
    <row r="15" spans="1:4" ht="58.5" customHeight="1">
      <c r="A15" s="31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4"/>
      <c r="C15" s="3194"/>
      <c r="D15" s="3194"/>
    </row>
    <row r="16" spans="1:4" ht="70.5" customHeight="1">
      <c r="A16" s="31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4"/>
      <c r="C16" s="3194"/>
      <c r="D16" s="3194"/>
    </row>
    <row r="17" spans="1:4">
      <c r="A17" s="3194" t="s">
        <v>2710</v>
      </c>
      <c r="B17" s="3194"/>
      <c r="C17" s="3194"/>
      <c r="D17" s="3194"/>
    </row>
    <row r="18" spans="1:4">
      <c r="A18" s="3194" t="s">
        <v>2702</v>
      </c>
      <c r="B18" s="3194"/>
      <c r="C18" s="3194"/>
      <c r="D18" s="3194"/>
    </row>
    <row r="19" spans="1:4">
      <c r="A19" s="2896" t="s">
        <v>2703</v>
      </c>
      <c r="B19" s="2896" t="s">
        <v>2704</v>
      </c>
      <c r="C19" s="2896" t="s">
        <v>2705</v>
      </c>
      <c r="D19" s="2896" t="s">
        <v>2706</v>
      </c>
    </row>
    <row r="20" spans="1:4">
      <c r="A20" s="2896" t="str">
        <f>项目基本情况!B4</f>
        <v>土地估价师</v>
      </c>
      <c r="B20" s="2896">
        <f>项目基本情况!C4</f>
        <v>0</v>
      </c>
      <c r="C20" s="2898"/>
      <c r="D20" s="1802" t="s">
        <v>2711</v>
      </c>
    </row>
    <row r="21" spans="1:4">
      <c r="A21" s="2896" t="str">
        <f>项目基本情况!D4</f>
        <v>土地估价师</v>
      </c>
      <c r="B21" s="2896">
        <f>项目基本情况!E4</f>
        <v>0</v>
      </c>
      <c r="C21" s="2898"/>
      <c r="D21" s="1802" t="s">
        <v>2712</v>
      </c>
    </row>
    <row r="23" spans="1:4">
      <c r="A23" s="3194" t="s">
        <v>2707</v>
      </c>
      <c r="B23" s="3194"/>
      <c r="C23" s="3194"/>
      <c r="D23" s="3194"/>
    </row>
    <row r="24" spans="1:4">
      <c r="A24" s="2896" t="s">
        <v>2703</v>
      </c>
      <c r="B24" s="2896" t="s">
        <v>2708</v>
      </c>
      <c r="C24" s="2896" t="s">
        <v>2705</v>
      </c>
      <c r="D24" s="2896" t="s">
        <v>2706</v>
      </c>
    </row>
    <row r="25" spans="1:4">
      <c r="A25" s="2899" t="s">
        <v>2709</v>
      </c>
      <c r="B25" s="2896" t="s">
        <v>952</v>
      </c>
      <c r="C25" s="2898"/>
      <c r="D25" s="1802" t="s">
        <v>2712</v>
      </c>
    </row>
    <row r="29" spans="1:4">
      <c r="D29" s="2897" t="s">
        <v>2042</v>
      </c>
    </row>
    <row r="30" spans="1:4">
      <c r="D30" s="290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6" t="s">
        <v>53</v>
      </c>
      <c r="B15" s="3207" t="s">
        <v>846</v>
      </c>
      <c r="C15" s="3203"/>
    </row>
    <row r="16" spans="1:7" ht="14.25">
      <c r="A16" s="3206"/>
      <c r="B16" s="3204" t="s">
        <v>54</v>
      </c>
      <c r="C16" s="1172" t="s">
        <v>53</v>
      </c>
    </row>
    <row r="17" spans="1:3" ht="14.25">
      <c r="A17" s="3206"/>
      <c r="B17" s="3204"/>
      <c r="C17" s="1172" t="s">
        <v>55</v>
      </c>
    </row>
    <row r="18" spans="1:3" ht="14.25">
      <c r="A18" s="3206"/>
      <c r="B18" s="3204"/>
      <c r="C18" s="1172" t="s">
        <v>56</v>
      </c>
    </row>
    <row r="19" spans="1:3" ht="14.25">
      <c r="A19" s="3206"/>
      <c r="B19" s="3202" t="s">
        <v>57</v>
      </c>
      <c r="C19" s="3203"/>
    </row>
    <row r="20" spans="1:3" ht="14.25">
      <c r="A20" s="1173" t="s">
        <v>58</v>
      </c>
      <c r="B20" s="1174"/>
      <c r="C20" s="1175"/>
    </row>
    <row r="21" spans="1:3" ht="14.25">
      <c r="A21" s="3205" t="s">
        <v>59</v>
      </c>
      <c r="B21" s="3202" t="s">
        <v>60</v>
      </c>
      <c r="C21" s="3203"/>
    </row>
    <row r="22" spans="1:3" ht="14.25">
      <c r="A22" s="3205"/>
      <c r="B22" s="3202" t="s">
        <v>61</v>
      </c>
      <c r="C22" s="3203"/>
    </row>
    <row r="23" spans="1:3" ht="14.25">
      <c r="A23" s="3205"/>
      <c r="B23" s="3202" t="s">
        <v>62</v>
      </c>
      <c r="C23" s="3203"/>
    </row>
    <row r="24" spans="1:3" ht="14.25">
      <c r="A24" s="3205"/>
      <c r="B24" s="3208" t="s">
        <v>63</v>
      </c>
      <c r="C24" s="1176" t="s">
        <v>837</v>
      </c>
    </row>
    <row r="25" spans="1:3" ht="14.25">
      <c r="A25" s="3205"/>
      <c r="B25" s="3209"/>
      <c r="C25" s="1176" t="s">
        <v>838</v>
      </c>
    </row>
    <row r="26" spans="1:3" ht="14.25">
      <c r="A26" s="3205"/>
      <c r="B26" s="3209"/>
      <c r="C26" s="1176" t="s">
        <v>839</v>
      </c>
    </row>
    <row r="27" spans="1:3" ht="14.25">
      <c r="A27" s="3205"/>
      <c r="B27" s="3209"/>
      <c r="C27" s="1176" t="s">
        <v>840</v>
      </c>
    </row>
    <row r="28" spans="1:3" ht="14.25">
      <c r="A28" s="3205"/>
      <c r="B28" s="3209"/>
      <c r="C28" s="1176" t="s">
        <v>841</v>
      </c>
    </row>
    <row r="29" spans="1:3" ht="14.25">
      <c r="A29" s="3205"/>
      <c r="B29" s="3209"/>
      <c r="C29" s="1176" t="s">
        <v>842</v>
      </c>
    </row>
    <row r="30" spans="1:3" ht="14.25">
      <c r="A30" s="3205"/>
      <c r="B30" s="3209"/>
      <c r="C30" s="1176" t="s">
        <v>843</v>
      </c>
    </row>
    <row r="31" spans="1:3" ht="14.25">
      <c r="A31" s="3205"/>
      <c r="B31" s="3209"/>
      <c r="C31" s="1176" t="s">
        <v>844</v>
      </c>
    </row>
    <row r="32" spans="1:3" ht="14.25">
      <c r="A32" s="3205"/>
      <c r="B32" s="3209"/>
      <c r="C32" s="1176" t="s">
        <v>1647</v>
      </c>
    </row>
    <row r="33" spans="1:3" ht="14.25">
      <c r="A33" s="3205"/>
      <c r="B33" s="3199" t="s">
        <v>1653</v>
      </c>
      <c r="C33" s="1176" t="s">
        <v>1648</v>
      </c>
    </row>
    <row r="34" spans="1:3" ht="14.25">
      <c r="A34" s="3205"/>
      <c r="B34" s="3200"/>
      <c r="C34" s="1181" t="s">
        <v>1649</v>
      </c>
    </row>
    <row r="35" spans="1:3" ht="14.25">
      <c r="A35" s="3205"/>
      <c r="B35" s="3200"/>
      <c r="C35" s="1182" t="s">
        <v>1650</v>
      </c>
    </row>
    <row r="36" spans="1:3" ht="14.25">
      <c r="A36" s="3205"/>
      <c r="B36" s="3200"/>
      <c r="C36" s="1182" t="s">
        <v>1651</v>
      </c>
    </row>
    <row r="37" spans="1:3" ht="14.25">
      <c r="A37" s="3205"/>
      <c r="B37" s="3201"/>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43077</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4">
        <v>43849</v>
      </c>
      <c r="D4" s="2345" t="s">
        <v>1915</v>
      </c>
      <c r="E4" s="2345">
        <f ca="1">IF(F4&lt;B2,"已过期",96010014)</f>
        <v>96010014</v>
      </c>
      <c r="F4" s="3035">
        <v>47118</v>
      </c>
    </row>
    <row r="5" spans="1:6" ht="20.25" customHeight="1">
      <c r="A5" s="2345" t="s">
        <v>1916</v>
      </c>
      <c r="B5" s="2345">
        <f ca="1">IF(C5&lt;B2,"已过期",1119970074)</f>
        <v>1119970074</v>
      </c>
      <c r="C5" s="3034">
        <v>43849</v>
      </c>
      <c r="D5" s="2345" t="s">
        <v>1916</v>
      </c>
      <c r="E5" s="2345">
        <f ca="1">IF(F5&lt;B2,"已过期",2002110027)</f>
        <v>2002110027</v>
      </c>
      <c r="F5" s="3035">
        <v>46752</v>
      </c>
    </row>
    <row r="6" spans="1:6" ht="20.25" customHeight="1">
      <c r="A6" s="2345" t="s">
        <v>1917</v>
      </c>
      <c r="B6" s="2345">
        <f ca="1">IF(C6&lt;B2,"已过期",1119970111)</f>
        <v>1119970111</v>
      </c>
      <c r="C6" s="3034">
        <v>43849</v>
      </c>
      <c r="D6" s="2345" t="s">
        <v>1917</v>
      </c>
      <c r="E6" s="2345">
        <f ca="1">IF(F6&lt;B2,"已过期",94010078)</f>
        <v>94010078</v>
      </c>
      <c r="F6" s="3035">
        <v>46387</v>
      </c>
    </row>
    <row r="7" spans="1:6" ht="20.25" customHeight="1">
      <c r="A7" s="2345" t="s">
        <v>1918</v>
      </c>
      <c r="B7" s="2345">
        <f ca="1">IF(C7&lt;B2,"已过期",1120050019)</f>
        <v>1120050019</v>
      </c>
      <c r="C7" s="3034">
        <v>43359</v>
      </c>
      <c r="D7" s="2345" t="s">
        <v>1918</v>
      </c>
      <c r="E7" s="2345">
        <f ca="1">IF(F7&lt;B2,"已过期",2002110030)</f>
        <v>2002110030</v>
      </c>
      <c r="F7" s="3035">
        <v>46387</v>
      </c>
    </row>
    <row r="8" spans="1:6" ht="20.25" customHeight="1">
      <c r="A8" s="2345" t="s">
        <v>1919</v>
      </c>
      <c r="B8" s="2345">
        <f ca="1">IF(C8&lt;B2,"已过期",1120000080)</f>
        <v>1120000080</v>
      </c>
      <c r="C8" s="3034">
        <v>43849</v>
      </c>
      <c r="D8" s="2345" t="s">
        <v>1919</v>
      </c>
      <c r="E8" s="2345">
        <f ca="1">IF(F8&lt;B2,"已过期",2000110082)</f>
        <v>2000110082</v>
      </c>
      <c r="F8" s="3035">
        <v>46387</v>
      </c>
    </row>
    <row r="9" spans="1:6" ht="20.25" customHeight="1">
      <c r="A9" s="2345" t="s">
        <v>1920</v>
      </c>
      <c r="B9" s="2345">
        <f ca="1">IF(C9&lt;B2,"已过期",1419970001)</f>
        <v>1419970001</v>
      </c>
      <c r="C9" s="3034">
        <v>43867</v>
      </c>
      <c r="D9" s="2345" t="s">
        <v>1920</v>
      </c>
      <c r="E9" s="2345">
        <f ca="1">IF(F9&lt;B2,"已过期",2002110125)</f>
        <v>2002110125</v>
      </c>
      <c r="F9" s="3035">
        <v>47118</v>
      </c>
    </row>
    <row r="10" spans="1:6" ht="20.25" customHeight="1">
      <c r="A10" s="2345" t="s">
        <v>1921</v>
      </c>
      <c r="B10" s="2345">
        <f ca="1">IF(C10&lt;B2,"已过期",1120060040)</f>
        <v>1120060040</v>
      </c>
      <c r="C10" s="3034">
        <v>43483</v>
      </c>
      <c r="D10" s="2345" t="s">
        <v>1921</v>
      </c>
      <c r="E10" s="2345">
        <f ca="1">IF(F10&lt;B2,"已过期",2004110096)</f>
        <v>2004110096</v>
      </c>
      <c r="F10" s="3035">
        <v>47118</v>
      </c>
    </row>
    <row r="11" spans="1:6" ht="20.25" customHeight="1">
      <c r="A11" s="2345" t="s">
        <v>1922</v>
      </c>
      <c r="B11" s="2345">
        <f ca="1">IF(C11&lt;B2,"已过期",1120100036)</f>
        <v>1120100036</v>
      </c>
      <c r="C11" s="3034">
        <v>43622</v>
      </c>
      <c r="D11" s="2345" t="s">
        <v>1922</v>
      </c>
      <c r="E11" s="2345">
        <f ca="1">IF(F11&lt;B2,"已过期",2010110070)</f>
        <v>2010110070</v>
      </c>
      <c r="F11" s="3035">
        <v>47907</v>
      </c>
    </row>
    <row r="12" spans="1:6" ht="20.25" customHeight="1">
      <c r="A12" s="2345"/>
      <c r="B12" s="2345"/>
      <c r="C12" s="3034"/>
      <c r="D12" s="2345"/>
      <c r="E12" s="2345"/>
      <c r="F12" s="2345"/>
    </row>
    <row r="13" spans="1:6" ht="20.25" customHeight="1">
      <c r="A13" s="2345" t="s">
        <v>1923</v>
      </c>
      <c r="B13" s="2345">
        <f ca="1">IF(C13&lt;B2,"已过期",1120070131)</f>
        <v>1120070131</v>
      </c>
      <c r="C13" s="3034">
        <v>43814</v>
      </c>
      <c r="D13" s="2345" t="s">
        <v>1923</v>
      </c>
      <c r="E13" s="2345">
        <v>2014110011</v>
      </c>
      <c r="F13" s="3035">
        <v>49302</v>
      </c>
    </row>
    <row r="14" spans="1:6" ht="20.25" customHeight="1">
      <c r="A14" s="2345" t="s">
        <v>1924</v>
      </c>
      <c r="B14" s="2345">
        <f ca="1">IF(C14&lt;B2,"已过期",1120130020)</f>
        <v>1120130020</v>
      </c>
      <c r="C14" s="3034">
        <v>43622</v>
      </c>
      <c r="D14" s="2345"/>
      <c r="E14" s="2345"/>
      <c r="F14" s="2345"/>
    </row>
    <row r="15" spans="1:6" ht="20.25" customHeight="1">
      <c r="A15" s="2345" t="s">
        <v>2580</v>
      </c>
      <c r="B15" s="2345">
        <v>1120070085</v>
      </c>
      <c r="C15" s="3034">
        <v>43814</v>
      </c>
      <c r="D15" s="2345" t="s">
        <v>2580</v>
      </c>
      <c r="E15" s="2345">
        <v>2004110128</v>
      </c>
      <c r="F15" s="3035">
        <v>47118</v>
      </c>
    </row>
    <row r="16" spans="1:6" ht="20.25" customHeight="1">
      <c r="A16" s="2345" t="s">
        <v>1925</v>
      </c>
      <c r="B16" s="2345">
        <f ca="1">IF(C16&lt;B2,"已过期",1120140022)</f>
        <v>1120140022</v>
      </c>
      <c r="C16" s="3034">
        <v>44029</v>
      </c>
      <c r="D16" s="2345" t="s">
        <v>1925</v>
      </c>
      <c r="E16" s="2345">
        <f ca="1">IF(F16&lt;B2,"已过期",2008110059)</f>
        <v>2008110059</v>
      </c>
      <c r="F16" s="3035">
        <v>47177</v>
      </c>
    </row>
    <row r="17" spans="1:7" ht="20.25" customHeight="1">
      <c r="A17" s="2345"/>
      <c r="B17" s="2345"/>
      <c r="C17" s="3034"/>
      <c r="D17" s="2345"/>
      <c r="E17" s="2345"/>
      <c r="F17" s="3035"/>
    </row>
    <row r="18" spans="1:7" ht="20.25" customHeight="1">
      <c r="A18" s="2345"/>
      <c r="B18" s="2345"/>
      <c r="C18" s="3034"/>
      <c r="D18" s="2345"/>
      <c r="E18" s="2345"/>
      <c r="F18" s="3035"/>
    </row>
    <row r="19" spans="1:7" ht="20.25" customHeight="1">
      <c r="A19" s="2345"/>
      <c r="B19" s="2345"/>
      <c r="C19" s="3034"/>
      <c r="D19" s="2345"/>
      <c r="E19" s="2345"/>
      <c r="F19" s="2345"/>
    </row>
    <row r="20" spans="1:7" ht="20.25" customHeight="1">
      <c r="A20" s="2345"/>
      <c r="B20" s="2345"/>
      <c r="C20" s="3034"/>
      <c r="D20" s="2345"/>
      <c r="E20" s="2345"/>
      <c r="F20" s="2345"/>
    </row>
    <row r="21" spans="1:7" ht="20.25" customHeight="1">
      <c r="A21" s="2345"/>
      <c r="B21" s="2345"/>
      <c r="C21" s="3034"/>
      <c r="D21" s="2345" t="s">
        <v>1926</v>
      </c>
      <c r="E21" s="2345">
        <f ca="1">IF(F21&lt;B2,"已过期",2011110090)</f>
        <v>2011110090</v>
      </c>
      <c r="F21" s="3035">
        <v>48302</v>
      </c>
    </row>
    <row r="22" spans="1:7" ht="20.25" customHeight="1">
      <c r="A22" s="2345" t="s">
        <v>1927</v>
      </c>
      <c r="B22" s="2345">
        <f ca="1">IF(C22&lt;B2,"已过期",1120020033)</f>
        <v>1120020033</v>
      </c>
      <c r="C22" s="3034">
        <v>43304</v>
      </c>
      <c r="D22" s="2345" t="s">
        <v>1927</v>
      </c>
      <c r="E22" s="2345">
        <f ca="1">IF(F22&lt;B2,"已过期",2000110137)</f>
        <v>2000110137</v>
      </c>
      <c r="F22" s="3035">
        <v>46387</v>
      </c>
    </row>
    <row r="23" spans="1:7" ht="20.25" customHeight="1">
      <c r="A23" s="2345" t="s">
        <v>1928</v>
      </c>
      <c r="B23" s="2345">
        <f ca="1">IF(C23&lt;B2,"已过期",1120130048)</f>
        <v>1120130048</v>
      </c>
      <c r="C23" s="3034">
        <v>43686</v>
      </c>
      <c r="D23" s="2345"/>
      <c r="E23" s="2345"/>
      <c r="F23" s="2345"/>
    </row>
    <row r="24" spans="1:7" s="2349" customFormat="1" ht="20.25" customHeight="1">
      <c r="A24" s="2347" t="s">
        <v>2056</v>
      </c>
      <c r="B24" s="2347" t="s">
        <v>2056</v>
      </c>
      <c r="C24" s="3034"/>
      <c r="D24" s="3036" t="s">
        <v>2056</v>
      </c>
      <c r="E24" s="2347" t="s">
        <v>2056</v>
      </c>
      <c r="F24" s="2348"/>
    </row>
    <row r="25" spans="1:7" ht="20.25" customHeight="1">
      <c r="A25" s="3210" t="s">
        <v>1929</v>
      </c>
      <c r="B25" s="3210"/>
      <c r="C25" s="3210"/>
      <c r="D25" s="3210"/>
      <c r="E25" s="3210"/>
      <c r="F25" s="3210"/>
      <c r="G25" s="3210"/>
    </row>
    <row r="26" spans="1:7" ht="20.25" customHeight="1">
      <c r="A26" s="3211" t="s">
        <v>1930</v>
      </c>
      <c r="B26" s="3211"/>
      <c r="C26" s="3211"/>
      <c r="D26" s="3211" t="s">
        <v>1931</v>
      </c>
      <c r="E26" s="3211"/>
      <c r="F26" s="3211"/>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2955</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2551</v>
      </c>
      <c r="R1" s="2608" t="s">
        <v>2545</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2546</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2547</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2548</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2549</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2550</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5" t="s">
        <v>2968</v>
      </c>
      <c r="C18" s="1555"/>
    </row>
    <row r="19" spans="1:3">
      <c r="A19" s="8" t="s">
        <v>120</v>
      </c>
      <c r="B19" s="3145" t="s">
        <v>2976</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郑州市荥阳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12"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8日，在规划利用条件下、设定土地开发程度为红线外“七通”、宗地内场地，设定用途为，剩余土地使用年限为的出让国有建设用地使用权价格。</v>
      </c>
      <c r="D53" s="1769"/>
      <c r="E53" s="1769"/>
    </row>
    <row r="54" spans="1:5">
      <c r="A54" s="3212"/>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12"/>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12"/>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12"/>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127</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面积</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售价</vt:lpstr>
      <vt:lpstr>Sheet3</vt:lpstr>
      <vt:lpstr>Sheet4</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2017-12-08T03:31:01Z</dcterms:modified>
</cp:coreProperties>
</file>