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D4" i="61"/>
  <c r="F6" i="61"/>
  <c r="D5" i="61"/>
  <c r="D6" i="61"/>
  <c r="F5" i="61"/>
  <c r="F3" i="61"/>
  <c r="F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E2" i="36"/>
  <c r="C19" i="57"/>
  <c r="E2" i="34"/>
  <c r="E2" i="11"/>
  <c r="E2" i="21"/>
  <c r="C20" i="57"/>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<sst xmlns="http://schemas.openxmlformats.org/spreadsheetml/2006/main" count="6932" uniqueCount="2941">
  <si>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</si>
  <si>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</si>
  <si>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</si>
  <si>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</si>
  <si>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</si>
  <si>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</si>
  <si>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</si>
  <si>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</si>
  <si>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</si>
  <si>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</si>
  <si>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</si>
  <si>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</si>
  <si>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</si>
  <si>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</si>
  <si>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</si>
  <si>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</si>
  <si>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</si>
  <si>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</si>
  <si>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</si>
  <si>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</si>
  <si>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</si>
  <si>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</si>
  <si>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</si>
  <si>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</si>
  <si>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</si>
  <si>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</si>
  <si>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</si>
  <si>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</si>
  <si>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</si>
  <si>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</si>
  <si>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</si>
  <si>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</si>
  <si>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</si>
  <si>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</si>
  <si>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</si>
  <si>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</si>
  <si>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</si>
  <si>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</si>
  <si>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</si>
  <si>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</si>
  <si>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</si>
  <si>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</si>
  <si>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</si>
  <si>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</si>
  <si>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</si>
  <si>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</si>
  <si>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</si>
  <si>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</si>
  <si>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</si>
  <si>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</si>
  <si>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</si>
  <si>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</si>
  <si>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</si>
  <si>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</si>
  <si>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</si>
  <si>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</si>
  <si>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</si>
  <si>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</si>
  <si>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</si>
  <si>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</si>
  <si>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</si>
  <si>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</si>
  <si>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</si>
  <si>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</si>
  <si>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</si>
  <si>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</si>
  <si>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</si>
  <si>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</si>
  <si>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</si>
  <si>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</si>
  <si>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</si>
  <si>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</si>
  <si>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</si>
  <si>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</si>
  <si>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</si>
  <si>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</si>
  <si>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</si>
  <si>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</si>
  <si>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</si>
  <si>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</si>
  <si>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</si>
  <si>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</si>
  <si>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</si>
  <si>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</si>
  <si>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</si>
  <si>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</si>
  <si>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</si>
  <si>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</si>
  <si>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</si>
  <si>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</si>
  <si>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</si>
  <si>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</si>
  <si>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</si>
  <si>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</si>
  <si>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</si>
  <si>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</si>
  <si>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</si>
  <si>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</si>
  <si>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</si>
  <si>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</si>
  <si>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</si>
  <si>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</si>
  <si>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</si>
  <si>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</si>
  <si>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</si>
  <si>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</si>
  <si>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</si>
  <si>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</si>
  <si>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</si>
  <si>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</si>
  <si>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</si>
  <si>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</si>
  <si>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</si>
  <si>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</si>
  <si>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</si>
  <si>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</si>
  <si>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</si>
  <si>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</si>
  <si>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</si>
  <si>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</si>
  <si>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</si>
  <si>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</si>
  <si>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</si>
  <si>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</si>
  <si>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</si>
  <si>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</si>
  <si>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</si>
  <si>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</si>
  <si>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</si>
  <si>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</si>
  <si>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</si>
  <si>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</si>
  <si>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</si>
  <si>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</si>
  <si>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</si>
  <si>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</si>
  <si>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</si>
  <si>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</si>
  <si>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</si>
  <si>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</si>
  <si>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</si>
  <si>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</si>
  <si>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</si>
  <si>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</si>
  <si>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</si>
  <si>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</si>
  <si>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</si>
  <si>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</si>
  <si>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</si>
  <si>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</si>
  <si>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</si>
  <si>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</si>
  <si>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</si>
  <si>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</si>
  <si>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</si>
  <si>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</si>
  <si>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</si>
  <si>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</si>
  <si>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</si>
  <si>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</si>
  <si>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</si>
  <si>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</si>
  <si>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</si>
  <si>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</si>
  <si>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</si>
  <si>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</si>
  <si>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</si>
  <si>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</si>
  <si>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</si>
  <si>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</si>
  <si>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</si>
  <si>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</si>
  <si>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</si>
  <si>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</si>
  <si>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</si>
  <si>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</si>
  <si>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</si>
  <si>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</si>
  <si>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</si>
  <si>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</si>
  <si>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</si>
  <si>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</si>
  <si>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</si>
  <si>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</si>
  <si>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</si>
  <si>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</si>
  <si>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</si>
  <si>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</si>
  <si>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</si>
  <si>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</si>
  <si>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</si>
  <si>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</si>
  <si>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</si>
  <si>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</si>
  <si>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</si>
  <si>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</si>
  <si>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</si>
  <si>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</si>
  <si>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</si>
  <si>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</si>
  <si>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</si>
  <si>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</si>
  <si>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</si>
  <si>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</si>
  <si>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</si>
  <si>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</si>
  <si>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</si>
  <si>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</si>
  <si>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</si>
  <si>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</si>
  <si>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</si>
  <si>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</si>
  <si>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</si>
  <si>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</si>
  <si>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</si>
  <si>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</si>
  <si>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</si>
  <si>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</si>
  <si>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</si>
  <si>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</si>
  <si>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</si>
  <si>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</si>
  <si>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</si>
  <si>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</si>
  <si>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</si>
  <si>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</si>
  <si>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</si>
  <si>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</si>
  <si>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</si>
  <si>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</si>
  <si>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</si>
  <si>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</si>
  <si>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</si>
  <si>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</si>
  <si>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</si>
  <si>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</si>
  <si>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</si>
  <si>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</si>
  <si>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</si>
  <si>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</si>
  <si>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</si>
  <si>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</si>
  <si>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</si>
  <si>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</si>
  <si>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</si>
  <si>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</si>
  <si>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</si>
  <si>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</si>
  <si>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</si>
  <si>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</si>
  <si>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</si>
  <si>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</si>
  <si>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</si>
  <si>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</si>
  <si>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</si>
  <si>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</si>
  <si>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</si>
  <si>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</si>
  <si>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</si>
  <si>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</si>
  <si>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</si>
  <si>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</si>
  <si>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</si>
  <si>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</si>
  <si>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</si>
  <si>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</si>
  <si>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</si>
  <si>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</si>
  <si>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</si>
  <si>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</si>
  <si>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</si>
  <si>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</si>
  <si>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</si>
  <si>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</si>
  <si>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</si>
  <si>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</si>
  <si>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</si>
  <si>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</si>
  <si>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</si>
  <si>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</si>
  <si>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</si>
  <si>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</si>
  <si>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</si>
  <si>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</si>
  <si>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</si>
  <si>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</si>
  <si>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</si>
  <si>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</si>
  <si>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</si>
  <si>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</si>
  <si>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</si>
  <si>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</si>
  <si>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</si>
  <si>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</si>
  <si>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</si>
  <si>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</si>
  <si>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</si>
  <si>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</si>
  <si>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</si>
  <si>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</si>
  <si>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</si>
  <si>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</si>
  <si>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</si>
  <si>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</si>
  <si>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</si>
  <si>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</si>
  <si>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</si>
  <si>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</si>
  <si>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</si>
  <si>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</si>
  <si>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</si>
  <si>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</si>
  <si>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</si>
  <si>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</si>
  <si>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</si>
  <si>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</si>
  <si>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</si>
  <si>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</si>
  <si>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</si>
  <si>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</si>
  <si>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</si>
  <si>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</si>
  <si>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</si>
  <si>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</si>
  <si>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</si>
  <si>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</si>
  <si>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</si>
  <si>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</si>
  <si>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</si>
  <si>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</si>
  <si>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</si>
  <si>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</si>
  <si>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</si>
  <si>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</si>
  <si>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</si>
  <si>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</si>
  <si>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</si>
  <si>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</si>
  <si>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</si>
  <si>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</si>
  <si>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</si>
  <si>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</si>
  <si>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</si>
  <si>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</si>
  <si>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</si>
  <si>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</si>
  <si>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</si>
  <si>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</si>
  <si>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</si>
  <si>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</si>
  <si>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</si>
  <si>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</si>
  <si>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</si>
  <si>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</si>
  <si>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</si>
  <si>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</si>
  <si>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</si>
  <si>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</si>
  <si>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</si>
  <si>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</si>
  <si>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</si>
  <si>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</si>
  <si>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</si>
  <si>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</si>
  <si>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</si>
  <si>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</si>
  <si>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</si>
  <si>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</si>
  <si>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</si>
  <si>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</si>
  <si>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</si>
  <si>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</si>
  <si>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</si>
  <si>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</si>
  <si>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</si>
  <si>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</si>
  <si>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</si>
  <si>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</si>
  <si>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</si>
  <si>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</si>
  <si>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</si>
  <si>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</si>
  <si>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</si>
  <si>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</si>
  <si>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</si>
  <si>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</si>
  <si>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</si>
  <si>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</si>
  <si>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</si>
  <si>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</si>
  <si>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</si>
  <si>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</si>
  <si>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</si>
  <si>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</si>
  <si>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</si>
  <si>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</si>
  <si>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</si>
  <si>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</si>
  <si>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</si>
  <si>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</si>
  <si>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</si>
  <si>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</si>
  <si>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</si>
  <si>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</si>
  <si>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</si>
  <si>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</si>
  <si>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</si>
  <si>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</si>
  <si>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</si>
  <si>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</si>
  <si>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</si>
  <si>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</si>
  <si>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</si>
  <si>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</si>
  <si>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</si>
  <si>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</si>
  <si>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</si>
  <si>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</si>
  <si>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</si>
  <si>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</si>
  <si>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</si>
  <si>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</si>
  <si>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</si>
  <si>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</si>
  <si>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</si>
  <si>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</si>
  <si>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</si>
  <si>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</si>
  <si>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</si>
  <si>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</si>
  <si>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</si>
  <si>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</si>
  <si>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</si>
  <si>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</si>
  <si>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</si>
  <si>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</si>
  <si>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</si>
  <si>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</si>
  <si>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</si>
  <si>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</si>
  <si>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</si>
  <si>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</si>
  <si>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</si>
  <si>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</si>
  <si>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</si>
  <si>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</si>
  <si>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</si>
  <si>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</si>
  <si>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</si>
  <si>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</si>
  <si>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</si>
  <si>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</si>
  <si>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</si>
  <si>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</si>
  <si>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</si>
  <si>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</si>
  <si>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</si>
  <si>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</si>
  <si>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</si>
  <si>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</si>
  <si>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</si>
  <si>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</si>
  <si>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</si>
  <si>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</si>
  <si>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</si>
  <si>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</si>
  <si>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</si>
  <si>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</si>
  <si>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</si>
  <si>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</si>
  <si>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</si>
  <si>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</si>
  <si>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</si>
  <si>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</si>
  <si>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</si>
  <si>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</si>
  <si>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</si>
  <si>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</si>
  <si>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</si>
  <si>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</si>
  <si>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</si>
  <si>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</si>
  <si>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</si>
  <si>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</si>
  <si>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</si>
  <si>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</si>
  <si>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</si>
  <si>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</si>
  <si>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</si>
  <si>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</si>
  <si>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</si>
  <si>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</si>
  <si>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</si>
  <si>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</si>
  <si>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</si>
  <si>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</si>
  <si>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</si>
  <si>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</si>
  <si>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</si>
  <si>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</si>
  <si>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</si>
  <si>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</si>
  <si>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</si>
  <si>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</si>
  <si>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</si>
  <si>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</si>
  <si>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</si>
  <si>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</si>
  <si>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</si>
  <si>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</si>
  <si>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</si>
  <si>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</si>
  <si>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</si>
  <si>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</si>
  <si>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</si>
  <si>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</si>
  <si>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</si>
  <si>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</si>
  <si>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</si>
  <si>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</si>
  <si>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</si>
  <si>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</si>
  <si>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</si>
  <si>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</si>
  <si>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</si>
  <si>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</si>
  <si>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</si>
  <si>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</si>
  <si>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</si>
  <si>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</si>
  <si>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</si>
  <si>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</si>
  <si>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</si>
  <si>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</si>
  <si>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</si>
  <si>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</si>
  <si>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</si>
  <si>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</si>
  <si>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</si>
  <si>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</si>
  <si>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</si>
  <si>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</si>
  <si>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</si>
  <si>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</si>
  <si>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</si>
  <si>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</si>
  <si>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</si>
  <si>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</si>
  <si>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</si>
  <si>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</si>
  <si>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</si>
  <si>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</si>
  <si>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</si>
  <si>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</si>
  <si>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</si>
  <si>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</si>
  <si>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</si>
  <si>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</si>
  <si>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</si>
  <si>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</si>
  <si>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</si>
  <si>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</si>
  <si>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</si>
  <si>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</si>
  <si>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</si>
  <si>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</si>
  <si>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</si>
  <si>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</si>
  <si>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</si>
  <si>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</si>
  <si>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</si>
  <si>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</si>
  <si>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</si>
  <si>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</si>
  <si>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</si>
  <si>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</si>
  <si>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</si>
  <si>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</si>
  <si>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</si>
  <si>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</si>
  <si>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</si>
  <si>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</si>
  <si>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</si>
  <si>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</si>
  <si>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</si>
  <si>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</si>
  <si>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</si>
  <si>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</si>
  <si>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</si>
  <si>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</si>
  <si>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</si>
  <si>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</si>
  <si>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</si>
  <si>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</si>
  <si>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</si>
  <si>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</si>
  <si>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</si>
  <si>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</si>
  <si>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</si>
  <si>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</si>
  <si>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</si>
  <si>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</si>
  <si>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</si>
  <si>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</si>
  <si>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</si>
  <si>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</si>
  <si>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</si>
  <si>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</si>
  <si>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</si>
  <si>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</si>
  <si>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</si>
  <si>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</si>
  <si>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</si>
  <si>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</si>
  <si>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</si>
  <si>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</si>
  <si>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</si>
  <si>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</si>
  <si>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</si>
  <si>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</si>
  <si>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</si>
  <si>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</si>
  <si>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</si>
  <si>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</si>
  <si>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</si>
  <si>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</si>
  <si>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</si>
  <si>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</si>
  <si>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</si>
  <si>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</si>
  <si>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</si>
  <si>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</si>
  <si>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</si>
  <si>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</si>
  <si>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</si>
  <si>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</si>
  <si>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</si>
  <si>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</si>
  <si>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</si>
  <si>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</si>
  <si>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</si>
  <si>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</si>
  <si>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</si>
  <si>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</si>
  <si>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</si>
  <si>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</si>
  <si>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</si>
  <si>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</si>
  <si>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</si>
  <si>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</si>
  <si>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</si>
  <si>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</si>
  <si>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</si>
  <si>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</si>
  <si>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</si>
  <si>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</si>
  <si>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</si>
  <si>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</si>
  <si>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</si>
  <si>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</si>
  <si>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</si>
  <si>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</si>
  <si>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</si>
  <si>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</si>
  <si>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</si>
  <si>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</si>
  <si>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</si>
  <si>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</si>
  <si>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</si>
  <si>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</si>
  <si>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</si>
  <si>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</si>
  <si>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</si>
  <si>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</si>
  <si>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</si>
  <si>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</si>
  <si>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</si>
  <si>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</si>
  <si>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</si>
  <si>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</si>
  <si>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</si>
  <si>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</si>
  <si>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</si>
  <si>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</si>
  <si>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</si>
  <si>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</si>
  <si>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</si>
  <si>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</si>
  <si>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</si>
  <si>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</si>
  <si>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</si>
  <si>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</si>
  <si>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</si>
  <si>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</si>
  <si>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</si>
  <si>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</si>
  <si>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</si>
  <si>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</si>
  <si>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</si>
  <si>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</si>
  <si>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</si>
  <si>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</si>
  <si>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</si>
  <si>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</si>
  <si>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</si>
  <si>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</si>
  <si>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</si>
  <si>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</si>
  <si>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</si>
  <si>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</si>
  <si>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</si>
  <si>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</si>
  <si>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</si>
  <si>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</si>
  <si>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</si>
  <si>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</si>
  <si>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</si>
  <si>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</si>
  <si>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</si>
  <si>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</si>
  <si>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</si>
  <si>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</si>
  <si>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</si>
  <si>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</si>
  <si>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</si>
  <si>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</si>
  <si>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</si>
  <si>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</si>
  <si>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</si>
  <si>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</si>
  <si>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</si>
  <si>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</si>
  <si>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</si>
  <si>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</si>
  <si>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</si>
  <si>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</si>
  <si>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</si>
  <si>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</si>
  <si>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</si>
  <si>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</si>
  <si>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</si>
  <si>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</si>
  <si>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</si>
  <si>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</si>
  <si>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</si>
  <si>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</si>
  <si>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</si>
  <si>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</si>
  <si>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</si>
  <si>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</si>
  <si>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</si>
  <si>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</si>
  <si>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</si>
  <si>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</si>
  <si>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</si>
  <si>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</si>
  <si>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</si>
  <si>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</si>
  <si>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</si>
  <si>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</si>
  <si>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</si>
  <si>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</si>
  <si>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</si>
  <si>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</si>
  <si>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</si>
  <si>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</si>
  <si>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</si>
  <si>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</si>
  <si>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</si>
  <si>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</si>
  <si>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</si>
  <si>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</si>
  <si>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</si>
  <si>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</si>
  <si>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</si>
  <si>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</si>
  <si>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</si>
  <si>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</si>
  <si>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</si>
  <si>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</si>
  <si>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</si>
  <si>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</si>
  <si>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</si>
  <si>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</si>
  <si>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</si>
  <si>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</si>
  <si>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</si>
  <si>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</si>
  <si>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</si>
  <si>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</si>
  <si>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</si>
  <si>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</si>
  <si>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</si>
  <si>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</si>
  <si>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</si>
  <si>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</si>
  <si>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</si>
  <si>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</si>
  <si>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</si>
  <si>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</si>
  <si>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</si>
  <si>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</si>
  <si>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</si>
  <si>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</si>
  <si>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</si>
  <si>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</si>
  <si>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</si>
  <si>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</si>
  <si>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</si>
  <si>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</si>
  <si>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</si>
  <si>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</si>
  <si>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</si>
  <si>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</si>
  <si>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</si>
  <si>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</si>
  <si>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</si>
  <si>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</si>
  <si>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</si>
  <si>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</si>
  <si>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</si>
  <si>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</si>
  <si>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</si>
  <si>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</si>
  <si>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</si>
  <si>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</si>
  <si>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</si>
  <si>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</si>
  <si>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</si>
  <si>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</si>
  <si>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</si>
  <si>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</si>
  <si>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</si>
  <si>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</si>
  <si>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</si>
  <si>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</si>
  <si>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</si>
  <si>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</si>
  <si>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</si>
  <si>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</si>
  <si>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</si>
  <si>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</si>
  <si>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</si>
  <si>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</si>
  <si>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</si>
  <si>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</si>
  <si>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</si>
  <si>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</si>
  <si>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</si>
  <si>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</si>
  <si>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</si>
  <si>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</si>
  <si>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</si>
  <si>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</si>
  <si>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</si>
  <si>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</si>
  <si>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</si>
  <si>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</si>
  <si>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</si>
  <si>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</si>
  <si>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</si>
  <si>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</si>
  <si>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</si>
  <si>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</si>
  <si>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</si>
  <si>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</si>
  <si>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</si>
  <si>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</si>
  <si>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</si>
  <si>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</si>
  <si>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</si>
  <si>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</si>
  <si>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</si>
  <si>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</si>
  <si>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</si>
  <si>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</si>
  <si>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</si>
  <si>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</si>
  <si>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</si>
  <si>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</si>
  <si>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</si>
  <si>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</si>
  <si>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</si>
  <si>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</si>
  <si>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</si>
  <si>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</si>
  <si>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</si>
  <si>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</si>
  <si>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</si>
  <si>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</si>
  <si>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</si>
  <si>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</si>
  <si>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</si>
  <si>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</si>
  <si>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</si>
  <si>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</si>
  <si>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</si>
  <si>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</si>
  <si>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</si>
  <si>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</si>
  <si>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</si>
  <si>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</si>
  <si>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</si>
  <si>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</si>
  <si>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</si>
  <si>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</si>
  <si>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</si>
  <si>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</si>
  <si>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</si>
  <si>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</si>
  <si>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</si>
  <si>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</si>
  <si>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</si>
  <si>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</si>
  <si>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</si>
  <si>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</si>
  <si>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</si>
  <si>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</si>
  <si>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</si>
  <si>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</si>
  <si>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</si>
  <si>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</si>
  <si>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</si>
  <si>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</si>
  <si>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</si>
  <si>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</si>
  <si>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</si>
  <si>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</si>
  <si>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</si>
  <si>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</si>
  <si>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</si>
  <si>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</si>
  <si>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</si>
  <si>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</si>
  <si>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</si>
  <si>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</si>
  <si>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</si>
  <si>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</si>
  <si>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</si>
  <si>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</si>
  <si>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</si>
  <si>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</si>
  <si>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</si>
  <si>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</si>
  <si>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</si>
  <si>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</si>
  <si>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</si>
  <si>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</si>
  <si>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</si>
  <si>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</si>
  <si>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</si>
  <si>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</si>
  <si>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</si>
  <si>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</si>
  <si>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</si>
  <si>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</si>
  <si>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</si>
  <si>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</si>
  <si>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</si>
  <si>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</si>
  <si>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</si>
  <si>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</si>
  <si>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</si>
  <si>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</si>
  <si>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</si>
  <si>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</si>
  <si>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</si>
  <si>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</si>
  <si>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</si>
  <si>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</si>
  <si>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</si>
  <si>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</si>
  <si>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</si>
  <si>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</si>
  <si>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</si>
  <si>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</si>
  <si>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</si>
  <si>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</si>
  <si>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</si>
  <si>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</si>
  <si>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</si>
  <si>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</si>
  <si>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</si>
  <si>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</si>
  <si>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</si>
  <si>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</si>
  <si>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</si>
  <si>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</si>
  <si>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</si>
  <si>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</si>
  <si>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</si>
  <si>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</si>
  <si>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</si>
  <si>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</si>
  <si>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</si>
  <si>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</si>
  <si>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</si>
  <si>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</si>
  <si>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</si>
  <si>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</si>
  <si>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</si>
  <si>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</si>
  <si>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</si>
  <si>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</si>
  <si>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</si>
  <si>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</si>
  <si>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</si>
  <si>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</si>
  <si>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</si>
  <si>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</si>
  <si>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</si>
  <si>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</si>
  <si>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</si>
  <si>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</si>
  <si>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</si>
  <si>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</si>
  <si>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</si>
  <si>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</si>
  <si>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</si>
  <si>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</si>
  <si>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</si>
  <si>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</si>
  <si>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</si>
  <si>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</si>
  <si>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</si>
  <si>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</si>
  <si>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</si>
  <si>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</si>
  <si>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</si>
  <si>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</si>
  <si>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</si>
  <si>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</si>
  <si>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</si>
  <si>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</si>
  <si>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</si>
  <si>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</si>
  <si>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</si>
  <si>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</si>
  <si>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</si>
  <si>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</si>
  <si>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</si>
  <si>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</si>
  <si>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</si>
  <si>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</si>
  <si>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</si>
  <si>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</si>
  <si>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</si>
  <si>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</si>
  <si>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</si>
  <si>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</si>
  <si>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</si>
  <si>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</si>
  <si>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</si>
  <si>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</si>
  <si>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</si>
  <si>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</si>
  <si>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</si>
  <si>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</si>
  <si>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</si>
  <si>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</si>
  <si>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</si>
  <si>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</si>
  <si>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</si>
  <si>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</si>
  <si>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</si>
  <si>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</si>
  <si>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</si>
  <si>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</si>
  <si>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</si>
  <si>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</si>
  <si>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</si>
  <si>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</si>
  <si>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</si>
  <si>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</si>
  <si>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</si>
  <si>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</si>
  <si>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</si>
  <si>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</si>
  <si>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</si>
  <si>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</si>
  <si>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</si>
  <si>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</si>
  <si>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</si>
  <si>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</si>
  <si>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</si>
  <si>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</si>
  <si>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</si>
  <si>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</si>
  <si>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</si>
  <si>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</si>
  <si>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</si>
  <si>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</si>
  <si>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</si>
  <si>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</si>
  <si>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</si>
  <si>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</si>
  <si>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</si>
  <si>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</si>
  <si>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</si>
  <si>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</si>
  <si>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</si>
  <si>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</si>
  <si>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</si>
  <si>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</si>
  <si>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</si>
  <si>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</si>
  <si>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</si>
  <si>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</si>
  <si>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</si>
  <si>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</si>
  <si>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</si>
  <si>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</si>
  <si>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</si>
  <si>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</si>
  <si>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</si>
  <si>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</si>
  <si>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</si>
  <si>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</si>
  <si>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</si>
  <si>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</si>
  <si>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</si>
  <si>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</si>
  <si>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</si>
  <si>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</si>
  <si>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</si>
  <si>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</si>
  <si>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</si>
  <si>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</si>
  <si>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</si>
  <si>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</si>
  <si>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</si>
  <si>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</si>
  <si>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</si>
  <si>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</si>
  <si>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</si>
  <si>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</si>
  <si>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</si>
  <si>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</si>
  <si>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</si>
  <si>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</si>
  <si>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</si>
  <si>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</si>
  <si>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</si>
  <si>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</si>
  <si>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</si>
  <si>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</si>
  <si>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</si>
  <si>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</si>
  <si>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</si>
  <si>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</si>
  <si>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</si>
  <si>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</si>
  <si>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</si>
  <si>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</si>
  <si>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</si>
  <si>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</si>
  <si>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</si>
  <si>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</si>
  <si>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</si>
  <si>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</si>
  <si>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</si>
  <si>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</si>
  <si>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</si>
  <si>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</si>
  <si>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</si>
  <si>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</si>
  <si>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</si>
  <si>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</si>
  <si>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</si>
  <si>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</si>
  <si>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</si>
  <si>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</si>
  <si>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</si>
  <si>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</si>
  <si>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</si>
  <si>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</si>
  <si>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</si>
  <si>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</si>
  <si>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</si>
  <si>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</si>
  <si>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</si>
  <si>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</si>
  <si>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</si>
  <si>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</si>
  <si>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</si>
  <si>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</si>
  <si>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</si>
  <si>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</si>
  <si>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</si>
  <si>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</si>
  <si>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</si>
  <si>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</si>
  <si>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</si>
  <si>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</si>
  <si>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</si>
  <si>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</si>
  <si>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</si>
  <si>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</si>
  <si>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</si>
  <si>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</si>
  <si>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</si>
  <si>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</si>
  <si>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</si>
  <si>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</si>
  <si>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</si>
  <si>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</si>
  <si>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</si>
  <si>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</si>
  <si>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</si>
  <si>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</si>
  <si>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</si>
  <si>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</si>
  <si>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</si>
  <si>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</si>
  <si>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</si>
  <si>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</si>
  <si>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</si>
  <si>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</si>
  <si>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</si>
  <si>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</si>
  <si>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</si>
  <si>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</si>
  <si>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</si>
  <si>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</si>
  <si>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</si>
  <si>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</si>
  <si>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</si>
  <si>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</si>
  <si>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</si>
  <si>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</si>
  <si>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</si>
  <si>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</si>
  <si>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</si>
  <si>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</si>
  <si>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</si>
  <si>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</si>
  <si>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</si>
  <si>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</si>
  <si>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</si>
  <si>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</si>
  <si>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</si>
  <si>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</si>
  <si>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</si>
  <si>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</si>
  <si>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</si>
  <si>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</si>
  <si>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</si>
  <si>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</si>
  <si>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</si>
  <si>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</si>
  <si>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</si>
  <si>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</si>
  <si>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</si>
  <si>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</si>
  <si>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</si>
  <si>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</si>
  <si>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</si>
  <si>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</si>
  <si>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</si>
  <si>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</si>
  <si>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</si>
  <si>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</si>
  <si>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</si>
  <si>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</si>
  <si>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</si>
  <si>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</si>
  <si>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</si>
  <si>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</si>
  <si>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</si>
  <si>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</si>
  <si>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</si>
  <si>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</si>
  <si>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</si>
  <si>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</si>
  <si>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</si>
  <si>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</si>
  <si>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</si>
  <si>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</si>
  <si>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</si>
  <si>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</si>
  <si>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</si>
  <si>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</si>
  <si>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</si>
  <si>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</si>
  <si>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</si>
  <si>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</si>
  <si>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</si>
  <si>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</si>
  <si>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</si>
  <si>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</si>
  <si>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</si>
  <si>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</si>
  <si>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</si>
  <si>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</si>
  <si>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</si>
  <si>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</si>
  <si>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</si>
  <si>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</si>
  <si>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</si>
  <si>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</si>
  <si>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</si>
  <si>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</si>
  <si>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</si>
  <si>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</si>
  <si>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</si>
  <si>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</si>
  <si>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</si>
  <si>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</si>
  <si>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</si>
  <si>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</si>
  <si>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</si>
  <si>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</si>
  <si>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</si>
  <si>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</si>
  <si>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</si>
  <si>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</si>
  <si>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</si>
  <si>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</si>
  <si>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</si>
  <si>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</si>
  <si>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</si>
  <si>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</si>
  <si>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</si>
  <si>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</si>
  <si>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</si>
  <si>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</si>
  <si>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</si>
  <si>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</si>
  <si>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</si>
  <si>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</si>
  <si>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</si>
  <si>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</si>
  <si>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</si>
  <si>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</si>
  <si>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</si>
  <si>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</si>
  <si>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</si>
  <si>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</si>
  <si>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</si>
  <si>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</si>
  <si>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</si>
  <si>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</si>
  <si>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</si>
  <si>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</si>
  <si>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</si>
  <si>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</si>
  <si>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</si>
  <si>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</si>
  <si>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</si>
  <si>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</si>
  <si>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</si>
  <si>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</si>
  <si>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</si>
  <si>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</si>
  <si>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</si>
  <si>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</si>
  <si>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</si>
  <si>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</si>
  <si>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</si>
  <si>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</si>
  <si>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</si>
  <si>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</si>
  <si>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</si>
  <si>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</si>
  <si>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</si>
  <si>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</si>
  <si>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</si>
  <si>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</si>
  <si>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</si>
  <si>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</si>
  <si>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</si>
  <si>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</si>
  <si>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</si>
  <si>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</si>
  <si>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</si>
  <si>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</si>
  <si>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</si>
  <si>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</si>
  <si>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</si>
  <si>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</si>
  <si>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</si>
  <si>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</si>
  <si>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</si>
  <si>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</si>
  <si>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</si>
  <si>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</si>
  <si>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</si>
  <si>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</si>
  <si>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</si>
  <si>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</si>
  <si>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</si>
  <si>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</si>
  <si>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</si>
  <si>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</si>
  <si>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</si>
  <si>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</si>
  <si>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</si>
  <si>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</si>
  <si>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</si>
  <si>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</si>
  <si>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</si>
  <si>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</si>
  <si>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</si>
  <si>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</si>
  <si>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</si>
  <si>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</si>
  <si>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</si>
  <si>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</si>
  <si>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</si>
  <si>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</si>
  <si>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</si>
  <si>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</si>
  <si>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</si>
  <si>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</si>
  <si>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</si>
  <si>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</si>
  <si>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</si>
  <si>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</si>
  <si>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</si>
  <si>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</si>
  <si>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</si>
  <si>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</si>
  <si>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</si>
  <si>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</si>
  <si>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</si>
  <si>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</si>
  <si>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</si>
  <si>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</si>
  <si>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</si>
  <si>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</si>
  <si>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</si>
  <si>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</si>
  <si>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</si>
  <si>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</si>
  <si>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</si>
  <si>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</si>
  <si>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</si>
  <si>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</si>
  <si>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</si>
  <si>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</si>
  <si>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</si>
  <si>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</si>
  <si>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</si>
  <si>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</si>
  <si>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</si>
  <si>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</si>
  <si>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</si>
  <si>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</si>
  <si>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</si>
  <si>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</si>
  <si>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</si>
  <si>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</si>
  <si>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</si>
  <si>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</si>
  <si>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</si>
  <si>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</si>
  <si>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</si>
  <si>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</si>
  <si>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</si>
  <si>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</si>
  <si>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</si>
  <si>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</si>
  <si>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</si>
  <si>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</si>
  <si>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</si>
  <si>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</si>
  <si>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</si>
  <si>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</si>
  <si>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</si>
  <si>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</si>
  <si>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</si>
  <si>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</si>
  <si>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</si>
  <si>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</si>
  <si>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</si>
  <si>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</si>
  <si>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</si>
  <si>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</si>
  <si>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</si>
  <si>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</si>
  <si>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</si>
  <si>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</si>
  <si>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</si>
  <si>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</si>
  <si>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</si>
  <si>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</si>
  <si>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</si>
  <si>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</si>
  <si>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</si>
  <si>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</si>
  <si>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</si>
  <si>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</si>
  <si>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</si>
  <si>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</si>
  <si>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</si>
  <si>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</si>
  <si>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</si>
  <si>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</si>
  <si>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</si>
  <si>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</si>
  <si>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</si>
  <si>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</si>
  <si>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</si>
  <si>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</si>
  <si>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</si>
  <si>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</si>
  <si>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</si>
  <si>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</si>
  <si>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</si>
  <si>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</si>
  <si>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</si>
  <si>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</si>
  <si>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</si>
  <si>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</si>
  <si>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</si>
  <si>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</si>
  <si>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</si>
  <si>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</si>
  <si>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</si>
  <si>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</si>
  <si>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</si>
  <si>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</si>
  <si>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</si>
  <si>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</si>
  <si>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</si>
  <si>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</si>
  <si>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</si>
  <si>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</si>
  <si>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</si>
  <si>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</si>
  <si>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</si>
  <si>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</si>
  <si>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</si>
  <si>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</si>
  <si>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</si>
  <si>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</si>
  <si>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</si>
  <si>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</si>
  <si>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</si>
  <si>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</si>
  <si>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</si>
  <si>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</si>
  <si>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</si>
  <si>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</si>
  <si>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</si>
  <si>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</si>
  <si>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</si>
  <si>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</si>
  <si>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</si>
  <si>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</si>
  <si>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</si>
  <si>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</si>
  <si>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</si>
  <si>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</si>
  <si>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</si>
  <si>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</si>
  <si>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</si>
  <si>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</si>
  <si>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</si>
  <si>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</si>
  <si>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</si>
  <si>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</si>
  <si>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</si>
  <si>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</si>
  <si>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</si>
  <si>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</si>
  <si>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</si>
  <si>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</si>
  <si>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</si>
  <si>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</si>
  <si>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</si>
  <si>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</si>
  <si>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</si>
  <si>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</si>
  <si>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</si>
  <si>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</si>
  <si>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</si>
  <si>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</si>
  <si>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</si>
  <si>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</si>
  <si>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</si>
  <si>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</si>
  <si>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</si>
  <si>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</si>
  <si>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</si>
  <si>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</si>
  <si>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</si>
  <si>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</si>
  <si>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</si>
  <si>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</si>
  <si>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</si>
  <si>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</si>
  <si>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</si>
  <si>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</si>
  <si>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</si>
  <si>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</si>
  <si>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</si>
  <si>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</si>
  <si>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</si>
  <si>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</si>
  <si>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</si>
  <si>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</si>
  <si>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</si>
  <si>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</si>
  <si>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</si>
  <si>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</si>
  <si>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</si>
  <si>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</si>
  <si>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</si>
  <si>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</si>
  <si>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</si>
  <si>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</si>
  <si>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</si>
  <si>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</si>
  <si>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</si>
  <si>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</si>
  <si>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</si>
  <si>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</si>
  <si>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</si>
  <si>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</si>
  <si>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</si>
  <si>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</si>
  <si>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</si>
  <si>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</si>
  <si>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</si>
  <si>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</si>
  <si>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</si>
  <si>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</si>
  <si>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</si>
  <si>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</si>
  <si>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</si>
  <si>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</si>
  <si>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</si>
  <si>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</si>
  <si>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</si>
  <si>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</si>
  <si>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</si>
  <si>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</si>
  <si>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</si>
  <si>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</si>
  <si>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</si>
  <si>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</si>
  <si>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</si>
  <si>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</si>
  <si>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</si>
  <si>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</si>
  <si>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</si>
  <si>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</si>
  <si>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</si>
  <si>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</si>
  <si>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</si>
  <si>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</si>
  <si>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</si>
  <si>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</si>
  <si>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</si>
  <si>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</si>
  <si>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</si>
  <si>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</si>
  <si>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</si>
  <si>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</si>
  <si>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</si>
  <si>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</si>
  <si>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</si>
  <si>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</si>
  <si>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</si>
  <si>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</si>
  <si>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</si>
  <si>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</si>
  <si>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</si>
  <si>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</si>
  <si>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</si>
  <si>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</si>
  <si>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</si>
  <si>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</si>
  <si>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</si>
  <si>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</si>
  <si>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</si>
  <si>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</si>
  <si>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</si>
  <si>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</si>
  <si>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</si>
  <si>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</si>
  <si>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</si>
  <si>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</si>
  <si>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</si>
  <si>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</si>
  <si>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</si>
  <si>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</si>
  <si>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</si>
  <si>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</si>
  <si>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</si>
  <si>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</si>
  <si>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</si>
  <si>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</si>
  <si>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</si>
  <si>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</si>
  <si>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</si>
  <si>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</si>
  <si>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</si>
  <si>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</si>
  <si>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</si>
  <si>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</si>
  <si>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</si>
  <si>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</si>
  <si>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</si>
  <si>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</si>
  <si>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</si>
  <si>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</si>
  <si>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</si>
  <si>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</si>
  <si>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</si>
  <si>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</si>
  <si>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</si>
  <si>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</si>
  <si>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</si>
  <si>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</si>
  <si>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</si>
  <si>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</si>
  <si>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</si>
  <si>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</si>
  <si>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</si>
  <si>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</si>
  <si>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</si>
  <si>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</si>
  <si>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</si>
  <si>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</si>
  <si>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</si>
  <si>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</si>
  <si>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</si>
  <si>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</si>
  <si>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</si>
  <si>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</si>
  <si>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</si>
  <si>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</si>
  <si>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</si>
  <si>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</si>
  <si>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</si>
  <si>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</si>
  <si>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</si>
  <si>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</si>
  <si>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</si>
  <si>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</si>
  <si>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</si>
  <si>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</si>
  <si>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</si>
  <si>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</si>
  <si>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</si>
  <si>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</si>
  <si>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</si>
  <si>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</si>
  <si>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</si>
  <si>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</si>
  <si>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</si>
  <si>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</si>
  <si>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</si>
  <si>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</si>
  <si>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</si>
  <si>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</si>
  <si>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</si>
  <si>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</si>
  <si>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</si>
  <si>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</si>
  <si>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</si>
  <si>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</si>
  <si>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</si>
  <si>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</si>
  <si>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</si>
  <si>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</si>
  <si>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</si>
  <si>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</si>
  <si>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</si>
  <si>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</si>
  <si>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</si>
  <si>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</si>
  <si>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</si>
  <si>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</si>
  <si>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</si>
  <si>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</si>
  <si>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</si>
  <si>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</si>
  <si>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</si>
  <si>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</si>
  <si>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</si>
  <si>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</si>
  <si>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</si>
  <si>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</si>
  <si>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</si>
  <si>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</si>
  <si>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</si>
  <si>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</si>
  <si>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</si>
  <si>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</si>
  <si>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</si>
  <si>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</si>
  <si>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</si>
  <si>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</si>
  <si>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</si>
  <si>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</si>
  <si>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</si>
  <si>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</si>
  <si>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</si>
  <si>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</si>
  <si>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</si>
  <si>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</si>
  <si>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</si>
  <si>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</si>
  <si>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</si>
  <si>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</si>
  <si>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</si>
  <si>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</si>
  <si>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</si>
  <si>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</si>
  <si>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</si>
  <si>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</si>
  <si>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</si>
  <si>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</si>
  <si>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</si>
  <si>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</si>
  <si>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</si>
  <si>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</si>
  <si>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</si>
  <si>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</si>
  <si>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</si>
  <si>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</si>
  <si>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</si>
  <si>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</si>
  <si>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</si>
  <si>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</si>
  <si>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</si>
  <si>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</si>
  <si>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</si>
  <si>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</si>
  <si>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</si>
  <si>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</si>
  <si>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</si>
  <si>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</si>
  <si>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</si>
  <si>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</si>
  <si>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</si>
  <si>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</si>
  <si>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</si>
  <si>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</si>
  <si>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</si>
  <si>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</si>
  <si>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</si>
  <si>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</si>
  <si>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</si>
  <si>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</si>
  <si>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</si>
  <si>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</si>
  <si>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</si>
  <si>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</si>
  <si>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</si>
  <si>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</si>
  <si>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</si>
  <si>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</si>
  <si>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</si>
  <si>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</si>
  <si>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</si>
  <si>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</si>
  <si>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</si>
  <si>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</si>
  <si>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</si>
  <si>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</si>
  <si>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</si>
  <si>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</si>
  <si>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</si>
  <si>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</si>
  <si>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</si>
  <si>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</si>
  <si>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</si>
  <si>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</si>
  <si>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</si>
  <si>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</si>
  <si>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</si>
  <si>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</si>
  <si>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</si>
  <si>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</si>
  <si>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</si>
  <si>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</si>
  <si>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</si>
  <si>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</si>
  <si>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</si>
  <si>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</si>
  <si>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</si>
  <si>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</si>
  <si>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</si>
  <si>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</si>
  <si>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</si>
  <si>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</si>
  <si>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</si>
  <si>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</si>
  <si>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</si>
  <si>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</si>
  <si>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</si>
  <si>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</si>
  <si>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</si>
  <si>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</si>
  <si>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</si>
  <si>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</si>
  <si>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</si>
  <si>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</si>
  <si>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</si>
  <si>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</si>
  <si>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</si>
  <si>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</si>
  <si>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</si>
  <si>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</si>
  <si>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</si>
  <si>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</si>
  <si>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</si>
  <si>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</si>
  <si>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</si>
  <si>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</si>
  <si>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</si>
  <si>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</si>
  <si>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</si>
  <si>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</si>
  <si>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</si>
  <si>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</si>
  <si>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</si>
  <si>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</si>
  <si>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</si>
  <si>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</si>
  <si>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</si>
  <si>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</si>
  <si>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</si>
  <si>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</si>
  <si>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</si>
  <si>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</si>
  <si>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</si>
  <si>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</si>
  <si>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</si>
  <si>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</si>
  <si>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</si>
  <si>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</si>
  <si>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</si>
  <si>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</si>
  <si>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</si>
  <si>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</si>
  <si>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</si>
  <si>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</si>
  <si>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</si>
  <si>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</si>
  <si>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</si>
  <si>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</si>
  <si>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</si>
  <si>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</si>
  <si>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</si>
  <si>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</si>
  <si>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</si>
  <si>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</si>
  <si>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</si>
  <si>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</si>
  <si>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</si>
  <si>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</si>
  <si>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</si>
  <si>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</si>
  <si>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</si>
  <si>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</si>
  <si>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</si>
  <si>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</si>
  <si>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</si>
  <si>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</si>
  <si>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</si>
  <si>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</si>
  <si>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</si>
  <si>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</si>
  <si>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</si>
  <si>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</si>
  <si>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</si>
  <si>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</si>
  <si>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</si>
  <si>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</si>
  <si>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</si>
  <si>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</si>
  <si>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</si>
  <si>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</si>
  <si>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</si>
  <si>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</si>
  <si>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</si>
  <si>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</si>
  <si>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</si>
  <si>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</si>
  <si>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</si>
  <si>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</si>
  <si>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</si>
  <si>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</si>
  <si>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</si>
  <si>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</si>
  <si>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</si>
  <si>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</si>
  <si>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</si>
  <si>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</si>
  <si>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</si>
  <si>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</si>
  <si>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</si>
  <si>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</si>
  <si>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</si>
  <si>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</si>
  <si>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</si>
  <si>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</si>
  <si>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</si>
  <si>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</si>
  <si>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</si>
  <si>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</si>
  <si>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</si>
  <si>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</si>
  <si>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</si>
  <si>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</si>
  <si>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</si>
  <si>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</si>
  <si>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</si>
  <si>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</si>
  <si>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</si>
  <si>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</si>
  <si>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</si>
  <si>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</si>
  <si>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</si>
  <si>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</si>
  <si>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</si>
  <si>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</si>
  <si>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</si>
  <si>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</si>
  <si>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</si>
  <si>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</si>
  <si>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</si>
  <si>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</si>
  <si>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</si>
  <si>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</si>
  <si>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</si>
  <si>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</si>
  <si>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</si>
  <si>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</si>
  <si>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</si>
  <si>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</si>
  <si>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</si>
  <si>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</si>
  <si>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</si>
  <si>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</si>
  <si>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</si>
  <si>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</si>
  <si>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</si>
  <si>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</si>
  <si>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</si>
  <si>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</si>
  <si>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</si>
  <si>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</si>
  <si>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</si>
  <si>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</si>
  <si>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</si>
  <si>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</si>
  <si>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</si>
  <si>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</si>
  <si>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</si>
  <si>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</si>
  <si>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</si>
  <si>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</si>
  <si>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</si>
  <si>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</si>
  <si>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</si>
  <si>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</si>
  <si>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</si>
  <si>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</si>
  <si>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</si>
  <si>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</si>
  <si>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</si>
  <si>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</si>
  <si>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</si>
  <si>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</si>
  <si>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</si>
  <si>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</si>
  <si>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</si>
  <si>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</si>
  <si>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</si>
  <si>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</si>
  <si>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</si>
  <si>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</si>
  <si>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</si>
  <si>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</si>
  <si>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</si>
  <si>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</si>
  <si>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</si>
  <si>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</si>
  <si>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</si>
  <si>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</si>
  <si>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</si>
  <si>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</si>
  <si>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</si>
  <si>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</si>
  <si>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</si>
  <si>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</si>
  <si>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</si>
  <si>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</si>
  <si>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</si>
  <si>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</si>
  <si>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</si>
  <si>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</si>
  <si>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</si>
  <si>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</si>
  <si>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</si>
  <si>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</si>
  <si>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</si>
  <si>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</si>
  <si>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</si>
  <si>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</si>
  <si>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</si>
  <si>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</si>
  <si>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</si>
  <si>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</si>
  <si>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</si>
  <si>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</si>
  <si>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</si>
  <si>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</si>
  <si>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</si>
  <si>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</si>
  <si>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</si>
  <si>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</si>
  <si>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</si>
  <si>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</si>
  <si>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</si>
  <si>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</si>
  <si>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</si>
  <si>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</si>
  <si>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</si>
  <si>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</si>
  <si>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</si>
  <si>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</si>
  <si>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</si>
  <si>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</si>
  <si>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</si>
  <si>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</si>
  <si>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</si>
  <si>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</si>
  <si>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</si>
  <si>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</si>
  <si>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</si>
  <si>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</si>
  <si>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</si>
  <si>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</si>
  <si>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</si>
  <si>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</si>
  <si>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</si>
  <si>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</si>
  <si>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</si>
  <si>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</si>
  <si>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</si>
  <si>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</si>
  <si>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</si>
  <si>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</si>
  <si>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</si>
  <si>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</si>
  <si>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</si>
  <si>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</si>
  <si>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</si>
  <si>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</si>
  <si>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</si>
  <si>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</si>
  <si>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</si>
  <si>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</si>
  <si>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</si>
  <si>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</si>
  <si>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</si>
  <si>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</si>
  <si>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</si>
  <si>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</si>
  <si>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</si>
  <si>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</si>
  <si>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</si>
  <si>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</si>
  <si>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</si>
  <si>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</si>
  <si>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</si>
  <si>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</si>
  <si>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</si>
  <si>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</si>
  <si>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</si>
  <si>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</si>
  <si>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</si>
  <si>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</si>
  <si>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</si>
  <si>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</si>
  <si>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</si>
  <si>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</si>
  <si>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</si>
  <si>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</si>
  <si>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</si>
  <si>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</si>
  <si>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</si>
  <si>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</si>
  <si>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</si>
  <si>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</si>
  <si>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</si>
  <si>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</si>
  <si>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</si>
  <si>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</si>
  <si>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</si>
  <si>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</si>
  <si>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</si>
  <si>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</si>
  <si>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</si>
  <si>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</si>
  <si>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</si>
  <si>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</si>
  <si>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</si>
  <si>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</si>
  <si>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</si>
  <si>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</si>
  <si>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</si>
  <si>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</si>
  <si>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</si>
  <si>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</si>
  <si>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</si>
  <si>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</si>
  <si>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</si>
  <si>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</si>
  <si>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</si>
  <si>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</si>
  <si>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</si>
  <si>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</si>
  <si>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</si>
  <si>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</si>
  <si>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</si>
  <si>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</si>
  <si>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</si>
  <si>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</si>
  <si>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</si>
  <si>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</si>
  <si>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</si>
  <si>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</si>
  <si>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</si>
  <si>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</si>
  <si>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</si>
  <si>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</si>
  <si>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</si>
  <si>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</si>
  <si>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</si>
  <si>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</si>
  <si>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</si>
  <si>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</si>
  <si>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</si>
  <si>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</si>
  <si>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</si>
  <si>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</si>
  <si>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</si>
  <si>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</si>
  <si>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</si>
  <si>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</si>
  <si>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</si>
  <si>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</si>
  <si>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</si>
  <si>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</si>
  <si>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</si>
  <si>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</si>
  <si>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</si>
  <si>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</si>
  <si>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</si>
  <si>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</si>
  <si>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</si>
  <si>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</si>
  <si>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</si>
  <si>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</si>
  <si>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</si>
  <si>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</si>
  <si>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</si>
  <si>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</si>
  <si>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</si>
  <si>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</si>
  <si>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</si>
  <si>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</si>
  <si>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</si>
  <si>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</si>
  <si>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</si>
  <si>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</si>
  <si>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</si>
  <si>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</si>
  <si>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</si>
  <si>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</si>
  <si>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</si>
  <si>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</si>
  <si>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</si>
  <si>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</si>
  <si>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</si>
  <si>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</si>
  <si>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</si>
  <si>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</si>
  <si>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</si>
  <si>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</si>
  <si>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</si>
  <si>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</si>
  <si>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</si>
  <si>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</si>
  <si>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</si>
  <si>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</si>
  <si>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</si>
  <si>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</si>
  <si>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</si>
  <si>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</si>
  <si>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</si>
  <si>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</si>
  <si>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</si>
  <si>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</si>
  <si>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</si>
  <si>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</si>
  <si>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</si>
  <si>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</si>
  <si>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</si>
  <si>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</si>
  <si>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</si>
  <si>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</si>
  <si>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</si>
  <si>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</si>
  <si>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</si>
  <si>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</si>
  <si>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</si>
  <si>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</si>
  <si>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</si>
  <si>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</si>
  <si>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</si>
  <si>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</si>
  <si>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</si>
  <si>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</si>
  <si>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</si>
  <si>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</si>
  <si>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</si>
  <si>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</si>
  <si>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</si>
  <si>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</si>
  <si>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</si>
  <si>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</si>
  <si>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</si>
  <si>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</si>
  <si>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</si>
  <si>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</si>
  <si>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</si>
  <si>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</si>
  <si>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</si>
  <si>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</si>
  <si>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</si>
  <si>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</si>
  <si>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</si>
  <si>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</si>
  <si>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</si>
  <si>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</si>
  <si>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</si>
  <si>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</si>
  <si>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</si>
  <si>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</si>
  <si>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</si>
  <si>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</si>
  <si>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</si>
  <si>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</si>
  <si>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</si>
  <si>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</si>
  <si>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</si>
  <si>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</si>
  <si>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</si>
  <si>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</si>
  <si>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</si>
  <si>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</si>
  <si>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</si>
  <si>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</si>
  <si>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</si>
  <si>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</si>
  <si>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</si>
  <si>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</si>
  <si>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</si>
  <si>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</si>
  <si>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</si>
  <si>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</si>
  <si>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</si>
  <si>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</si>
  <si>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</si>
  <si>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</si>
  <si>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</si>
  <si>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</si>
  <si>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</si>
  <si>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</si>
  <si>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</si>
  <si>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</si>
  <si>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</si>
  <si>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</si>
  <si>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</si>
  <si>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</si>
  <si>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</si>
  <si>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</si>
  <si>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</si>
  <si>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</si>
  <si>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</si>
  <si>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</si>
  <si>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</si>
  <si>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</si>
  <si>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</si>
  <si>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</si>
  <si>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</si>
  <si>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</si>
  <si>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</si>
  <si>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</si>
  <si>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</si>
  <si>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</si>
  <si>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</si>
  <si>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</si>
  <si>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</si>
  <si>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</si>
  <si>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</si>
  <si>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</si>
  <si>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</si>
  <si>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</si>
  <si>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</si>
  <si>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</si>
  <si>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</si>
  <si>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</si>
  <si>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</si>
  <si>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</si>
  <si>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</si>
  <si>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</si>
  <si>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</si>
  <si>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</si>
  <si>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</si>
  <si>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</si>
  <si>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</si>
  <si>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</si>
  <si>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</si>
  <si>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</si>
  <si>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</si>
  <si>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</si>
  <si>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</si>
  <si>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</si>
  <si>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</si>
  <si>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</si>
  <si>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</si>
  <si>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</si>
  <si>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</si>
  <si>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</si>
  <si>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</si>
  <si>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</si>
  <si>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</si>
  <si>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</si>
  <si>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</si>
  <si>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</si>
  <si>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</si>
  <si>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</si>
  <si>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</si>
  <si>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</si>
  <si>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</si>
  <si>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</si>
  <si>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</si>
  <si>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</si>
  <si>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</si>
  <si>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</si>
  <si>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</si>
  <si>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</si>
  <si>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</si>
  <si>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</si>
  <si>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</si>
  <si>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</si>
  <si>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</si>
  <si>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</si>
  <si>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</si>
  <si>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</si>
  <si>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</si>
  <si>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</si>
  <si>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</si>
  <si>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</si>
  <si>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</si>
  <si>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</si>
  <si>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</si>
  <si>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</si>
  <si>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</si>
  <si>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</si>
  <si>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</si>
  <si>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</si>
  <si>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</si>
  <si>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</si>
  <si>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</si>
  <si>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</si>
  <si>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</si>
  <si>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</si>
  <si>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</si>
  <si>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</si>
  <si>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</si>
  <si>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</si>
  <si>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</si>
  <si>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</si>
  <si>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</si>
  <si>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</si>
  <si>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</si>
  <si>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</si>
  <si>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</si>
  <si>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</si>
  <si>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</si>
  <si>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</si>
  <si>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</si>
  <si>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</si>
  <si>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</si>
  <si>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</si>
  <si>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</si>
  <si>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</si>
  <si>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</si>
  <si>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</si>
  <si>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</si>
  <si>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</si>
  <si>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</si>
  <si>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</si>
  <si>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</si>
  <si>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</si>
  <si>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</si>
  <si>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</si>
  <si>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</si>
  <si>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</si>
  <si>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</si>
  <si>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</si>
  <si>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</si>
  <si>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</si>
  <si>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</si>
  <si>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</si>
  <si>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</si>
  <si>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</si>
  <si>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</si>
  <si>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</si>
  <si>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</si>
  <si>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</si>
  <si>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</si>
  <si>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</si>
  <si>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</si>
  <si>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</si>
  <si>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</si>
  <si>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</si>
  <si>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</si>
  <si>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</si>
  <si>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</si>
  <si>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</si>
  <si>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</si>
  <si>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</si>
  <si>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</si>
  <si>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</si>
  <si>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</si>
  <si>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</si>
  <si>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</si>
  <si>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</si>
  <si>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</si>
  <si>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</si>
  <si>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</si>
  <si>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</si>
  <si>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</si>
  <si>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</si>
  <si>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</si>
  <si>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</si>
  <si>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</si>
  <si>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</si>
  <si>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</si>
  <si>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</si>
  <si>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</si>
  <si>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</si>
  <si>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</si>
  <si>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</si>
  <si>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</si>
  <si>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</si>
  <si>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</si>
  <si>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</si>
  <si>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</si>
  <si>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</si>
  <si>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</si>
  <si>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</si>
  <si>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</si>
  <si>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</si>
  <si>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</si>
  <si>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</si>
  <si>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</si>
  <si>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</si>
  <si>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</si>
  <si>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</si>
  <si>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</si>
  <si>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</si>
  <si>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</si>
  <si>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</si>
  <si>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</si>
  <si>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</si>
  <si>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</si>
  <si>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</si>
  <si>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</si>
  <si>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</si>
  <si>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</si>
  <si>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</si>
  <si>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</si>
  <si>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</si>
  <si>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</si>
  <si>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</si>
  <si>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</si>
  <si>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</si>
  <si>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</si>
  <si>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</si>
  <si>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</si>
  <si>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</si>
  <si>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</si>
  <si>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</si>
  <si>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</si>
  <si>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</si>
  <si>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</si>
  <si>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</si>
  <si>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</si>
  <si>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</si>
  <si>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</si>
  <si>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</si>
  <si>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</si>
  <si>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</si>
  <si>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</si>
  <si>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</si>
  <si>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</si>
  <si>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</si>
  <si>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</si>
  <si>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</si>
  <si>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</si>
  <si>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</si>
  <si>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</si>
  <si>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</si>
  <si>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</si>
  <si>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</si>
  <si>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</si>
  <si>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</si>
  <si>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</si>
  <si>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</si>
  <si>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</si>
  <si>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</si>
  <si>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</si>
  <si>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</si>
  <si>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</si>
  <si>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</si>
  <si>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</si>
  <si>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</si>
  <si>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</si>
  <si>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</si>
  <si>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</si>
  <si>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</si>
  <si>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</si>
  <si>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</si>
  <si>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</si>
  <si>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</si>
  <si>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</si>
  <si>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</si>
  <si>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</si>
  <si>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</si>
  <si>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</si>
  <si>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</si>
  <si>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</si>
  <si>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</si>
  <si>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</si>
  <si>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</si>
  <si>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</si>
  <si>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</si>
  <si>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</si>
  <si>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</si>
  <si>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</si>
  <si>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</si>
  <si>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</si>
  <si>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</si>
  <si>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</si>
  <si>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</si>
  <si>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</si>
  <si>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</si>
  <si>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</si>
  <si>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</si>
  <si>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</si>
  <si>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</si>
  <si>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</si>
  <si>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</si>
  <si>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</si>
  <si>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</si>
  <si>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</si>
  <si>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</si>
  <si>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</si>
  <si>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</si>
  <si>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</si>
  <si>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</si>
  <si>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</si>
  <si>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</si>
  <si>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</si>
  <si>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</si>
  <si>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</si>
  <si>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</si>
  <si>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</si>
  <si>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</si>
  <si>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</si>
  <si>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</si>
  <si>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</si>
  <si>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</si>
  <si>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</si>
  <si>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</si>
  <si>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</si>
  <si>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</si>
  <si>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</si>
  <si>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</si>
  <si>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</si>
  <si>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</si>
  <si>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</si>
  <si>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</si>
  <si>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</si>
  <si>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</si>
  <si>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</si>
  <si>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</si>
  <si>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</si>
  <si>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</si>
  <si>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</si>
  <si>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</si>
  <si>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</si>
  <si>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</si>
  <si>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</si>
  <si>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</si>
  <si>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</si>
  <si>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</si>
  <si>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</si>
  <si>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</si>
  <si>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</si>
  <si>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</si>
  <si>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</si>
  <si>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</si>
  <si>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</si>
  <si>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</si>
  <si>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</si>
  <si>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</si>
  <si>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</si>
  <si>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</si>
  <si>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</si>
  <si>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</si>
  <si>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</si>
  <si>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</si>
  <si>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</si>
  <si>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</si>
  <si>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</si>
  <si>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</si>
  <si>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</si>
  <si>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</si>
  <si>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</si>
  <si>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</si>
  <si>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</si>
  <si>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</si>
  <si>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</si>
  <si>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</si>
  <si>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</si>
  <si>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</si>
  <si>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</si>
  <si>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</si>
  <si>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</si>
  <si>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</si>
  <si>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</si>
  <si>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</si>
  <si>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</si>
  <si>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</si>
  <si>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</si>
  <si>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</si>
  <si>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</si>
  <si>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</si>
  <si>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</si>
  <si>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</si>
  <si>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</si>
  <si>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</si>
  <si>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</si>
  <si>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</si>
  <si>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</si>
  <si>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</si>
  <si>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</si>
  <si>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</si>
  <si>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</si>
  <si>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</si>
  <si>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</si>
  <si>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</si>
  <si>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</si>
  <si>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</si>
  <si>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</si>
  <si>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</si>
  <si>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</si>
  <si>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</si>
  <si>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</si>
  <si>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</si>
  <si>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</si>
  <si>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</si>
  <si>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</si>
  <si>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</si>
  <si>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</si>
  <si>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</si>
  <si>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</si>
  <si>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</si>
  <si>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</si>
  <si>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</si>
  <si>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</si>
  <si>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</si>
  <si>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</si>
  <si>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</si>
  <si>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</si>
  <si>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</si>
  <si>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</si>
  <si>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</si>
  <si>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</si>
  <si>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</si>
  <si>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</si>
  <si>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</si>
  <si>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</si>
  <si>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</si>
  <si>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</si>
  <si>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</si>
  <si>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</si>
  <si>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</si>
  <si>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</si>
  <si>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</si>
  <si>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</si>
  <si>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</si>
  <si>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</si>
  <si>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</si>
  <si>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</si>
  <si>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</si>
  <si>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</si>
  <si>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</si>
  <si>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</si>
  <si>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</si>
  <si>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</si>
  <si>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</si>
  <si>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</si>
  <si>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</si>
  <si>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</si>
  <si>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</si>
  <si>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</si>
  <si>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</si>
  <si>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</si>
  <si>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</si>
  <si>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</si>
  <si>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</si>
  <si>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</si>
  <si>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</si>
  <si>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</si>
  <si>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</si>
  <si>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</si>
  <si>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</si>
  <si>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</si>
  <si>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</si>
  <si>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</si>
  <si>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</si>
  <si>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</si>
  <si>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</si>
  <si>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</si>
  <si>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</si>
  <si>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</si>
  <si>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</si>
  <si>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</si>
  <si>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</si>
  <si>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</si>
  <si>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</si>
  <si>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</si>
  <si>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</si>
  <si>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</si>
  <si>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</si>
  <si>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</si>
  <si>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</si>
  <si>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</si>
  <si>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</si>
  <si>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</si>
  <si>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</si>
  <si>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</si>
  <si>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</si>
  <si>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</si>
  <si>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</si>
  <si>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</si>
  <si>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</si>
  <si>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</si>
  <si>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</si>
  <si>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</si>
  <si>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</si>
  <si>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</si>
  <si>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</si>
  <si>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</si>
  <si>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</si>
  <si>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</si>
  <si>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</si>
  <si>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</si>
  <si>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</si>
  <si>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</si>
  <si>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</si>
  <si>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</si>
  <si>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</si>
  <si>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</si>
  <si>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</si>
  <si>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</si>
  <si>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</si>
  <si>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</si>
  <si>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</si>
  <si>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</si>
  <si>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</si>
  <si>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</si>
  <si>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</si>
  <si>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</si>
  <si>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</si>
  <si>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</si>
  <si>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</si>
  <si>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</si>
  <si>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</si>
  <si>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</si>
  <si>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</si>
  <si>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</si>
  <si>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</si>
  <si>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</si>
  <si>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</si>
  <si>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</si>
  <si>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</si>
  <si>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</si>
  <si>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</si>
  <si>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</si>
  <si>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</si>
  <si>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</si>
  <si>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</si>
  <si>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</si>
  <si>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</si>
  <si>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</si>
  <si>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</si>
  <si>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</si>
  <si>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</si>
  <si>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</si>
  <si>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</si>
  <si>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</si>
  <si>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</si>
  <si>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</si>
  <si>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</si>
  <si>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</si>
  <si>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</si>
  <si>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</si>
  <si>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</si>
  <si>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</si>
  <si>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</si>
  <si>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</si>
  <si>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</si>
  <si>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</si>
  <si>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</si>
  <si>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</si>
  <si>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</si>
  <si>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</si>
  <si>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估价对象紧邻城市主干道——中关村大街，临近地铁4号线（中关村站）；以估价对象为中心半径2公里范围内有302路、307路、320路、332路、355路等二十余条公交线路，综合评价交通便捷度好</t>
    <phoneticPr fontId="35" type="noConversion"/>
  </si>
  <si>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</si>
  <si>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</si>
  <si>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</si>
  <si>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</si>
  <si>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周边有中科大厦、海龙大厦、四通大厦等写字楼</t>
    <phoneticPr fontId="20" type="noConversion"/>
  </si>
  <si>
    <t>未包含在土地取得成本中</t>
  </si>
  <si>
    <t>综合</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</si>
</sst>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估价对象为房地产，为所有。根据《不动产权证书》[]，估价对象建筑面积为15.87平方米，（分摊）出让国有建设用地使用权面积为0平方米。估价对象用途为。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15.87</v>
      </c>
    </row>
    <row r="19" spans="1:2">
      <c r="A19" s="1708" t="s">
        <v>1129</v>
      </c>
      <c r="B19" s="1695">
        <f ca="1">'预评函-2（1）'!D7</f>
        <v>864439</v>
      </c>
    </row>
    <row r="20" spans="1:2">
      <c r="A20" s="1708" t="s">
        <v>1167</v>
      </c>
      <c r="B20" s="1695" t="str">
        <f>'预评函-2（1）'!C7</f>
        <v>总价（元）</v>
      </c>
    </row>
    <row r="21" spans="1:2">
      <c r="A21" s="1708" t="s">
        <v>1130</v>
      </c>
      <c r="B21" s="1695">
        <f ca="1">'预评函-2（1）'!D9</f>
        <v>54470</v>
      </c>
    </row>
    <row r="22" spans="1:2">
      <c r="A22" s="1708" t="s">
        <v>1131</v>
      </c>
      <c r="B22" s="1695" t="str">
        <f ca="1">'预评函-2（1）'!D8</f>
        <v>捌拾陆万肆仟肆佰叁拾玖元整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864439</v>
      </c>
    </row>
    <row r="30" spans="1:2">
      <c r="A30" s="1708" t="s">
        <v>1137</v>
      </c>
      <c r="B30" s="1695" t="str">
        <f ca="1">'预评函-2（1）'!D16</f>
        <v>捌拾陆万肆仟肆佰叁拾玖元整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808243</v>
      </c>
    </row>
    <row r="38" spans="1:2">
      <c r="A38" s="1708" t="s">
        <v>1145</v>
      </c>
      <c r="B38" s="1695">
        <f ca="1">'预评函-2（2）'!E4</f>
        <v>50929</v>
      </c>
    </row>
    <row r="39" spans="1:2">
      <c r="A39" s="1708" t="s">
        <v>1146</v>
      </c>
      <c r="B39" s="1695" t="str">
        <f ca="1">'预评函-2（2）'!D5</f>
        <v>捌拾万捌仟贰佰肆拾叁元整</v>
      </c>
    </row>
    <row r="40" spans="1:2">
      <c r="A40" s="1708" t="s">
        <v>1147</v>
      </c>
      <c r="B40" s="1695">
        <f ca="1">'预评函-2（2）'!F4</f>
        <v>56196</v>
      </c>
    </row>
    <row r="41" spans="1:2">
      <c r="A41" s="1708" t="s">
        <v>1148</v>
      </c>
      <c r="B41" s="1695">
        <f ca="1">'预评函-2（2）'!G4</f>
        <v>3541</v>
      </c>
    </row>
    <row r="42" spans="1:2" s="1705" customFormat="1" ht="15.75" thickBot="1">
      <c r="A42" s="1709" t="s">
        <v>1149</v>
      </c>
      <c r="B42" s="1697" t="str">
        <f ca="1">'预评函-2（2）'!F5</f>
        <v>伍万陆仟壹佰玖拾陆元整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54470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2940</v>
      </c>
      <c r="D9" s="2029"/>
      <c r="E9" s="1011" t="s">
        <v>1565</v>
      </c>
      <c r="F9" s="997" t="s">
        <v>221</v>
      </c>
      <c r="G9" s="1013"/>
    </row>
    <row r="10" spans="1:10" ht="13.5" thickBot="1">
      <c r="A10" s="2812"/>
      <c r="B10" s="345" t="s">
        <v>1566</v>
      </c>
      <c r="C10" s="2827"/>
      <c r="D10" s="2828"/>
      <c r="E10" s="2030" t="s">
        <v>1567</v>
      </c>
      <c r="F10" s="1014" t="s">
        <v>88</v>
      </c>
      <c r="G10" s="1015"/>
    </row>
    <row r="11" spans="1:10" ht="13.5" thickBot="1">
      <c r="A11" s="2812"/>
      <c r="B11" s="2031" t="s">
        <v>1568</v>
      </c>
      <c r="C11" s="2829"/>
      <c r="D11" s="2830"/>
      <c r="E11" s="1023"/>
      <c r="F11" s="1022"/>
      <c r="G11" s="1075"/>
    </row>
    <row r="12" spans="1:10" ht="24.75" thickBot="1">
      <c r="A12" s="2816" t="s">
        <v>1569</v>
      </c>
      <c r="B12" s="2032" t="s">
        <v>1570</v>
      </c>
      <c r="C12" s="1017">
        <v>15.87</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3.5</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15.87</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v>55330</v>
      </c>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43062</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2808</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2809</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15.87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2810</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55330</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33.61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0.78300000000000003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47610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0.74</v>
      </c>
      <c r="F20" s="1239"/>
      <c r="G20" s="1861"/>
      <c r="H20" s="2848" t="s">
        <v>2897</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7" t="s">
        <v>2898</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7" t="s">
        <v>2899</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7" t="s">
        <v>2900</v>
      </c>
      <c r="I23" s="2750" t="s">
        <v>2901</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7" t="s">
        <v>2902</v>
      </c>
      <c r="I24" s="2752">
        <f>ROUND(1-(1-I21)*I22/I23,2)</f>
        <v>0.73</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2903</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2003</v>
      </c>
      <c r="C26" s="1861"/>
      <c r="D26" s="2100" t="s">
        <v>1692</v>
      </c>
      <c r="E26" s="40">
        <v>0.02</v>
      </c>
      <c r="F26" s="1858" t="s">
        <v>1690</v>
      </c>
      <c r="G26" s="2083"/>
      <c r="H26" s="2849" t="s">
        <v>2904</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2905</v>
      </c>
      <c r="I27" s="2756" t="s">
        <v>2906</v>
      </c>
      <c r="J27" s="2756" t="s">
        <v>2907</v>
      </c>
      <c r="K27" s="2756" t="s">
        <v>2908</v>
      </c>
      <c r="L27" s="2756" t="s">
        <v>2909</v>
      </c>
      <c r="N27" s="1861"/>
      <c r="AE27" s="1239"/>
      <c r="AF27" s="1239"/>
      <c r="AG27" s="1239"/>
      <c r="AH27" s="1239"/>
      <c r="AI27" s="1239"/>
      <c r="AJ27" s="1239"/>
      <c r="AK27" s="1239"/>
      <c r="AL27" s="1239"/>
      <c r="AM27" s="1239"/>
      <c r="AN27" s="1239"/>
      <c r="AO27" s="1239"/>
    </row>
    <row r="28" spans="1:41" ht="15" thickBot="1">
      <c r="A28" s="2115" t="s">
        <v>1695</v>
      </c>
      <c r="B28" s="2116" t="s">
        <v>2807</v>
      </c>
      <c r="C28" s="1239"/>
      <c r="D28" s="2117" t="s">
        <v>1696</v>
      </c>
      <c r="E28" s="990">
        <v>0.25</v>
      </c>
      <c r="G28" s="2083"/>
      <c r="H28" s="2755" t="s">
        <v>2910</v>
      </c>
      <c r="I28" s="2756">
        <v>100</v>
      </c>
      <c r="J28" s="2756" t="s">
        <v>2911</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4400</v>
      </c>
      <c r="C29" s="1239"/>
      <c r="D29" s="2104" t="s">
        <v>1697</v>
      </c>
      <c r="E29" s="989">
        <f>E30+E31</f>
        <v>5.6000000000000001E-2</v>
      </c>
      <c r="F29" s="1855"/>
      <c r="G29" s="2083"/>
      <c r="H29" s="2755" t="s">
        <v>2912</v>
      </c>
      <c r="I29" s="2756">
        <v>100</v>
      </c>
      <c r="J29" s="2756" t="s">
        <v>2911</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2913</v>
      </c>
      <c r="I30" s="2756">
        <v>100</v>
      </c>
      <c r="J30" s="2756" t="s">
        <v>2911</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2903</v>
      </c>
      <c r="I31" s="2759">
        <f>1-I25</f>
        <v>0.5</v>
      </c>
      <c r="J31" s="2756" t="s">
        <v>2902</v>
      </c>
      <c r="K31" s="2760">
        <v>0.75</v>
      </c>
      <c r="L31" s="2761"/>
      <c r="N31" s="1861"/>
      <c r="AE31" s="1239"/>
      <c r="AF31" s="1239"/>
      <c r="AG31" s="1239"/>
      <c r="AH31" s="1239"/>
      <c r="AI31" s="1239"/>
      <c r="AJ31" s="1239"/>
      <c r="AK31" s="1239"/>
      <c r="AL31" s="1239"/>
      <c r="AM31" s="1239"/>
      <c r="AN31" s="1239"/>
      <c r="AO31" s="1239"/>
    </row>
    <row r="32" spans="1:41" ht="14.25">
      <c r="A32" s="2098" t="s">
        <v>1702</v>
      </c>
      <c r="B32" s="30">
        <v>0.25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2938</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2935</v>
      </c>
      <c r="D8" s="2158"/>
      <c r="E8" s="2158"/>
      <c r="F8" s="1248"/>
      <c r="G8" s="1248"/>
      <c r="H8" s="2148"/>
      <c r="I8" s="2148"/>
      <c r="J8" s="2148"/>
      <c r="K8" s="2148"/>
      <c r="L8" s="2148"/>
      <c r="M8" s="2148"/>
      <c r="N8" s="2148"/>
      <c r="O8" s="2148"/>
      <c r="P8" s="2148"/>
      <c r="Q8" s="2148"/>
      <c r="R8" s="2148"/>
    </row>
    <row r="9" spans="1:29" ht="40.5">
      <c r="A9" s="412"/>
      <c r="B9" s="1893" t="s">
        <v>1756</v>
      </c>
      <c r="C9" s="2727" t="s">
        <v>2936</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2937</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周边有中科大厦、海龙大厦、四通大厦等写字楼</v>
      </c>
      <c r="D17" s="2158"/>
      <c r="E17" s="2186"/>
      <c r="F17" s="2187" t="s">
        <v>1764</v>
      </c>
      <c r="G17" s="2188"/>
    </row>
    <row r="18" spans="1:18" ht="99.75">
      <c r="A18" s="630"/>
      <c r="B18" s="2187" t="s">
        <v>1751</v>
      </c>
      <c r="C18" s="52" t="str">
        <f>C6</f>
        <v>估价对象紧邻城市主干道——中关村大街，临近地铁4号线（中关村站）；以估价对象为中心半径2公里范围内有302路、307路、320路、332路、355路等二十余条公交线路，综合评价交通便捷度好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自然环境：海淀公园等；人文环境：北京大学等，综合评价环境状况较好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2811</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2863</v>
      </c>
      <c r="D4" s="2205" t="s">
        <v>2919</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901130</v>
      </c>
      <c r="D19" s="60">
        <f ca="1">SUMIF(INDIRECT("'"&amp;D4&amp;"'"&amp;"!A:A"),结果表!B19,INDIRECT("'"&amp;D4&amp;"'"&amp;"!B:B"))</f>
        <v>717677</v>
      </c>
      <c r="E19" s="2212" t="s">
        <v>1797</v>
      </c>
      <c r="F19" s="2213" t="s">
        <v>1796</v>
      </c>
      <c r="G19" s="61">
        <f ca="1">ROUND(C19*$C$18+D19*$D$18,0)</f>
        <v>864439</v>
      </c>
      <c r="H19" s="2214" t="str">
        <f>'数据-取费表'!B3</f>
        <v>元</v>
      </c>
      <c r="I19" s="2201"/>
    </row>
    <row r="20" spans="1:35" ht="15">
      <c r="A20" s="2215"/>
      <c r="B20" s="2216" t="s">
        <v>1798</v>
      </c>
      <c r="C20" s="62">
        <f ca="1">SUMIF(INDIRECT("'"&amp;C4&amp;"'"&amp;"!A:A"),结果表!B20,INDIRECT("'"&amp;C4&amp;"'"&amp;"!B:B"))</f>
        <v>56782</v>
      </c>
      <c r="D20" s="63">
        <f ca="1">SUMIF(INDIRECT("'"&amp;D4&amp;"'"&amp;"!A:A"),结果表!B20,INDIRECT("'"&amp;D4&amp;"'"&amp;"!B:B"))</f>
        <v>45222</v>
      </c>
      <c r="E20" s="2215"/>
      <c r="F20" s="2216" t="s">
        <v>1798</v>
      </c>
      <c r="G20" s="64">
        <f ca="1">ROUND(C20*$C$18+D20*$D$18,0)</f>
        <v>54470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0.2556205646829981</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2896</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54470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50929</v>
      </c>
      <c r="D34" s="1092">
        <f ca="1">IF(D33="自定义",ROUND(C34/C32,3),1-D35)</f>
        <v>0.93500000000000005</v>
      </c>
      <c r="E34" s="2239" t="s">
        <v>1811</v>
      </c>
      <c r="F34" s="1834">
        <v>2000</v>
      </c>
      <c r="G34" s="2201"/>
      <c r="H34" s="2201"/>
      <c r="I34" s="2201"/>
    </row>
    <row r="35" spans="1:16" ht="15.75" hidden="1" thickBot="1">
      <c r="A35" s="2240"/>
      <c r="B35" s="2241" t="s">
        <v>1812</v>
      </c>
      <c r="C35" s="74">
        <f ca="1">IF(D33="自定义",F35,ROUND(C32*D35,0))</f>
        <v>3541</v>
      </c>
      <c r="D35" s="1091">
        <f ca="1">IF(D33="自定义",ROUND(C35/C32,3),IF(D33="成本法成本比率",成本法!C56,IF(D33="收益法收益比率",收益法!J38,收益法!J41)))</f>
        <v>6.5000000000000002E-2</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864439</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43062</v>
      </c>
      <c r="N47" s="2866"/>
      <c r="O47" s="2866"/>
      <c r="P47" s="1851"/>
    </row>
    <row r="48" spans="1:16" ht="25.5" hidden="1">
      <c r="A48" s="2950" t="s">
        <v>1837</v>
      </c>
      <c r="B48" s="2951"/>
      <c r="C48" s="2951"/>
      <c r="D48" s="56">
        <f ca="1">IF(H48="情况1",0,IF(H48="情况2",D52,IF(H48="情况3",D53,IF(H48="情况4",D54))))</f>
        <v>46103</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864439</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46103</v>
      </c>
      <c r="E52" s="10" t="s">
        <v>1854</v>
      </c>
      <c r="F52" s="101">
        <f>'数据-取费表'!E29</f>
        <v>5.6000000000000001E-2</v>
      </c>
      <c r="G52" s="2268"/>
      <c r="H52" s="2201"/>
      <c r="I52" s="2266"/>
      <c r="J52" s="1889">
        <v>1</v>
      </c>
      <c r="K52" s="2854" t="s">
        <v>1855</v>
      </c>
      <c r="L52" s="2854"/>
      <c r="M52" s="779">
        <f ca="1">D48</f>
        <v>46103</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46103</v>
      </c>
      <c r="E53" s="10" t="s">
        <v>1854</v>
      </c>
      <c r="F53" s="101">
        <f>'数据-取费表'!E29</f>
        <v>5.6000000000000001E-2</v>
      </c>
      <c r="G53" s="2268"/>
      <c r="H53" s="2201"/>
      <c r="I53" s="2266"/>
      <c r="J53" s="1889">
        <v>2</v>
      </c>
      <c r="K53" s="2854" t="s">
        <v>1858</v>
      </c>
      <c r="L53" s="2854"/>
      <c r="M53" s="779">
        <f t="shared" ref="M53:O54" ca="1" si="1">D55</f>
        <v>432</v>
      </c>
      <c r="N53" s="1889" t="str">
        <f t="shared" si="1"/>
        <v>销售额×税（费）率</v>
      </c>
      <c r="O53" s="780">
        <f t="shared" si="1"/>
        <v>5.0000000000000001E-4</v>
      </c>
      <c r="P53" s="1851"/>
    </row>
    <row r="54" spans="1:16" ht="12" hidden="1" customHeight="1">
      <c r="A54" s="100" t="s">
        <v>1859</v>
      </c>
      <c r="B54" s="2930" t="s">
        <v>1860</v>
      </c>
      <c r="C54" s="2822"/>
      <c r="D54" s="99">
        <f ca="1">C68</f>
        <v>46103</v>
      </c>
      <c r="E54" s="20" t="s">
        <v>1861</v>
      </c>
      <c r="F54" s="101">
        <f>'数据-取费表'!E29</f>
        <v>5.6000000000000001E-2</v>
      </c>
      <c r="G54" s="2268"/>
      <c r="H54" s="2269"/>
      <c r="I54" s="2266"/>
      <c r="J54" s="1889">
        <v>3</v>
      </c>
      <c r="K54" s="2854" t="s">
        <v>1862</v>
      </c>
      <c r="L54" s="2854"/>
      <c r="M54" s="779">
        <f t="shared" ca="1" si="1"/>
        <v>489272</v>
      </c>
      <c r="N54" s="1889" t="str">
        <f t="shared" si="1"/>
        <v>增值额×税（费）率</v>
      </c>
      <c r="O54" s="781" t="str">
        <f t="shared" si="1"/>
        <v>——</v>
      </c>
      <c r="P54" s="1851"/>
    </row>
    <row r="55" spans="1:16" ht="24" hidden="1" customHeight="1">
      <c r="A55" s="2814" t="s">
        <v>1863</v>
      </c>
      <c r="B55" s="2951"/>
      <c r="C55" s="2951"/>
      <c r="D55" s="102">
        <f ca="1">IF(H55="个人住宅",0,ROUND(D45*I55,0))</f>
        <v>432</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8644</v>
      </c>
      <c r="N55" s="1892" t="str">
        <f>E59</f>
        <v>销售额×税（费）率</v>
      </c>
      <c r="O55" s="783">
        <f>F59</f>
        <v>0.01</v>
      </c>
      <c r="P55" s="1851"/>
    </row>
    <row r="56" spans="1:16" ht="24.75" hidden="1">
      <c r="A56" s="2814" t="s">
        <v>1866</v>
      </c>
      <c r="B56" s="2951"/>
      <c r="C56" s="2951"/>
      <c r="D56" s="102">
        <f ca="1">IF(H56="个人住宅",D57,D58)</f>
        <v>489272</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544451</v>
      </c>
      <c r="O57" s="2273"/>
      <c r="P57" s="1847" t="e">
        <f ca="1">N57/M49</f>
        <v>#VALUE!</v>
      </c>
    </row>
    <row r="58" spans="1:16" ht="24.75" hidden="1">
      <c r="A58" s="100" t="s">
        <v>1852</v>
      </c>
      <c r="B58" s="2939" t="s">
        <v>1872</v>
      </c>
      <c r="C58" s="2940"/>
      <c r="D58" s="102">
        <f ca="1">IF(H58="转让取得",C81,C97)</f>
        <v>489272</v>
      </c>
      <c r="E58" s="10" t="s">
        <v>1867</v>
      </c>
      <c r="F58" s="14" t="s">
        <v>48</v>
      </c>
      <c r="G58" s="2268"/>
      <c r="H58" s="2271" t="s">
        <v>1873</v>
      </c>
      <c r="I58" s="1023"/>
      <c r="J58" s="2854"/>
      <c r="K58" s="2854"/>
      <c r="L58" s="2272" t="s">
        <v>1874</v>
      </c>
      <c r="M58" s="786"/>
      <c r="N58" s="2274" t="str">
        <f ca="1">IF(H19="元",NUMBERSTRING(INT(N57),2)&amp;"元整",NUMBERSTRING(INT(N57*10000),2)&amp;"元整")</f>
        <v>伍拾肆万肆仟肆佰伍拾壹元整</v>
      </c>
      <c r="O58" s="2275"/>
      <c r="P58" s="1851"/>
    </row>
    <row r="59" spans="1:16" ht="26.25" hidden="1" thickBot="1">
      <c r="A59" s="2815" t="s">
        <v>1875</v>
      </c>
      <c r="B59" s="2818"/>
      <c r="C59" s="2818"/>
      <c r="D59" s="105">
        <f ca="1">IF(H59="非个人房产","——",IF(H59="个人住宅",0,ROUND(D45*I59,0)))</f>
        <v>8644</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823275</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864439</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823275</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46103</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823275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4940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4940</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818335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165.65485829959513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489272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823275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4940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4940</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818335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165.65485829959513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489272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901130</v>
      </c>
      <c r="D101" s="722">
        <f ca="1">D19</f>
        <v>717677</v>
      </c>
      <c r="E101" s="2201"/>
      <c r="F101" s="2898" t="str">
        <f>项目基本情况!I1</f>
        <v>房地产</v>
      </c>
      <c r="G101" s="2900"/>
      <c r="H101" s="2959">
        <f>项目基本情况!C12</f>
        <v>15.87</v>
      </c>
      <c r="I101" s="2899"/>
    </row>
    <row r="102" spans="1:35" ht="15.75" hidden="1">
      <c r="A102" s="2918"/>
      <c r="B102" s="2296" t="s">
        <v>1940</v>
      </c>
      <c r="C102" s="723">
        <f ca="1">C20</f>
        <v>56782</v>
      </c>
      <c r="D102" s="724">
        <f ca="1">D20</f>
        <v>45222</v>
      </c>
      <c r="E102" s="2201"/>
      <c r="F102" s="2973" t="s">
        <v>1941</v>
      </c>
      <c r="G102" s="2974"/>
      <c r="H102" s="2297" t="str">
        <f>C106</f>
        <v>总价（元）</v>
      </c>
      <c r="I102" s="1868">
        <f ca="1">H121</f>
        <v>864439</v>
      </c>
    </row>
    <row r="103" spans="1:35" ht="15" hidden="1">
      <c r="A103" s="2918" t="s">
        <v>1942</v>
      </c>
      <c r="B103" s="2298" t="str">
        <f>B101</f>
        <v>总价（元）</v>
      </c>
      <c r="C103" s="725">
        <f ca="1">H121</f>
        <v>864439</v>
      </c>
      <c r="D103" s="726"/>
      <c r="E103" s="2201"/>
      <c r="F103" s="2973"/>
      <c r="G103" s="2974"/>
      <c r="H103" s="2297" t="s">
        <v>1940</v>
      </c>
      <c r="I103" s="1051">
        <f ca="1">I121</f>
        <v>54470</v>
      </c>
    </row>
    <row r="104" spans="1:35" ht="16.5" hidden="1" thickBot="1">
      <c r="A104" s="2919"/>
      <c r="B104" s="2299" t="s">
        <v>1940</v>
      </c>
      <c r="C104" s="727">
        <f ca="1">I121</f>
        <v>54470</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864439</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54470</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864439</v>
      </c>
    </row>
    <row r="111" spans="1:35" ht="15" hidden="1">
      <c r="A111" s="2887" t="s">
        <v>1949</v>
      </c>
      <c r="B111" s="2888"/>
      <c r="C111" s="2300" t="str">
        <f>C108</f>
        <v>总额（元）</v>
      </c>
      <c r="D111" s="638">
        <f>C38</f>
        <v>0</v>
      </c>
      <c r="E111" s="2201"/>
      <c r="F111" s="2869"/>
      <c r="G111" s="2870"/>
      <c r="H111" s="2297" t="s">
        <v>1940</v>
      </c>
      <c r="I111" s="2303">
        <f ca="1">D113</f>
        <v>54470</v>
      </c>
    </row>
    <row r="112" spans="1:35" ht="26.25" hidden="1" customHeight="1">
      <c r="A112" s="2926" t="str">
        <f>IF(项目基本情况!F5="已注销","——","3.房地产抵押价值")</f>
        <v>3.房地产抵押价值</v>
      </c>
      <c r="B112" s="2927"/>
      <c r="C112" s="2297" t="str">
        <f>B101</f>
        <v>总价（元）</v>
      </c>
      <c r="D112" s="1052">
        <f ca="1">IF(A112="——","——",D106-D108)</f>
        <v>864439</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54470</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15.87</v>
      </c>
      <c r="C121" s="1893">
        <f>项目基本情况!C13</f>
        <v>0</v>
      </c>
      <c r="D121" s="1893">
        <f ca="1">ROUND(IF(B32="总价",C34,IF('数据-取费表'!B3="万元",E121*B121/10000,E121*B121)),0)</f>
        <v>808243</v>
      </c>
      <c r="E121" s="1893">
        <f ca="1">ROUND(IF(B32="楼面单价",C34,IF(H19="元",D121/B121,D121*10000/B121)),0)</f>
        <v>50929</v>
      </c>
      <c r="F121" s="1893">
        <f ca="1">ROUND(IF(B32="总价",C35,IF('数据-取费表'!B3="万元",G121*B121/10000,G121*B121)),0)</f>
        <v>56196</v>
      </c>
      <c r="G121" s="1893">
        <f ca="1">ROUND(IF(B32="楼面单价",C35,IF(H19="元",F121/B121,F121*10000/B121)),0)</f>
        <v>3541</v>
      </c>
      <c r="H121" s="1893">
        <f ca="1">ROUND(IF(B32="总价",C32,IF('数据-取费表'!B3="万元",I121*B121/10000,I121*B121)),0)</f>
        <v>864439</v>
      </c>
      <c r="I121" s="638">
        <f ca="1">ROUND(IF(B32="楼面单价",C32,IF(H19="元",H121/B121,H121*10000/B121)),0)</f>
        <v>54470</v>
      </c>
    </row>
    <row r="122" spans="1:15" ht="14.25" hidden="1">
      <c r="A122" s="2878" t="s">
        <v>1959</v>
      </c>
      <c r="B122" s="2874"/>
      <c r="C122" s="2874"/>
      <c r="D122" s="2910" t="str">
        <f ca="1">IF(H19="元",NUMBERSTRING(INT(D121),2)&amp;"元整",NUMBERSTRING(INT(D121*10000),2)&amp;"元整")</f>
        <v>捌拾万捌仟贰佰肆拾叁元整</v>
      </c>
      <c r="E122" s="2911"/>
      <c r="F122" s="2910" t="str">
        <f ca="1">IF(H19="元",NUMBERSTRING(INT(F121),2)&amp;"元整",NUMBERSTRING(INT(F121*10000),2)&amp;"元整")</f>
        <v>伍万陆仟壹佰玖拾陆元整</v>
      </c>
      <c r="G122" s="2911"/>
      <c r="H122" s="2910" t="str">
        <f ca="1">IF(H19="元",NUMBERSTRING(INT(H121),2)&amp;"元整",NUMBERSTRING(INT(H121*10000),2)&amp;"元整")</f>
        <v>捌拾陆万肆仟肆佰叁拾玖元整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864439</v>
      </c>
      <c r="E125" s="2913"/>
      <c r="F125" s="2913"/>
      <c r="G125" s="2913"/>
      <c r="H125" s="2913"/>
      <c r="I125" s="2962"/>
    </row>
    <row r="126" spans="1:15" ht="14.25" hidden="1">
      <c r="A126" s="2878" t="s">
        <v>1959</v>
      </c>
      <c r="B126" s="2874"/>
      <c r="C126" s="2874"/>
      <c r="D126" s="2963">
        <f ca="1">I111</f>
        <v>54470</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2878</v>
      </c>
      <c r="E134" s="2309">
        <f ca="1">G20-ROUND(F134*0.1,0)</f>
        <v>49023</v>
      </c>
      <c r="F134" s="2309">
        <f ca="1">G20</f>
        <v>54470</v>
      </c>
      <c r="G134" s="2309"/>
      <c r="H134" s="2310"/>
      <c r="I134" s="2311"/>
    </row>
    <row r="135" spans="1:9" ht="21.75" hidden="1" customHeight="1">
      <c r="A135" s="2312">
        <v>2</v>
      </c>
      <c r="B135" s="2313"/>
      <c r="C135" s="2313"/>
      <c r="D135" s="2309"/>
      <c r="E135" s="2309">
        <f>'数据-取费表'!B5-结果表!F135</f>
        <v>12.959999999999999</v>
      </c>
      <c r="F135" s="2309">
        <v>2.91</v>
      </c>
      <c r="G135" s="2739" t="s">
        <v>2879</v>
      </c>
      <c r="H135" s="2740" t="s">
        <v>2880</v>
      </c>
      <c r="I135" s="2311"/>
    </row>
    <row r="136" spans="1:9" ht="21.75" hidden="1" customHeight="1">
      <c r="A136" s="2312">
        <v>3</v>
      </c>
      <c r="B136" s="2313"/>
      <c r="C136" s="2313"/>
      <c r="D136" s="2309"/>
      <c r="E136" s="2309">
        <f ca="1">ROUND(E134*E135,0)</f>
        <v>635338</v>
      </c>
      <c r="F136" s="2309">
        <f ca="1">ROUND(F134*F135,0)</f>
        <v>158508</v>
      </c>
      <c r="G136" s="2741">
        <f ca="1">E136+F136</f>
        <v>793846</v>
      </c>
      <c r="H136" s="2741">
        <f ca="1">ROUND(G136/项目基本情况!C12,0)</f>
        <v>50022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43062</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C22" sqref="C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2812</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901130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56782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39600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39600</v>
      </c>
      <c r="D6" s="81" t="s">
        <v>2803</v>
      </c>
      <c r="E6" s="320" t="s">
        <v>2110</v>
      </c>
      <c r="F6" s="321">
        <f>'数据-取费表'!B29</f>
        <v>4400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2804</v>
      </c>
      <c r="E10" s="331" t="s">
        <v>2117</v>
      </c>
      <c r="F10" s="2346" t="s">
        <v>2930</v>
      </c>
      <c r="G10" s="1240"/>
      <c r="H10" s="1386" t="s">
        <v>2115</v>
      </c>
      <c r="I10" s="2344" t="s">
        <v>2116</v>
      </c>
      <c r="J10" s="1387">
        <f ca="1">ROUND(IF(M10="押一",M6*M8*M7/12*M11,IF(M10="押二",M6*M8*M7/12*2*M11,IF(M10="押三",M6*M8*M7/12*3*M11,J11*M11))),0)</f>
        <v>0</v>
      </c>
      <c r="K10" s="81" t="s">
        <v>2805</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58830</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47610</v>
      </c>
      <c r="D14" s="1894" t="s">
        <v>2128</v>
      </c>
      <c r="E14" s="1895"/>
      <c r="F14" s="980"/>
      <c r="G14" s="1241"/>
      <c r="H14" s="338" t="s">
        <v>2108</v>
      </c>
      <c r="I14" s="320" t="s">
        <v>2129</v>
      </c>
      <c r="J14" s="14">
        <f ca="1">C29</f>
        <v>79500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1428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2381</v>
      </c>
      <c r="D16" s="320" t="s">
        <v>2132</v>
      </c>
      <c r="E16" s="320" t="s">
        <v>2133</v>
      </c>
      <c r="F16" s="343">
        <f>IF('数据-取费表'!B10="住宅",'数据-取费表'!E22,0)</f>
        <v>0.05</v>
      </c>
      <c r="G16" s="1241"/>
      <c r="H16" s="1422" t="s">
        <v>14</v>
      </c>
      <c r="I16" s="1423" t="s">
        <v>2138</v>
      </c>
      <c r="J16" s="328">
        <f ca="1">ROUND(J17+J22+J23+J24,0)</f>
        <v>1590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3174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714</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55307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1106</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1590</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2680</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-1590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14103</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79500</v>
      </c>
      <c r="D29" s="1435"/>
      <c r="E29" s="1433"/>
      <c r="F29" s="1436"/>
      <c r="G29" s="792"/>
      <c r="H29" s="357" t="s">
        <v>24</v>
      </c>
      <c r="I29" s="358" t="s">
        <v>2203</v>
      </c>
      <c r="J29" s="359">
        <f ca="1">ROUND(J26/(1+F40)^F41,0)</f>
        <v>0</v>
      </c>
      <c r="K29" s="360" t="s">
        <v>2204</v>
      </c>
      <c r="L29" s="361"/>
      <c r="M29" s="362">
        <f>IF(D1="仅计算典型户型",'数据-取费表'!E5,'数据-取费表'!B5)</f>
        <v>15.87</v>
      </c>
    </row>
    <row r="30" spans="1:37" ht="18" customHeight="1" thickTop="1">
      <c r="A30" s="1422" t="s">
        <v>14</v>
      </c>
      <c r="B30" s="1423" t="s">
        <v>2205</v>
      </c>
      <c r="C30" s="328">
        <f ca="1">ROUND(C31+C36+C37+C38,0)</f>
        <v>4480</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1980</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4706</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1590</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118</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792</v>
      </c>
      <c r="D38" s="1435" t="s">
        <v>2180</v>
      </c>
      <c r="E38" s="1433" t="s">
        <v>2176</v>
      </c>
      <c r="F38" s="1428">
        <f>'数据-取费表'!B46</f>
        <v>0.02</v>
      </c>
      <c r="G38" s="792"/>
      <c r="H38" s="1232"/>
      <c r="I38" s="366" t="s">
        <v>2218</v>
      </c>
      <c r="J38" s="221">
        <f ca="1">ROUND(J34/C39,3)</f>
        <v>0.13400000000000001</v>
      </c>
      <c r="K38" s="1237"/>
      <c r="L38" s="1232"/>
      <c r="M38" s="1232"/>
    </row>
    <row r="39" spans="1:18" ht="18" customHeight="1" thickTop="1">
      <c r="A39" s="1422" t="s">
        <v>22</v>
      </c>
      <c r="B39" s="1437" t="s">
        <v>2219</v>
      </c>
      <c r="C39" s="328">
        <f ca="1">C5-C30</f>
        <v>35120</v>
      </c>
      <c r="D39" s="1438" t="s">
        <v>2220</v>
      </c>
      <c r="E39" s="1439"/>
      <c r="F39" s="1440"/>
      <c r="G39" s="792"/>
      <c r="H39" s="1232"/>
      <c r="I39" s="366" t="s">
        <v>2221</v>
      </c>
      <c r="J39" s="221">
        <f ca="1">1-J38</f>
        <v>0.86599999999999999</v>
      </c>
      <c r="K39" s="1237"/>
      <c r="L39" s="1232"/>
      <c r="M39" s="1232"/>
    </row>
    <row r="40" spans="1:18" s="792" customFormat="1" ht="18" customHeight="1">
      <c r="A40" s="317" t="s">
        <v>23</v>
      </c>
      <c r="B40" s="318" t="s">
        <v>2222</v>
      </c>
      <c r="C40" s="319">
        <f ca="1">ROUND(C39*(1-((1+F42)/(1+F40))^F41)/(F40-F42),0)</f>
        <v>901130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6.5000000000000002E-2</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0.93500000000000005</v>
      </c>
      <c r="K42" s="1236"/>
      <c r="L42" s="1239"/>
      <c r="M42" s="1239"/>
      <c r="Q42" s="796"/>
    </row>
    <row r="43" spans="1:18" s="792" customFormat="1" ht="18" customHeight="1" thickBot="1">
      <c r="A43" s="357" t="s">
        <v>24</v>
      </c>
      <c r="B43" s="358" t="s">
        <v>2225</v>
      </c>
      <c r="C43" s="359">
        <f ca="1">ROUND(C40/F43,0)</f>
        <v>56782</v>
      </c>
      <c r="D43" s="360" t="s">
        <v>2226</v>
      </c>
      <c r="E43" s="361" t="s">
        <v>2227</v>
      </c>
      <c r="F43" s="362">
        <f>IF(D1="仅计算典型户型",'数据-取费表'!E5,'数据-取费表'!B5)</f>
        <v>15.87</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901130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-930440</v>
      </c>
      <c r="D47" s="2351" t="str">
        <f>C2</f>
        <v>元</v>
      </c>
      <c r="E47" s="777"/>
      <c r="F47" s="777"/>
      <c r="I47" s="2352" t="s">
        <v>2238</v>
      </c>
      <c r="J47" s="1345"/>
      <c r="K47" s="1346"/>
      <c r="L47" s="1359">
        <f>IF(M48="住宅",0,IF(L49&gt;J52,L61,J61))</f>
        <v>0</v>
      </c>
      <c r="O47" s="1373" t="s">
        <v>960</v>
      </c>
      <c r="P47" s="1370" t="s">
        <v>2239</v>
      </c>
      <c r="Q47" s="1371">
        <f ca="1">C29</f>
        <v>79500</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9" t="s">
        <v>2253</v>
      </c>
      <c r="F50" s="1301"/>
      <c r="I50" s="2356" t="s">
        <v>2254</v>
      </c>
      <c r="J50" s="1129">
        <f>'数据-取费表'!B26</f>
        <v>2003</v>
      </c>
      <c r="K50" s="2360" t="s">
        <v>2255</v>
      </c>
      <c r="L50" s="1348"/>
      <c r="O50" s="1373" t="s">
        <v>963</v>
      </c>
      <c r="P50" s="1370" t="s">
        <v>2256</v>
      </c>
      <c r="Q50" s="1371">
        <f>J54</f>
        <v>-14</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901130</v>
      </c>
      <c r="R51" s="1372" t="s">
        <v>965</v>
      </c>
    </row>
    <row r="52" spans="1:18" s="792" customFormat="1" ht="16.5" thickBot="1">
      <c r="A52" s="322"/>
      <c r="B52" s="323"/>
      <c r="C52" s="324"/>
      <c r="D52" s="325"/>
      <c r="E52" s="320" t="s">
        <v>2113</v>
      </c>
      <c r="F52" s="321">
        <f>F8</f>
        <v>12</v>
      </c>
      <c r="I52" s="2361" t="s">
        <v>2260</v>
      </c>
      <c r="J52" s="1350">
        <f>IF(J50="",J51,J50+J51-YEAR('数据-取费表'!B2))</f>
        <v>-14</v>
      </c>
      <c r="K52" s="2362" t="s">
        <v>2261</v>
      </c>
      <c r="L52" s="1351">
        <f ca="1">ROUND(-PV('数据-取费表'!B15,L49,(C40-C13*J35)),0)</f>
        <v>16413194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2804</v>
      </c>
      <c r="E54" s="331" t="s">
        <v>2117</v>
      </c>
      <c r="F54" s="2346"/>
      <c r="I54" s="2364" t="s">
        <v>2265</v>
      </c>
      <c r="J54" s="1353">
        <f>IF(M48="住宅",J52,IF(E1="——",MIN(J52,L49),IF(E1="在建（套用方法）",MIN(J52,L49-'数据-取费表'!B25),IF(E1="土地（套用方法）",MIN(J52,L49-'数据-取费表'!B21)))))</f>
        <v>-14</v>
      </c>
      <c r="K54" s="2991" t="s">
        <v>2802</v>
      </c>
      <c r="L54" s="2992"/>
      <c r="O54" s="1369" t="s">
        <v>958</v>
      </c>
      <c r="P54" s="1370" t="s">
        <v>2233</v>
      </c>
      <c r="Q54" s="1371">
        <f ca="1">C40+J29</f>
        <v>901130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58830</v>
      </c>
      <c r="D57" s="1296"/>
      <c r="E57" s="1297"/>
      <c r="F57" s="1304"/>
      <c r="I57" s="2371" t="s">
        <v>2271</v>
      </c>
      <c r="J57" s="1357" t="s">
        <v>2866</v>
      </c>
      <c r="K57" s="2356" t="s">
        <v>2272</v>
      </c>
      <c r="L57" s="1129">
        <f>IF(L49&lt;J52,"——",L49-J52)</f>
        <v>47.61</v>
      </c>
      <c r="O57" s="1373" t="s">
        <v>961</v>
      </c>
      <c r="P57" s="1370" t="s">
        <v>2273</v>
      </c>
      <c r="Q57" s="1374">
        <f>L53</f>
        <v>0</v>
      </c>
      <c r="R57" s="1372"/>
    </row>
    <row r="58" spans="1:18" s="792" customFormat="1" ht="29.25" thickBot="1">
      <c r="A58" s="1303"/>
      <c r="B58" s="320" t="s">
        <v>2202</v>
      </c>
      <c r="C58" s="189">
        <f ca="1">C29</f>
        <v>79500</v>
      </c>
      <c r="D58" s="1296"/>
      <c r="E58" s="1297"/>
      <c r="F58" s="1304"/>
      <c r="I58" s="2372" t="s">
        <v>2274</v>
      </c>
      <c r="J58" s="1356" t="str">
        <f>IF(OR(M48="住宅",J52&lt;L49,J57="是"),"——",J52-L49)</f>
        <v>——</v>
      </c>
      <c r="K58" s="2356" t="s">
        <v>2275</v>
      </c>
      <c r="L58" s="1129">
        <f ca="1">IF(L49&lt;J52,"——",IF(L56="比较法",L50,IF(L56="基准地价",L51,L52)))</f>
        <v>16413194</v>
      </c>
      <c r="O58" s="1373" t="s">
        <v>962</v>
      </c>
      <c r="P58" s="1370" t="s">
        <v>2276</v>
      </c>
      <c r="Q58" s="1371" t="e">
        <f>L59</f>
        <v>#DIV/0!</v>
      </c>
      <c r="R58" s="1372" t="s">
        <v>2277</v>
      </c>
    </row>
    <row r="59" spans="1:18" s="792" customFormat="1" ht="29.25" thickBot="1">
      <c r="A59" s="333" t="s">
        <v>14</v>
      </c>
      <c r="B59" s="334" t="s">
        <v>2205</v>
      </c>
      <c r="C59" s="335">
        <f ca="1">ROUND(C60+C65+C66+C67,0)</f>
        <v>1708</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901130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901130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1590</v>
      </c>
      <c r="D65" s="1899" t="s">
        <v>2215</v>
      </c>
      <c r="E65" s="320" t="s">
        <v>2159</v>
      </c>
      <c r="F65" s="351">
        <f t="shared" si="0"/>
        <v>0.02</v>
      </c>
      <c r="I65" s="2375" t="s">
        <v>2296</v>
      </c>
      <c r="J65" s="1880">
        <v>50</v>
      </c>
      <c r="K65" s="1880">
        <v>35</v>
      </c>
      <c r="L65" s="1880">
        <v>60</v>
      </c>
      <c r="M65" s="1879">
        <v>0</v>
      </c>
      <c r="O65" s="1373" t="s">
        <v>960</v>
      </c>
      <c r="P65" s="1370" t="s">
        <v>2270</v>
      </c>
      <c r="Q65" s="1375">
        <f ca="1">L52</f>
        <v>16413194</v>
      </c>
      <c r="R65" s="1376" t="s">
        <v>2297</v>
      </c>
    </row>
    <row r="66" spans="1:18" s="792" customFormat="1" ht="20.25" thickBot="1">
      <c r="A66" s="338" t="s">
        <v>20</v>
      </c>
      <c r="B66" s="320" t="s">
        <v>2174</v>
      </c>
      <c r="C66" s="14">
        <f ca="1">ROUND(C57*F66,0)</f>
        <v>118</v>
      </c>
      <c r="D66" s="1899" t="s">
        <v>2175</v>
      </c>
      <c r="E66" s="320" t="s">
        <v>2176</v>
      </c>
      <c r="F66" s="352">
        <f t="shared" si="0"/>
        <v>2E-3</v>
      </c>
      <c r="I66" s="2375" t="s">
        <v>2298</v>
      </c>
      <c r="J66" s="1880">
        <v>40</v>
      </c>
      <c r="K66" s="1880">
        <v>30</v>
      </c>
      <c r="L66" s="1880">
        <v>50</v>
      </c>
      <c r="M66" s="1878">
        <v>0.02</v>
      </c>
      <c r="O66" s="1373" t="s">
        <v>961</v>
      </c>
      <c r="P66" s="1377" t="s">
        <v>2299</v>
      </c>
      <c r="Q66" s="1371">
        <f ca="1">ROUND(Q67-Q68*Q69,0)</f>
        <v>30414</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35120</v>
      </c>
      <c r="R67" s="1372" t="s">
        <v>2234</v>
      </c>
    </row>
    <row r="68" spans="1:18" ht="15.75" thickBot="1">
      <c r="A68" s="333" t="s">
        <v>22</v>
      </c>
      <c r="B68" s="90" t="s">
        <v>2184</v>
      </c>
      <c r="C68" s="335">
        <f ca="1">C49-C59</f>
        <v>-1708</v>
      </c>
      <c r="D68" s="1894" t="s">
        <v>2185</v>
      </c>
      <c r="E68" s="1898"/>
      <c r="F68" s="354"/>
      <c r="H68" s="792"/>
      <c r="I68" s="792"/>
      <c r="J68" s="792"/>
      <c r="K68" s="792"/>
      <c r="L68" s="792"/>
      <c r="M68" s="792"/>
      <c r="O68" s="1373" t="s">
        <v>967</v>
      </c>
      <c r="P68" s="1377" t="s">
        <v>2301</v>
      </c>
      <c r="Q68" s="1371">
        <f ca="1">C13</f>
        <v>58830</v>
      </c>
      <c r="R68" s="1372" t="s">
        <v>2234</v>
      </c>
    </row>
    <row r="69" spans="1:18" ht="15.75" thickBot="1">
      <c r="A69" s="317" t="s">
        <v>23</v>
      </c>
      <c r="B69" s="318" t="s">
        <v>2222</v>
      </c>
      <c r="C69" s="319">
        <f ca="1">ROUND(C68*(1-((1+F71)/(1+F69))^F70)/(F69-F71),0)</f>
        <v>-29310</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-1847</v>
      </c>
      <c r="D72" s="360" t="s">
        <v>2226</v>
      </c>
      <c r="E72" s="361" t="s">
        <v>2227</v>
      </c>
      <c r="F72" s="362">
        <f>F43</f>
        <v>15.87</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901130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8"/>
      <c r="E1" s="2389" t="s">
        <v>2864</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836841</v>
      </c>
      <c r="C2" s="164" t="str">
        <f>'数据-取费表'!B3</f>
        <v>元</v>
      </c>
      <c r="D2" s="2391" t="s">
        <v>1257</v>
      </c>
      <c r="E2" s="1849">
        <f ca="1">SUMIF(INDIRECT("'"&amp;G2&amp;"'"&amp;"!A:A"),"承租人权益价值",INDIRECT("'"&amp;G2&amp;"'"&amp;"!c:c"))</f>
        <v>-930440</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15.87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2881</v>
      </c>
      <c r="D5" s="3043"/>
      <c r="E5" s="3040" t="s">
        <v>2882</v>
      </c>
      <c r="F5" s="3041"/>
      <c r="G5" s="3042" t="s">
        <v>2882</v>
      </c>
      <c r="H5" s="3043"/>
      <c r="I5" s="3042" t="s">
        <v>2882</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2822</v>
      </c>
      <c r="D9" s="51">
        <v>100</v>
      </c>
      <c r="E9" s="398" t="s">
        <v>2810</v>
      </c>
      <c r="F9" s="399">
        <f>SUMIF(63:63,E9,64:64)-SUMIF(63:63,C9,64:64)+100</f>
        <v>100</v>
      </c>
      <c r="G9" s="400" t="s">
        <v>2810</v>
      </c>
      <c r="H9" s="51">
        <f>SUMIF(63:63,G9,64:64)-SUMIF(63:63,C9,64:64)+100</f>
        <v>100</v>
      </c>
      <c r="I9" s="400" t="s">
        <v>2810</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2914</v>
      </c>
      <c r="F15" s="423">
        <f>SUMIF(76:76,E16,77:77)-SUMIF(76:76,C16,77:77)+100</f>
        <v>100</v>
      </c>
      <c r="G15" s="2735" t="s">
        <v>2914</v>
      </c>
      <c r="H15" s="421">
        <f>SUMIF(76:76,G16,77:77)-SUMIF(76:76,C16,77:77)+100</f>
        <v>100</v>
      </c>
      <c r="I15" s="2735" t="s">
        <v>2914</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2873</v>
      </c>
      <c r="F19" s="440">
        <f>SUMIF(80:80,E20,81:81)-SUMIF(80:80,C20,81:81)+100</f>
        <v>100</v>
      </c>
      <c r="G19" s="2726" t="s">
        <v>2873</v>
      </c>
      <c r="H19" s="431">
        <f>SUMIF(80:80,G20,81:81)-SUMIF(80:80,C20,81:81)+100</f>
        <v>100</v>
      </c>
      <c r="I19" s="2725" t="s">
        <v>2873</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2916</v>
      </c>
      <c r="F21" s="440">
        <f>SUMIF(82:82,E22,83:83)-SUMIF(82:82,C22,83:83)+100</f>
        <v>100</v>
      </c>
      <c r="G21" s="2726" t="s">
        <v>2916</v>
      </c>
      <c r="H21" s="431">
        <f>SUMIF(82:82,G22,83:83)-SUMIF(82:82,C22,83:83)+100</f>
        <v>100</v>
      </c>
      <c r="I21" s="2725" t="s">
        <v>2916</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2918</v>
      </c>
      <c r="D22" s="428"/>
      <c r="E22" s="427" t="s">
        <v>2918</v>
      </c>
      <c r="F22" s="430"/>
      <c r="G22" s="427" t="s">
        <v>2918</v>
      </c>
      <c r="H22" s="428"/>
      <c r="I22" s="427" t="s">
        <v>2918</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自然环境：海淀公园等；人文环境：北京大学等，综合评价环境状况较好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2874</v>
      </c>
      <c r="D26" s="416">
        <v>100</v>
      </c>
      <c r="E26" s="2417" t="s">
        <v>2884</v>
      </c>
      <c r="F26" s="443">
        <f>SUMIF(88:88,E26,89:89)-SUMIF(88:88,C26,89:89)+100</f>
        <v>96.5</v>
      </c>
      <c r="G26" s="2418" t="s">
        <v>2886</v>
      </c>
      <c r="H26" s="416">
        <f>SUMIF(88:88,G26,89:89)-SUMIF(88:88,C26,89:89)+100</f>
        <v>96</v>
      </c>
      <c r="I26" s="2417" t="s">
        <v>2874</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2876</v>
      </c>
      <c r="D27" s="444">
        <v>100</v>
      </c>
      <c r="E27" s="2730" t="s">
        <v>2875</v>
      </c>
      <c r="F27" s="446">
        <f>SUMIF(90:90,E27,91:91)-SUMIF(90:90,C27,91:91)+100</f>
        <v>100</v>
      </c>
      <c r="G27" s="2730" t="s">
        <v>2875</v>
      </c>
      <c r="H27" s="444">
        <f>SUMIF(90:90,G27,91:91)-SUMIF(90:90,C27,91:91)+100</f>
        <v>100</v>
      </c>
      <c r="I27" s="2730" t="s">
        <v>2875</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2824</v>
      </c>
      <c r="C28" s="415" t="s">
        <v>2893</v>
      </c>
      <c r="D28" s="416">
        <v>100</v>
      </c>
      <c r="E28" s="2731" t="s">
        <v>2894</v>
      </c>
      <c r="F28" s="443">
        <f>SUMIF(92:92,E28,93:93)-SUMIF(92:92,C28,93:93)+100</f>
        <v>102</v>
      </c>
      <c r="G28" s="2731" t="s">
        <v>2895</v>
      </c>
      <c r="H28" s="416">
        <f>SUMIF(92:92,G28,93:93)-SUMIF(92:92,C28,93:93)+100</f>
        <v>100</v>
      </c>
      <c r="I28" s="2731" t="s">
        <v>2891</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2867</v>
      </c>
      <c r="D32" s="449">
        <v>100</v>
      </c>
      <c r="E32" s="2421" t="s">
        <v>2867</v>
      </c>
      <c r="F32" s="443">
        <f>SUMIF(100:100,E32,101:101)-SUMIF(100:100,C32,101:101)+100</f>
        <v>100</v>
      </c>
      <c r="G32" s="2420" t="s">
        <v>2867</v>
      </c>
      <c r="H32" s="449">
        <f>SUMIF(100:100,G32,101:101)-SUMIF(100:100,C32,101:101)+100</f>
        <v>100</v>
      </c>
      <c r="I32" s="2421" t="s">
        <v>2867</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2892</v>
      </c>
      <c r="D34" s="416">
        <v>100</v>
      </c>
      <c r="E34" s="2423" t="s">
        <v>2892</v>
      </c>
      <c r="F34" s="443">
        <f>SUMIF(105:105,E34,106:106)-SUMIF(105:105,C34,106:106)+100</f>
        <v>100</v>
      </c>
      <c r="G34" s="2422" t="s">
        <v>2892</v>
      </c>
      <c r="H34" s="416">
        <f>SUMIF(105:105,G34,106:106)-SUMIF(105:105,C34,106:106)+100</f>
        <v>100</v>
      </c>
      <c r="I34" s="2423" t="s">
        <v>2892</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2868</v>
      </c>
      <c r="D39" s="416">
        <v>100</v>
      </c>
      <c r="E39" s="2417" t="s">
        <v>2868</v>
      </c>
      <c r="F39" s="443">
        <f>SUMIF(116:116,E39,117:117)-SUMIF(116:116,C39,117:117)+100</f>
        <v>100</v>
      </c>
      <c r="G39" s="2418" t="s">
        <v>2868</v>
      </c>
      <c r="H39" s="416">
        <f>SUMIF(116:116,G39,117:117)-SUMIF(116:116,C39,117:117)+100</f>
        <v>100</v>
      </c>
      <c r="I39" s="2417" t="s">
        <v>2868</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2871</v>
      </c>
      <c r="D42" s="416">
        <v>100</v>
      </c>
      <c r="E42" s="2417" t="s">
        <v>2852</v>
      </c>
      <c r="F42" s="443">
        <f>SUMIF(122:122,E42,123:123)-SUMIF(122:122,C42,123:123)+100</f>
        <v>102</v>
      </c>
      <c r="G42" s="2418" t="s">
        <v>2852</v>
      </c>
      <c r="H42" s="416">
        <f>SUMIF(122:122,G42,123:123)-SUMIF(122:122,C42,123:123)+100</f>
        <v>102</v>
      </c>
      <c r="I42" s="2417" t="s">
        <v>2852</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2825</v>
      </c>
      <c r="D88" s="2728" t="s">
        <v>2826</v>
      </c>
      <c r="E88" s="2728" t="s">
        <v>2827</v>
      </c>
      <c r="F88" s="2728" t="s">
        <v>2828</v>
      </c>
      <c r="G88" s="2728" t="s">
        <v>2829</v>
      </c>
      <c r="H88" s="2728" t="s">
        <v>2830</v>
      </c>
      <c r="I88" s="2728" t="s">
        <v>2831</v>
      </c>
      <c r="J88" s="2728" t="s">
        <v>2832</v>
      </c>
      <c r="K88" s="2728" t="s">
        <v>2833</v>
      </c>
      <c r="L88" s="2729" t="s">
        <v>2885</v>
      </c>
      <c r="M88" s="2744" t="s">
        <v>2887</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2834</v>
      </c>
      <c r="D90" s="2728" t="s">
        <v>2835</v>
      </c>
      <c r="E90" s="2728" t="s">
        <v>2836</v>
      </c>
      <c r="F90" s="2728" t="s">
        <v>2837</v>
      </c>
      <c r="G90" s="2728" t="s">
        <v>2838</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2888</v>
      </c>
      <c r="D92" s="2731" t="s">
        <v>2877</v>
      </c>
      <c r="E92" s="2731" t="s">
        <v>2889</v>
      </c>
      <c r="F92" s="2731" t="s">
        <v>2890</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2839</v>
      </c>
      <c r="D100" s="2732" t="s">
        <v>2840</v>
      </c>
      <c r="E100" s="2733" t="s">
        <v>2843</v>
      </c>
      <c r="F100" s="2732" t="s">
        <v>2841</v>
      </c>
      <c r="G100" s="2732" t="s">
        <v>2842</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2844</v>
      </c>
      <c r="D105" s="2728" t="s">
        <v>2845</v>
      </c>
      <c r="E105" s="2734" t="s">
        <v>2846</v>
      </c>
      <c r="F105" s="2734" t="s">
        <v>2847</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2848</v>
      </c>
      <c r="D107" s="2728" t="s">
        <v>2849</v>
      </c>
      <c r="E107" s="2728" t="s">
        <v>2850</v>
      </c>
      <c r="F107" s="2734" t="s">
        <v>2851</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2848</v>
      </c>
      <c r="D109" s="2728" t="s">
        <v>2849</v>
      </c>
      <c r="E109" s="2728" t="s">
        <v>2850</v>
      </c>
      <c r="F109" s="2734" t="s">
        <v>2851</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2861</v>
      </c>
      <c r="D118" s="2734" t="s">
        <v>2862</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2848</v>
      </c>
      <c r="D122" s="2728" t="s">
        <v>2849</v>
      </c>
      <c r="E122" s="2728" t="s">
        <v>2850</v>
      </c>
      <c r="F122" s="2734" t="s">
        <v>2851</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15.87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85.25">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71.25">
      <c r="A23" s="409"/>
      <c r="B23" s="432" t="s">
        <v>1756</v>
      </c>
      <c r="C23" s="2464"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15.87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85.25">
      <c r="A17" s="409"/>
      <c r="B17" s="616" t="s">
        <v>1751</v>
      </c>
      <c r="C17" s="2475"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71.25">
      <c r="A23" s="409"/>
      <c r="B23" s="616" t="s">
        <v>2483</v>
      </c>
      <c r="C23" s="2475"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15.87</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420" t="s">
        <v>2365</v>
      </c>
      <c r="B14" s="26" t="s">
        <v>2509</v>
      </c>
      <c r="C14" s="2486"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71.25">
      <c r="A20" s="409"/>
      <c r="B20" s="432" t="s">
        <v>2510</v>
      </c>
      <c r="C20" s="2413"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43062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128</v>
      </c>
      <c r="G10" s="445"/>
      <c r="H10" s="52">
        <f>ROUND(100/'数据-取费表'!B14,0)</f>
        <v>128</v>
      </c>
      <c r="I10" s="445"/>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85.25">
      <c r="A21" s="384"/>
      <c r="B21" s="1491" t="s">
        <v>2509</v>
      </c>
      <c r="C21" s="2475"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71.25">
      <c r="A25" s="384"/>
      <c r="B25" s="1493" t="s">
        <v>2550</v>
      </c>
      <c r="C25" s="2492"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128</v>
      </c>
      <c r="G10" s="413"/>
      <c r="H10" s="52">
        <f>ROUND(100/'数据-取费表'!B14,0)</f>
        <v>128</v>
      </c>
      <c r="I10" s="413"/>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估价对象为房地产，为所有。根据《不动产权证书》[]，估价对象建筑面积为15.87平方米，（分摊）出让国有建设用地使用权面积为0平方米。估价对象用途为。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9" zoomScale="90" zoomScaleNormal="90" zoomScaleSheetLayoutView="90" workbookViewId="0">
      <selection activeCell="F28" sqref="F28"/>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15.87</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428665</v>
      </c>
      <c r="C2" s="2515" t="s">
        <v>2607</v>
      </c>
      <c r="D2" s="2516" t="s">
        <v>2608</v>
      </c>
      <c r="E2" s="2517" t="s">
        <v>2921</v>
      </c>
      <c r="F2" s="2516" t="s">
        <v>2609</v>
      </c>
      <c r="G2" s="2518" t="str">
        <f>项目基本情况!F9</f>
        <v>二级</v>
      </c>
      <c r="H2" s="2519" t="s">
        <v>2610</v>
      </c>
      <c r="I2" s="2518" t="str">
        <f>项目基本情况!F10</f>
        <v>Ⅱ—03</v>
      </c>
      <c r="J2" s="2520"/>
      <c r="L2" s="2521"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52299</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27011</v>
      </c>
      <c r="C3" s="2515" t="s">
        <v>2613</v>
      </c>
      <c r="D3" s="2516" t="s">
        <v>2614</v>
      </c>
      <c r="E3" s="2522" t="s">
        <v>2922</v>
      </c>
      <c r="F3" s="2523" t="s">
        <v>2615</v>
      </c>
      <c r="G3" s="942">
        <f>项目基本情况!C15</f>
        <v>3.5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38350</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31317</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23149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25990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23180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22735</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1.25</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20550</v>
      </c>
      <c r="U7" s="1716"/>
      <c r="V7" s="1715">
        <f t="shared" ca="1" si="1"/>
        <v>0</v>
      </c>
      <c r="W7" s="1911" t="s">
        <v>2629</v>
      </c>
      <c r="X7" s="1717" t="str">
        <f>G2</f>
        <v>二级</v>
      </c>
      <c r="Y7" s="1717" t="s">
        <v>2630</v>
      </c>
      <c r="Z7" s="1718">
        <f>G3</f>
        <v>3.5</v>
      </c>
      <c r="AA7" s="1719"/>
      <c r="AB7" s="1719"/>
      <c r="AC7" s="1720"/>
      <c r="AD7" s="1721"/>
      <c r="AE7" s="1721"/>
      <c r="AF7" s="1721"/>
      <c r="AG7" s="1721"/>
      <c r="AH7" s="1721"/>
      <c r="AI7" s="1721"/>
      <c r="AJ7" s="1722"/>
    </row>
    <row r="8" spans="1:36" ht="15">
      <c r="A8" s="3084"/>
      <c r="B8" s="116" t="s">
        <v>2631</v>
      </c>
      <c r="C8" s="2546" t="s">
        <v>2923</v>
      </c>
      <c r="D8" s="946" t="s">
        <v>89</v>
      </c>
      <c r="E8" s="947">
        <f>ROUND(C11/E7,4)</f>
        <v>0.20830000000000001</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0.3</v>
      </c>
      <c r="D9" s="118" t="s">
        <v>90</v>
      </c>
      <c r="E9" s="118">
        <f>ROUND(C11/E7,4)</f>
        <v>0.20830000000000001</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50</v>
      </c>
      <c r="D10" s="118" t="s">
        <v>91</v>
      </c>
      <c r="E10" s="118">
        <f>ROUND(C11/E7,4)</f>
        <v>0.20830000000000001</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12.5</v>
      </c>
      <c r="D11" s="949" t="s">
        <v>92</v>
      </c>
      <c r="E11" s="949">
        <f>ROUND(C11/E7,4)</f>
        <v>0.20830000000000001</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83" t="str">
        <f>IF(E2="住宅",2,"")</f>
        <v/>
      </c>
      <c r="B12" s="2554" t="s">
        <v>2660</v>
      </c>
      <c r="C12" s="945">
        <f>ROUND(C15*D15*E15*F15*G15*H15*I15*J15,4)</f>
        <v>1.452</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103"/>
      <c r="B14" s="2565"/>
      <c r="C14" s="2566" t="s">
        <v>2670</v>
      </c>
      <c r="D14" s="2567" t="s">
        <v>2671</v>
      </c>
      <c r="E14" s="2567" t="s">
        <v>2931</v>
      </c>
      <c r="F14" s="2568" t="s">
        <v>2672</v>
      </c>
      <c r="G14" s="2569" t="s">
        <v>2673</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4" t="s">
        <v>2675</v>
      </c>
      <c r="M15" s="946" t="s">
        <v>2676</v>
      </c>
      <c r="N15" s="946" t="s">
        <v>2677</v>
      </c>
      <c r="O15" s="946" t="s">
        <v>2678</v>
      </c>
      <c r="P15" s="2575"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2680</v>
      </c>
      <c r="C16" s="1891">
        <f>ROUND(SUM(G17:J17)/C17,0)</f>
        <v>31</v>
      </c>
      <c r="D16" s="2576" t="s">
        <v>2681</v>
      </c>
      <c r="E16" s="2577" t="s">
        <v>2932</v>
      </c>
      <c r="F16" s="2578" t="s">
        <v>2924</v>
      </c>
      <c r="G16" s="2579" t="s">
        <v>2925</v>
      </c>
      <c r="H16" s="2579" t="s">
        <v>2926</v>
      </c>
      <c r="I16" s="2579"/>
      <c r="J16" s="2580"/>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2683</v>
      </c>
      <c r="C17" s="950">
        <f>SUMPRODUCT((修正!A2:A5=E2)*(修正!B1:M1=G2)*(修正!B2:M5))</f>
        <v>3.5</v>
      </c>
      <c r="D17" s="2582"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2687</v>
      </c>
      <c r="B18" s="2584" t="s">
        <v>2688</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2689</v>
      </c>
      <c r="B19" s="2584" t="s">
        <v>2690</v>
      </c>
      <c r="C19" s="953">
        <f>ROUND(IF(H19="按公示增长率计算",SUMPRODUCT((地价!A3:A19=YEAR(G19)&amp;"-"&amp;ROUNDUP(MONTH(G19)/3,0))*(地价!X2:AB2=E2)*(地价!X3:AB19)),IF(H19="地价指数",M20/M19,(1+I19)^O19)),4)</f>
        <v>1.2401</v>
      </c>
      <c r="D19" s="2592" t="s">
        <v>2691</v>
      </c>
      <c r="E19" s="954">
        <v>41640</v>
      </c>
      <c r="F19" s="2592" t="s">
        <v>2692</v>
      </c>
      <c r="G19" s="955">
        <f>'数据-取费表'!B2</f>
        <v>43062</v>
      </c>
      <c r="H19" s="2593" t="s">
        <v>2929</v>
      </c>
      <c r="I19" s="956" t="str">
        <f>IF(H19="季度增幅（自定义）",SUMIF(N21:N24,E2,O21:O24),"")</f>
        <v/>
      </c>
      <c r="J19" s="2589"/>
      <c r="K19" s="2590"/>
      <c r="L19" s="2594"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2695</v>
      </c>
      <c r="B20" s="2599" t="s">
        <v>2696</v>
      </c>
      <c r="C20" s="958">
        <f ca="1">ROUND(POWER(1+G20,J20-I20)*(POWER(1+G20,I20)-1)/(POWER(1+G20,J20)-1),4)</f>
        <v>0.88849999999999996</v>
      </c>
      <c r="D20" s="2600" t="s">
        <v>2697</v>
      </c>
      <c r="E20" s="1862">
        <f ca="1">存贷款利率!D4/100</f>
        <v>4.3499999999999997E-2</v>
      </c>
      <c r="F20" s="2600" t="s">
        <v>2686</v>
      </c>
      <c r="G20" s="964">
        <f ca="1">SUMIF(M15:P15,E2,M17:P17)</f>
        <v>5.1999999999999998E-2</v>
      </c>
      <c r="H20" s="2600" t="s">
        <v>2698</v>
      </c>
      <c r="I20" s="965">
        <f>'数据-取费表'!B13</f>
        <v>33.61</v>
      </c>
      <c r="J20" s="966">
        <f>IF(E2="住宅",70,IF(E2="商业",40,50))</f>
        <v>50</v>
      </c>
      <c r="K20" s="2590"/>
      <c r="L20" s="2601" t="s">
        <v>2699</v>
      </c>
      <c r="M20" s="1833">
        <f>ROUND(SUMPRODUCT((地价!A4:A19=YEAR(G19)&amp;"-"&amp;ROUNDUP(MONTH(G19)/3,0))*(地价!B2:F2=E2)*(地价!B4:F19)),0)</f>
        <v>0</v>
      </c>
      <c r="N20" s="2602" t="s">
        <v>2700</v>
      </c>
      <c r="O20" s="2603" t="s">
        <v>2701</v>
      </c>
      <c r="P20" s="2604" t="s">
        <v>2702</v>
      </c>
      <c r="R20" s="1464"/>
      <c r="S20" s="1464"/>
      <c r="T20" s="1464"/>
      <c r="U20" s="1464"/>
      <c r="V20" s="1464"/>
      <c r="W20" s="1464"/>
      <c r="X20" s="1464"/>
      <c r="Y20" s="1464"/>
      <c r="Z20" s="1464"/>
      <c r="AA20" s="1464"/>
      <c r="AB20" s="1464"/>
      <c r="AC20" s="1464"/>
      <c r="AD20" s="1464"/>
      <c r="AE20" s="2590"/>
      <c r="AF20" s="2590"/>
    </row>
    <row r="21" spans="1:37" s="2533" customFormat="1" ht="15">
      <c r="A21" s="2605" t="s">
        <v>2703</v>
      </c>
      <c r="B21" s="2606" t="s">
        <v>2927</v>
      </c>
      <c r="C21" s="967">
        <f>IF(B21="容积率修正",IF(G3&lt;=10,D22,J22),C23)</f>
        <v>1</v>
      </c>
      <c r="D21" s="2607"/>
      <c r="E21" s="2607"/>
      <c r="F21" s="2607"/>
      <c r="G21" s="2607"/>
      <c r="H21" s="2607"/>
      <c r="I21" s="2607"/>
      <c r="J21" s="2608"/>
      <c r="K21" s="2590"/>
      <c r="N21" s="2609"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2705</v>
      </c>
      <c r="C22" s="1905" t="s">
        <v>2706</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2708</v>
      </c>
      <c r="C23" s="959">
        <f>ROUND(IF(G3&gt;1,IF(I3&lt;7,SUMPRODUCT((B93:B98=I3)*(C92:N92=G2)*(C93:N98)),SUMIF(C92:N92,G2,C100:N100)),IF(I3&lt;7,SUMPRODUCT((B102:B107=I3)*(C92:N92=G2)*(C102:N107)),SUMIF(C92:N92,G2,C109:N109))),4)</f>
        <v>1.4198</v>
      </c>
      <c r="D23" s="2570"/>
      <c r="E23" s="2570"/>
      <c r="F23" s="2612"/>
      <c r="G23" s="2613"/>
      <c r="H23" s="2614"/>
      <c r="I23" s="2615"/>
      <c r="J23" s="2616"/>
      <c r="N23" s="2609"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2710</v>
      </c>
      <c r="B24" s="2618" t="s">
        <v>2711</v>
      </c>
      <c r="C24" s="969">
        <f>SUMIF(A46:A88,E2,B46:B88)</f>
        <v>1.0589999999999999</v>
      </c>
      <c r="D24" s="2619"/>
      <c r="E24" s="2620"/>
      <c r="F24" s="2620"/>
      <c r="G24" s="2620"/>
      <c r="H24" s="2620"/>
      <c r="I24" s="2620"/>
      <c r="J24" s="2621"/>
      <c r="K24" s="2590"/>
      <c r="N24" s="2622"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2713</v>
      </c>
      <c r="B25" s="2623" t="s">
        <v>2714</v>
      </c>
      <c r="C25" s="960"/>
      <c r="D25" s="2544"/>
      <c r="E25" s="2544"/>
      <c r="F25" s="2624"/>
      <c r="G25" s="2544"/>
      <c r="H25" s="2544"/>
      <c r="I25" s="2544"/>
      <c r="J25" s="2545"/>
      <c r="L25" s="1464"/>
      <c r="M25" s="1464"/>
      <c r="N25" s="2625"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2716</v>
      </c>
      <c r="C26" s="124">
        <f ca="1">E29+SUM(E33:E39)</f>
        <v>428665</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2717</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2718</v>
      </c>
      <c r="C28" s="2636" t="s">
        <v>2719</v>
      </c>
      <c r="D28" s="2636" t="s">
        <v>2720</v>
      </c>
      <c r="E28" s="2637" t="s">
        <v>2721</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2722</v>
      </c>
      <c r="C29" s="124">
        <f ca="1">ROUND(C5*C18*C19*C20*C21*C24,0)</f>
        <v>27011</v>
      </c>
      <c r="D29" s="2641">
        <v>15.87</v>
      </c>
      <c r="E29" s="973">
        <f ca="1">ROUND(C29*D29,0)</f>
        <v>428665</v>
      </c>
      <c r="F29" s="2642" t="s">
        <v>2723</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2724</v>
      </c>
      <c r="C30" s="151">
        <f ca="1">ROUND(IF(E2="工业",C29*M39,C29*M38),0)</f>
        <v>6753</v>
      </c>
      <c r="D30" s="2647"/>
      <c r="E30" s="973">
        <f ca="1">ROUND(C30*D30,0)</f>
        <v>0</v>
      </c>
      <c r="F30" s="2648" t="s">
        <v>2725</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2726</v>
      </c>
      <c r="C31" s="2653" t="s">
        <v>2727</v>
      </c>
      <c r="D31" s="2557"/>
      <c r="E31" s="2653"/>
      <c r="F31" s="2653"/>
      <c r="G31" s="2555" t="s">
        <v>2728</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2730</v>
      </c>
      <c r="B33" s="2656" t="s">
        <v>2731</v>
      </c>
      <c r="C33" s="124">
        <f ca="1">ROUND(D5*C19*C20*C24*F33,0)</f>
        <v>0</v>
      </c>
      <c r="D33" s="2641"/>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2732</v>
      </c>
      <c r="C34" s="124">
        <f ca="1">ROUND(D5*C19*C20*C24*F34,0)</f>
        <v>0</v>
      </c>
      <c r="D34" s="2641"/>
      <c r="E34" s="118">
        <f t="shared" ca="1" si="6"/>
        <v>0</v>
      </c>
      <c r="F34" s="118">
        <f>SUMIF(修正!A45:A56,G2,修正!C45:C56)</f>
        <v>0.5</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2733</v>
      </c>
      <c r="C35" s="124">
        <f ca="1">ROUND(D5*C19*C20*C24*F35,0)</f>
        <v>0</v>
      </c>
      <c r="D35" s="2641"/>
      <c r="E35" s="118">
        <f t="shared" ca="1" si="6"/>
        <v>0</v>
      </c>
      <c r="F35" s="118">
        <f>SUMIF(修正!A45:A56,G2,修正!D45:D56)</f>
        <v>0.36</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2734</v>
      </c>
      <c r="C36" s="124">
        <f ca="1">ROUND(D5*C19*C20*C24*F36,0)</f>
        <v>0</v>
      </c>
      <c r="D36" s="2641"/>
      <c r="E36" s="118">
        <f t="shared" ca="1" si="6"/>
        <v>0</v>
      </c>
      <c r="F36" s="118">
        <f>SUMIF(修正!A45:A56,G2,修正!E45:E56)</f>
        <v>0.3</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2735</v>
      </c>
      <c r="C37" s="118">
        <f ca="1">ROUND(C5*C19*C20*C24*F37,0)</f>
        <v>8103</v>
      </c>
      <c r="D37" s="2641"/>
      <c r="E37" s="118">
        <f t="shared" ca="1" si="6"/>
        <v>0</v>
      </c>
      <c r="F37" s="124">
        <f>SUMIF(修正!A45:A56,G2,修正!F45:F56)</f>
        <v>0.3</v>
      </c>
      <c r="G37" s="118">
        <f t="shared" ca="1" si="7"/>
        <v>2026</v>
      </c>
      <c r="H37" s="118">
        <f t="shared" si="9"/>
        <v>0</v>
      </c>
      <c r="I37" s="118">
        <f t="shared" ca="1" si="8"/>
        <v>0</v>
      </c>
      <c r="J37" s="2657"/>
      <c r="L37" s="2660" t="s">
        <v>2736</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2737</v>
      </c>
      <c r="C38" s="118">
        <f ca="1">ROUND(C5*C19*C20*C24*F38,0)</f>
        <v>8103</v>
      </c>
      <c r="D38" s="2641"/>
      <c r="E38" s="118">
        <f t="shared" ca="1" si="6"/>
        <v>0</v>
      </c>
      <c r="F38" s="124">
        <f>SUMIF(修正!A45:A56,G2,修正!G45:G56)</f>
        <v>0.3</v>
      </c>
      <c r="G38" s="118">
        <f t="shared" ca="1" si="7"/>
        <v>2026</v>
      </c>
      <c r="H38" s="118">
        <f t="shared" si="9"/>
        <v>0</v>
      </c>
      <c r="I38" s="118">
        <f t="shared" ca="1" si="8"/>
        <v>0</v>
      </c>
      <c r="J38" s="2657"/>
      <c r="L38" s="2661" t="s">
        <v>2738</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2739</v>
      </c>
      <c r="C39" s="151">
        <f ca="1">ROUND(C5*C19*C20*C24*F39,0)</f>
        <v>6753</v>
      </c>
      <c r="D39" s="2647"/>
      <c r="E39" s="151">
        <f t="shared" ca="1" si="6"/>
        <v>0</v>
      </c>
      <c r="F39" s="962">
        <f>SUMIF(修正!A45:A56,G2,修正!H45:H56)</f>
        <v>0.25</v>
      </c>
      <c r="G39" s="151">
        <f t="shared" ca="1" si="7"/>
        <v>1688</v>
      </c>
      <c r="H39" s="151">
        <f t="shared" si="9"/>
        <v>0</v>
      </c>
      <c r="I39" s="151">
        <f t="shared" ca="1" si="8"/>
        <v>0</v>
      </c>
      <c r="J39" s="2664"/>
      <c r="L39" s="2665" t="s">
        <v>2679</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2740</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2741</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2742</v>
      </c>
      <c r="B47" s="824" t="s">
        <v>2743</v>
      </c>
      <c r="C47" s="824" t="s">
        <v>2744</v>
      </c>
      <c r="D47" s="824" t="s">
        <v>2745</v>
      </c>
      <c r="E47" s="825" t="s">
        <v>2746</v>
      </c>
      <c r="F47" s="2678" t="s">
        <v>2747</v>
      </c>
      <c r="G47" s="824" t="s">
        <v>2748</v>
      </c>
      <c r="H47" s="2679"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2756</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hidden="1">
      <c r="A49" s="2677" t="s">
        <v>2757</v>
      </c>
      <c r="B49" s="2681" t="str">
        <f>估价对象房地状况!C18</f>
        <v>估价对象紧邻城市主干道——中关村大街，临近地铁4号线（中关村站）；以估价对象为中心半径2公里范围内有302路、307路、320路、332路、355路等二十余条公交线路，综合评价交通便捷度好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2758</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2759</v>
      </c>
      <c r="B51" s="2682" t="s">
        <v>2760</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hidden="1">
      <c r="A52" s="2677" t="s">
        <v>2761</v>
      </c>
      <c r="B52" s="2681" t="str">
        <f>估价对象房地状况!C24</f>
        <v>城市主干道——中关村大街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2762</v>
      </c>
      <c r="B53" s="2683" t="s">
        <v>2763</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2764</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2765</v>
      </c>
      <c r="B55" s="2681" t="str">
        <f>估价对象房地状况!C22</f>
        <v>估价对象所在区域基础设施水平——五通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hidden="1" thickBot="1">
      <c r="A56" s="2686" t="s">
        <v>2766</v>
      </c>
      <c r="B56" s="2687" t="str">
        <f>估价对象房地状况!C20</f>
        <v>自然环境：海淀公园等；人文环境：北京大学等，综合评价环境状况较好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2767</v>
      </c>
      <c r="B57" s="2688">
        <f>1+E59</f>
        <v>1.0589999999999999</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2742</v>
      </c>
      <c r="B58" s="2681"/>
      <c r="C58" s="824" t="s">
        <v>2744</v>
      </c>
      <c r="D58" s="824" t="s">
        <v>2745</v>
      </c>
      <c r="E58" s="825" t="s">
        <v>2746</v>
      </c>
      <c r="F58" s="2678" t="s">
        <v>2747</v>
      </c>
      <c r="G58" s="824" t="s">
        <v>2768</v>
      </c>
      <c r="H58" s="2679"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c r="A59" s="2677" t="s">
        <v>2771</v>
      </c>
      <c r="B59" s="2680" t="str">
        <f>估价对象房地状况!C17</f>
        <v>周边有中科大厦、海龙大厦、四通大厦等写字楼</v>
      </c>
      <c r="C59" s="2567" t="s">
        <v>29</v>
      </c>
      <c r="D59" s="1378">
        <f t="shared" ref="D59:D67" si="15">SUMIF($J$58:$N$58,C59,J59:N59)</f>
        <v>1.7000000000000001E-2</v>
      </c>
      <c r="E59" s="830">
        <f>ROUND(SUM(D59:D67),4)</f>
        <v>5.8999999999999997E-2</v>
      </c>
      <c r="F59" s="2283">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2757</v>
      </c>
      <c r="B60" s="2681" t="str">
        <f>估价对象房地状况!C18</f>
        <v>估价对象紧邻城市主干道——中关村大街，临近地铁4号线（中关村站）；以估价对象为中心半径2公里范围内有302路、307路、320路、332路、355路等二十余条公交线路，综合评价交通便捷度好</v>
      </c>
      <c r="C60" s="2567" t="s">
        <v>29</v>
      </c>
      <c r="D60" s="1378">
        <f t="shared" si="15"/>
        <v>2.12E-2</v>
      </c>
      <c r="E60" s="833"/>
      <c r="F60" s="2283"/>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2758</v>
      </c>
      <c r="B61" s="2681">
        <f>估价对象房地状况!C19</f>
        <v>0</v>
      </c>
      <c r="C61" s="2567" t="s">
        <v>29</v>
      </c>
      <c r="D61" s="1378">
        <f t="shared" si="15"/>
        <v>5.5999999999999999E-3</v>
      </c>
      <c r="E61" s="833"/>
      <c r="F61" s="2283"/>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2759</v>
      </c>
      <c r="B62" s="2682" t="s">
        <v>2760</v>
      </c>
      <c r="C62" s="2567" t="s">
        <v>31</v>
      </c>
      <c r="D62" s="1378">
        <f t="shared" si="15"/>
        <v>0</v>
      </c>
      <c r="E62" s="833"/>
      <c r="F62" s="2283"/>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2761</v>
      </c>
      <c r="B63" s="2681" t="str">
        <f>估价对象房地状况!C24</f>
        <v>城市主干道——中关村大街</v>
      </c>
      <c r="C63" s="2567" t="s">
        <v>29</v>
      </c>
      <c r="D63" s="1378">
        <f t="shared" si="15"/>
        <v>3.3999999999999998E-3</v>
      </c>
      <c r="E63" s="833"/>
      <c r="F63" s="2283"/>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2762</v>
      </c>
      <c r="B64" s="2683" t="s">
        <v>2763</v>
      </c>
      <c r="C64" s="2567" t="s">
        <v>29</v>
      </c>
      <c r="D64" s="1378">
        <f t="shared" si="15"/>
        <v>3.3999999999999998E-3</v>
      </c>
      <c r="E64" s="833"/>
      <c r="F64" s="2283"/>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2764</v>
      </c>
      <c r="B65" s="2685" t="str">
        <f>估价对象房地状况!C21</f>
        <v>估价对象所在区域公共配套设施齐备情况好</v>
      </c>
      <c r="C65" s="2567" t="s">
        <v>29</v>
      </c>
      <c r="D65" s="1378">
        <f t="shared" si="15"/>
        <v>4.1999999999999997E-3</v>
      </c>
      <c r="E65" s="833"/>
      <c r="F65" s="2283"/>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2765</v>
      </c>
      <c r="B66" s="2685" t="str">
        <f>估价对象房地状况!C22</f>
        <v>估价对象所在区域基础设施水平——五通</v>
      </c>
      <c r="C66" s="2567" t="s">
        <v>31</v>
      </c>
      <c r="D66" s="1378">
        <f t="shared" si="15"/>
        <v>0</v>
      </c>
      <c r="E66" s="833"/>
      <c r="F66" s="2283"/>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2766</v>
      </c>
      <c r="B67" s="2689" t="str">
        <f>估价对象房地状况!C20</f>
        <v>自然环境：海淀公园等；人文环境：北京大学等，综合评价环境状况较好</v>
      </c>
      <c r="C67" s="2567" t="s">
        <v>29</v>
      </c>
      <c r="D67" s="1378">
        <f t="shared" si="15"/>
        <v>4.1999999999999997E-3</v>
      </c>
      <c r="E67" s="839"/>
      <c r="F67" s="2283"/>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2772</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2742</v>
      </c>
      <c r="B69" s="2681"/>
      <c r="C69" s="824" t="s">
        <v>2744</v>
      </c>
      <c r="D69" s="824" t="s">
        <v>2745</v>
      </c>
      <c r="E69" s="825" t="s">
        <v>2746</v>
      </c>
      <c r="F69" s="2678" t="s">
        <v>2747</v>
      </c>
      <c r="G69" s="824" t="s">
        <v>2768</v>
      </c>
      <c r="H69" s="2679"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c r="A70" s="2677" t="s">
        <v>2773</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2757</v>
      </c>
      <c r="B71" s="2681" t="str">
        <f>估价对象房地状况!C18</f>
        <v>估价对象紧邻城市主干道——中关村大街，临近地铁4号线（中关村站）；以估价对象为中心半径2公里范围内有302路、307路、320路、332路、355路等二十余条公交线路，综合评价交通便捷度好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2758</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2774</v>
      </c>
      <c r="B73" s="2681" t="str">
        <f>估价对象房地状况!C24</f>
        <v>城市主干道——中关村大街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2764</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2765</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2762</v>
      </c>
      <c r="B76" s="2683" t="s">
        <v>2763</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2766</v>
      </c>
      <c r="B77" s="2680" t="str">
        <f>估价对象房地状况!C20</f>
        <v>自然环境：海淀公园等；人文环境：北京大学等，综合评价环境状况较好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2775</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2776</v>
      </c>
      <c r="B79" s="2688">
        <f>1+E81</f>
        <v>1</v>
      </c>
      <c r="C79" s="818"/>
      <c r="D79" s="818"/>
      <c r="E79" s="819"/>
      <c r="F79" s="2675"/>
      <c r="G79" s="7"/>
      <c r="H79" s="7"/>
      <c r="I79" s="7"/>
      <c r="J79" s="9"/>
      <c r="K79" s="9"/>
      <c r="L79" s="9"/>
      <c r="M79" s="9"/>
      <c r="N79" s="9"/>
      <c r="Z79" s="2514"/>
      <c r="AA79" s="2591"/>
      <c r="AG79" s="2667"/>
      <c r="AK79" s="2591"/>
    </row>
    <row r="80" spans="1:37" ht="24.75">
      <c r="A80" s="2677" t="s">
        <v>2742</v>
      </c>
      <c r="B80" s="2681"/>
      <c r="C80" s="824" t="s">
        <v>2744</v>
      </c>
      <c r="D80" s="824" t="s">
        <v>2745</v>
      </c>
      <c r="E80" s="825" t="s">
        <v>2746</v>
      </c>
      <c r="F80" s="2678" t="s">
        <v>2747</v>
      </c>
      <c r="G80" s="824" t="s">
        <v>2768</v>
      </c>
      <c r="H80" s="2679" t="s">
        <v>2769</v>
      </c>
      <c r="I80" s="824" t="s">
        <v>2770</v>
      </c>
      <c r="J80" s="588" t="s">
        <v>2404</v>
      </c>
      <c r="K80" s="588" t="s">
        <v>2405</v>
      </c>
      <c r="L80" s="588" t="s">
        <v>2406</v>
      </c>
      <c r="M80" s="588" t="s">
        <v>2407</v>
      </c>
      <c r="N80" s="588" t="s">
        <v>2408</v>
      </c>
      <c r="Z80" s="2514"/>
      <c r="AA80" s="2591"/>
      <c r="AG80" s="2667"/>
      <c r="AK80" s="2591"/>
    </row>
    <row r="81" spans="1:37" ht="38.25">
      <c r="A81" s="2677" t="s">
        <v>2777</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2757</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2758</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2774</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2764</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2765</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2762</v>
      </c>
      <c r="B87" s="2683" t="s">
        <v>2763</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2778</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2779</v>
      </c>
      <c r="B90" s="3085"/>
      <c r="C90" s="3085"/>
      <c r="D90" s="3085"/>
      <c r="E90" s="3085"/>
      <c r="F90" s="3085"/>
      <c r="G90" s="3085"/>
      <c r="H90" s="3085"/>
      <c r="I90" s="3085"/>
      <c r="J90" s="3085"/>
      <c r="K90" s="2694"/>
      <c r="L90" s="2694"/>
      <c r="M90" s="2694"/>
      <c r="N90" s="2694"/>
    </row>
    <row r="91" spans="1:37">
      <c r="A91" s="3087" t="s">
        <v>2780</v>
      </c>
      <c r="B91" s="3087" t="s">
        <v>2781</v>
      </c>
      <c r="C91" s="2642" t="s">
        <v>2782</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2783</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2784</v>
      </c>
      <c r="B101" s="2701" t="s">
        <v>2785</v>
      </c>
      <c r="C101" s="2702">
        <f>$G$3</f>
        <v>3.5</v>
      </c>
      <c r="D101" s="2702">
        <f t="shared" ref="D101:N101" si="31">$G$3</f>
        <v>3.5</v>
      </c>
      <c r="E101" s="2702">
        <f t="shared" si="31"/>
        <v>3.5</v>
      </c>
      <c r="F101" s="2702">
        <f t="shared" si="31"/>
        <v>3.5</v>
      </c>
      <c r="G101" s="2702">
        <f t="shared" si="31"/>
        <v>3.5</v>
      </c>
      <c r="H101" s="2702">
        <f t="shared" si="31"/>
        <v>3.5</v>
      </c>
      <c r="I101" s="2702">
        <f t="shared" si="31"/>
        <v>3.5</v>
      </c>
      <c r="J101" s="2702">
        <f t="shared" si="31"/>
        <v>3.5</v>
      </c>
      <c r="K101" s="2702">
        <f t="shared" si="31"/>
        <v>3.5</v>
      </c>
      <c r="L101" s="2702">
        <f t="shared" si="31"/>
        <v>3.5</v>
      </c>
      <c r="M101" s="2702">
        <f t="shared" si="31"/>
        <v>3.5</v>
      </c>
      <c r="N101" s="2702">
        <f t="shared" si="31"/>
        <v>3.5</v>
      </c>
    </row>
    <row r="102" spans="1:14">
      <c r="A102" s="3089"/>
      <c r="B102" s="2697">
        <v>1</v>
      </c>
      <c r="C102" s="2698">
        <f>1.9362/C101</f>
        <v>0.55320000000000003</v>
      </c>
      <c r="D102" s="2698">
        <f>1.9362/D101</f>
        <v>0.55320000000000003</v>
      </c>
      <c r="E102" s="2698">
        <f>1.8629/E101</f>
        <v>0.53225714285714287</v>
      </c>
      <c r="F102" s="2698">
        <f>1.8629/F101</f>
        <v>0.53225714285714287</v>
      </c>
      <c r="G102" s="2698">
        <f>1.8629/G101</f>
        <v>0.53225714285714287</v>
      </c>
      <c r="H102" s="2698">
        <f>1.8629/H101</f>
        <v>0.53225714285714287</v>
      </c>
      <c r="I102" s="2698">
        <f>1.8629/I101</f>
        <v>0.53225714285714287</v>
      </c>
      <c r="J102" s="2698">
        <f>1.942/J101</f>
        <v>0.55485714285714283</v>
      </c>
      <c r="K102" s="2698">
        <f>1.942/K101</f>
        <v>0.55485714285714283</v>
      </c>
      <c r="L102" s="2698">
        <f>1.942/L101</f>
        <v>0.55485714285714283</v>
      </c>
      <c r="M102" s="2698">
        <f>1.942/M101</f>
        <v>0.55485714285714283</v>
      </c>
      <c r="N102" s="2698">
        <f>1.942/N101</f>
        <v>0.55485714285714283</v>
      </c>
    </row>
    <row r="103" spans="1:14">
      <c r="A103" s="3089"/>
      <c r="B103" s="2697">
        <v>2</v>
      </c>
      <c r="C103" s="2698">
        <f>1.4198/C101</f>
        <v>0.40565714285714283</v>
      </c>
      <c r="D103" s="2698">
        <f>1.4198/D101</f>
        <v>0.40565714285714283</v>
      </c>
      <c r="E103" s="2698">
        <f>1.3372/E101</f>
        <v>0.38205714285714282</v>
      </c>
      <c r="F103" s="2698">
        <f>1.3372/F101</f>
        <v>0.38205714285714282</v>
      </c>
      <c r="G103" s="2698">
        <f>1.3372/G101</f>
        <v>0.38205714285714282</v>
      </c>
      <c r="H103" s="2698">
        <f>1.3372/H101</f>
        <v>0.38205714285714282</v>
      </c>
      <c r="I103" s="2698">
        <f>1.3372/I101</f>
        <v>0.38205714285714282</v>
      </c>
      <c r="J103" s="2698">
        <f>1.2799/J101</f>
        <v>0.36568571428571428</v>
      </c>
      <c r="K103" s="2698">
        <f>1.2799/K101</f>
        <v>0.36568571428571428</v>
      </c>
      <c r="L103" s="2698">
        <f>1.2799/L101</f>
        <v>0.36568571428571428</v>
      </c>
      <c r="M103" s="2698">
        <f>1.2799/M101</f>
        <v>0.36568571428571428</v>
      </c>
      <c r="N103" s="2698">
        <f>1.2799/N101</f>
        <v>0.36568571428571428</v>
      </c>
    </row>
    <row r="104" spans="1:14">
      <c r="A104" s="3089"/>
      <c r="B104" s="2697">
        <v>3</v>
      </c>
      <c r="C104" s="2698">
        <f>1.1594/C101</f>
        <v>0.33125714285714286</v>
      </c>
      <c r="D104" s="2698">
        <f>1.1594/D101</f>
        <v>0.33125714285714286</v>
      </c>
      <c r="E104" s="2698">
        <f>1.0788/E101</f>
        <v>0.30822857142857141</v>
      </c>
      <c r="F104" s="2698">
        <f>1.0788/F101</f>
        <v>0.30822857142857141</v>
      </c>
      <c r="G104" s="2698">
        <f>1.0788/G101</f>
        <v>0.30822857142857141</v>
      </c>
      <c r="H104" s="2698">
        <f>1.0788/H101</f>
        <v>0.30822857142857141</v>
      </c>
      <c r="I104" s="2698">
        <f>1.0788/I101</f>
        <v>0.30822857142857141</v>
      </c>
      <c r="J104" s="2698">
        <f>1.0072/J101</f>
        <v>0.28777142857142862</v>
      </c>
      <c r="K104" s="2698">
        <f>1.0072/K101</f>
        <v>0.28777142857142862</v>
      </c>
      <c r="L104" s="2698">
        <f>1.0072/L101</f>
        <v>0.28777142857142862</v>
      </c>
      <c r="M104" s="2698">
        <f>1.0072/M101</f>
        <v>0.28777142857142862</v>
      </c>
      <c r="N104" s="2698">
        <f>1.0072/N101</f>
        <v>0.28777142857142862</v>
      </c>
    </row>
    <row r="105" spans="1:14">
      <c r="A105" s="3089"/>
      <c r="B105" s="2697">
        <v>4</v>
      </c>
      <c r="C105" s="2698">
        <f>0.9622/C101</f>
        <v>0.27491428571428572</v>
      </c>
      <c r="D105" s="2698">
        <f>0.9622/D101</f>
        <v>0.27491428571428572</v>
      </c>
      <c r="E105" s="2698">
        <f>0.8656/E101</f>
        <v>0.24731428571428574</v>
      </c>
      <c r="F105" s="2698">
        <f>0.8656/F101</f>
        <v>0.24731428571428574</v>
      </c>
      <c r="G105" s="2698">
        <f>0.8656/G101</f>
        <v>0.24731428571428574</v>
      </c>
      <c r="H105" s="2698">
        <f>0.8656/H101</f>
        <v>0.24731428571428574</v>
      </c>
      <c r="I105" s="2698">
        <f>0.8656/I101</f>
        <v>0.24731428571428574</v>
      </c>
      <c r="J105" s="2698">
        <f>0.7525/J101</f>
        <v>0.215</v>
      </c>
      <c r="K105" s="2698">
        <f>0.7525/K101</f>
        <v>0.215</v>
      </c>
      <c r="L105" s="2698">
        <f>0.7525/L101</f>
        <v>0.215</v>
      </c>
      <c r="M105" s="2698">
        <f>0.7525/M101</f>
        <v>0.215</v>
      </c>
      <c r="N105" s="2698">
        <f>0.7525/N101</f>
        <v>0.215</v>
      </c>
    </row>
    <row r="106" spans="1:14">
      <c r="A106" s="3089"/>
      <c r="B106" s="2697">
        <v>5</v>
      </c>
      <c r="C106" s="2698">
        <f>0.8417/C101</f>
        <v>0.24048571428571427</v>
      </c>
      <c r="D106" s="2698">
        <f>0.8417/D101</f>
        <v>0.24048571428571427</v>
      </c>
      <c r="E106" s="2698">
        <f>0.7371/E101</f>
        <v>0.21059999999999998</v>
      </c>
      <c r="F106" s="2698">
        <f>0.7371/F101</f>
        <v>0.21059999999999998</v>
      </c>
      <c r="G106" s="2698">
        <f>0.7371/G101</f>
        <v>0.21059999999999998</v>
      </c>
      <c r="H106" s="2698">
        <f>0.7371/H101</f>
        <v>0.21059999999999998</v>
      </c>
      <c r="I106" s="2698">
        <f>0.7371/I101</f>
        <v>0.21059999999999998</v>
      </c>
      <c r="J106" s="2698">
        <f>0.5659/J101</f>
        <v>0.16168571428571427</v>
      </c>
      <c r="K106" s="2698">
        <f>0.5659/K101</f>
        <v>0.16168571428571427</v>
      </c>
      <c r="L106" s="2698">
        <f>0.5659/L101</f>
        <v>0.16168571428571427</v>
      </c>
      <c r="M106" s="2698">
        <f>0.5659/M101</f>
        <v>0.16168571428571427</v>
      </c>
      <c r="N106" s="2698">
        <f>0.5659/N101</f>
        <v>0.16168571428571427</v>
      </c>
    </row>
    <row r="107" spans="1:14">
      <c r="A107" s="3089"/>
      <c r="B107" s="2697">
        <v>6</v>
      </c>
      <c r="C107" s="2698">
        <f>0.7608/C101</f>
        <v>0.21737142857142858</v>
      </c>
      <c r="D107" s="2698">
        <f>0.7608/D101</f>
        <v>0.21737142857142858</v>
      </c>
      <c r="E107" s="2698">
        <f>0.6482/E101</f>
        <v>0.1852</v>
      </c>
      <c r="F107" s="2698">
        <f>0.6482/F101</f>
        <v>0.1852</v>
      </c>
      <c r="G107" s="2698">
        <f>0.6482/G101</f>
        <v>0.1852</v>
      </c>
      <c r="H107" s="2698">
        <f>0.6482/H101</f>
        <v>0.1852</v>
      </c>
      <c r="I107" s="2698">
        <f>0.6482/I101</f>
        <v>0.1852</v>
      </c>
      <c r="J107" s="2698">
        <f>0.4525/J101</f>
        <v>0.12928571428571428</v>
      </c>
      <c r="K107" s="2698">
        <f>0.4525/K101</f>
        <v>0.12928571428571428</v>
      </c>
      <c r="L107" s="2698">
        <f>0.4525/L101</f>
        <v>0.12928571428571428</v>
      </c>
      <c r="M107" s="2698">
        <f>0.4525/M101</f>
        <v>0.12928571428571428</v>
      </c>
      <c r="N107" s="2698">
        <f>0.4525/N101</f>
        <v>0.12928571428571428</v>
      </c>
    </row>
    <row r="108" spans="1:14">
      <c r="A108" s="3089"/>
      <c r="B108" s="3091" t="s">
        <v>2786</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0.21757622857142858</v>
      </c>
      <c r="D109" s="2700">
        <f>(-0.163*(D108^2)-0.59*D108+7617)*(10^(-4))/D101</f>
        <v>0.21757622857142858</v>
      </c>
      <c r="E109" s="2700">
        <f>(-0.161*(E108^2)-7.509*E108+6533)*(10^(-4))/E101</f>
        <v>0.18620965714285714</v>
      </c>
      <c r="F109" s="2700">
        <f>(-0.161*(F108^2)-7.509*F108+6533)*(10^(-4))/F101</f>
        <v>0.18620965714285714</v>
      </c>
      <c r="G109" s="2700">
        <f>(-0.161*(G108^2)-7.509*G108+6533)*(10^(-4))/G101</f>
        <v>0.18620965714285714</v>
      </c>
      <c r="H109" s="2700">
        <f>(-0.161*(H108^2)-7.509*H108+6533)*(10^(-4))/H101</f>
        <v>0.18620965714285714</v>
      </c>
      <c r="I109" s="2700">
        <f>(-0.161*(I108^2)-7.509*I108+6533)*(10^(-4))/I101</f>
        <v>0.18620965714285714</v>
      </c>
      <c r="J109" s="2700">
        <f>(-0.214*(J108^2)-21.991*J108+4665)*(10^(-4))/J101</f>
        <v>0.13200462857142858</v>
      </c>
      <c r="K109" s="2700">
        <f>(-0.214*(K108^2)-21.991*K108+4665)*(10^(-4))/K101</f>
        <v>0.13200462857142858</v>
      </c>
      <c r="L109" s="2700">
        <f>(-0.214*(L108^2)-21.991*L108+4665)*(10^(-4))/L101</f>
        <v>0.13200462857142858</v>
      </c>
      <c r="M109" s="2700">
        <f>(-0.214*(M108^2)-21.991*M108+4665)*(10^(-4))/M101</f>
        <v>0.13200462857142858</v>
      </c>
      <c r="N109" s="2700">
        <f>(-0.214*(N108^2)-21.991*N108+4665)*(10^(-4))/N101</f>
        <v>0.13200462857142858</v>
      </c>
    </row>
    <row r="110" spans="1:14">
      <c r="A110" s="3086" t="s">
        <v>2787</v>
      </c>
      <c r="B110" s="3086"/>
      <c r="C110" s="3086"/>
      <c r="D110" s="3086"/>
      <c r="E110" s="3086"/>
      <c r="F110" s="3086"/>
      <c r="G110" s="3086"/>
      <c r="H110" s="3086"/>
      <c r="I110" s="3086"/>
      <c r="J110" s="3086"/>
      <c r="K110" s="2703"/>
      <c r="L110" s="2703"/>
      <c r="M110" s="2703"/>
      <c r="N110" s="2703"/>
    </row>
    <row r="112" spans="1:14" ht="13.5" thickBot="1"/>
    <row r="113" spans="1:13" ht="25.5" thickBot="1">
      <c r="A113" s="929" t="s">
        <v>2788</v>
      </c>
      <c r="B113" s="1381">
        <f>G3</f>
        <v>3.5</v>
      </c>
      <c r="C113" s="930" t="s">
        <v>2789</v>
      </c>
      <c r="D113" s="931">
        <f>SUMPRODUCT((A115:A118=F113)*(B114:M114=H113)*B115:M118)</f>
        <v>0.90700000000000003</v>
      </c>
      <c r="E113" s="2705" t="s">
        <v>2675</v>
      </c>
      <c r="F113" s="2706" t="str">
        <f>E2</f>
        <v>办公</v>
      </c>
      <c r="G113" s="2705" t="s">
        <v>2609</v>
      </c>
      <c r="H113" s="2706" t="str">
        <f>G2</f>
        <v>二级</v>
      </c>
      <c r="I113" s="2705"/>
      <c r="J113" s="2707"/>
      <c r="K113" s="2707"/>
      <c r="L113" s="2707"/>
      <c r="M113" s="2707"/>
    </row>
    <row r="114" spans="1:13">
      <c r="A114" s="934"/>
      <c r="B114" s="2708" t="s">
        <v>2790</v>
      </c>
      <c r="C114" s="2708" t="s">
        <v>2791</v>
      </c>
      <c r="D114" s="2708" t="s">
        <v>2792</v>
      </c>
      <c r="E114" s="2709" t="s">
        <v>2793</v>
      </c>
      <c r="F114" s="2709" t="s">
        <v>2794</v>
      </c>
      <c r="G114" s="2709" t="s">
        <v>2795</v>
      </c>
      <c r="H114" s="2710" t="s">
        <v>2796</v>
      </c>
      <c r="I114" s="2710" t="s">
        <v>2797</v>
      </c>
      <c r="J114" s="2711" t="s">
        <v>2798</v>
      </c>
      <c r="K114" s="2711" t="s">
        <v>2799</v>
      </c>
      <c r="L114" s="2711" t="s">
        <v>2800</v>
      </c>
      <c r="M114" s="2712" t="s">
        <v>2801</v>
      </c>
    </row>
    <row r="115" spans="1:13">
      <c r="A115" s="935" t="s">
        <v>2676</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2677</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2678</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2679</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717677</v>
      </c>
      <c r="C2" s="164" t="str">
        <f>'数据-取费表'!B3</f>
        <v>元</v>
      </c>
      <c r="D2" s="2339" t="s">
        <v>1257</v>
      </c>
      <c r="E2" s="1548">
        <f ca="1">SUMIF(INDIRECT("'"&amp;G2&amp;"'"&amp;"!A:A"),"承租人权益价值",INDIRECT("'"&amp;G2&amp;"'"&amp;"!c:c"))</f>
        <v>-930440</v>
      </c>
      <c r="F2" s="2340" t="str">
        <f>C2</f>
        <v>元</v>
      </c>
      <c r="G2" s="1912" t="s">
        <v>2863</v>
      </c>
    </row>
    <row r="3" spans="1:7" s="165" customFormat="1" ht="18" customHeight="1" thickBot="1">
      <c r="A3" s="168" t="s">
        <v>2009</v>
      </c>
      <c r="B3" s="169">
        <f ca="1">ROUND(C52/IF(B1="仅计算典型户型",'数据-取费表'!E5,'数据-取费表'!B5),0)</f>
        <v>45222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441739</v>
      </c>
      <c r="D5" s="196" t="s">
        <v>2014</v>
      </c>
      <c r="E5" s="1534" t="s">
        <v>2015</v>
      </c>
      <c r="F5" s="1534" t="s">
        <v>2016</v>
      </c>
      <c r="G5" s="175"/>
    </row>
    <row r="6" spans="1:7" s="176" customFormat="1" ht="13.5" customHeight="1">
      <c r="A6" s="177" t="s">
        <v>2017</v>
      </c>
      <c r="B6" s="178" t="s">
        <v>2018</v>
      </c>
      <c r="C6" s="1533">
        <f ca="1">基准地价修正!B2</f>
        <v>428665</v>
      </c>
      <c r="D6" s="1535"/>
      <c r="E6" s="1536"/>
      <c r="F6" s="1536"/>
      <c r="G6" s="180"/>
    </row>
    <row r="7" spans="1:7" s="176" customFormat="1" ht="13.5" customHeight="1">
      <c r="A7" s="177" t="s">
        <v>2019</v>
      </c>
      <c r="B7" s="178" t="s">
        <v>2020</v>
      </c>
      <c r="C7" s="200">
        <f ca="1">ROUND(C6*F7,0)</f>
        <v>13074</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2928</v>
      </c>
    </row>
    <row r="9" spans="1:7" s="176" customFormat="1" ht="13.5" customHeight="1">
      <c r="A9" s="1306" t="s">
        <v>954</v>
      </c>
      <c r="B9" s="182" t="s">
        <v>2023</v>
      </c>
      <c r="C9" s="1539">
        <f>ROUND(D9*E9,0)</f>
        <v>2539</v>
      </c>
      <c r="D9" s="1540">
        <f>IF('数据-取费表'!B10="住宅",IF(B1="仅计算典型户型",'数据-取费表'!E5,'数据-取费表'!B5),0)</f>
        <v>15.87</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15.87</v>
      </c>
      <c r="E19" s="196">
        <f>'数据-取费表'!E15</f>
        <v>0</v>
      </c>
      <c r="F19" s="197"/>
      <c r="G19" s="2341" t="s">
        <v>2939</v>
      </c>
    </row>
    <row r="20" spans="1:7" s="176" customFormat="1" ht="13.5" customHeight="1">
      <c r="A20" s="205" t="s">
        <v>2036</v>
      </c>
      <c r="B20" s="174" t="s">
        <v>2037</v>
      </c>
      <c r="C20" s="184">
        <f ca="1">ROUND((C5+C19)*F20,0)</f>
        <v>8835</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43382</v>
      </c>
      <c r="D22" s="186">
        <f ca="1">C26</f>
        <v>1E-3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42962</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420</v>
      </c>
      <c r="D25" s="189"/>
      <c r="E25" s="192"/>
      <c r="F25" s="190"/>
      <c r="G25" s="193" t="s">
        <v>2051</v>
      </c>
    </row>
    <row r="26" spans="1:7" s="176" customFormat="1">
      <c r="A26" s="177" t="s">
        <v>2052</v>
      </c>
      <c r="B26" s="178" t="s">
        <v>2053</v>
      </c>
      <c r="C26" s="189">
        <f ca="1">ROUND(IF('数据-取费表'!B23&lt;=1,F21*F22*'数据-取费表'!B24/2,F21*(POWER((1+F22),'数据-取费表'!B24/2)-1)),4)</f>
        <v>1E-3</v>
      </c>
      <c r="D26" s="189"/>
      <c r="E26" s="192"/>
      <c r="F26" s="190"/>
      <c r="G26" s="194"/>
    </row>
    <row r="27" spans="1:7" s="176" customFormat="1" ht="25.5">
      <c r="A27" s="1307" t="s">
        <v>2054</v>
      </c>
      <c r="B27" s="195" t="s">
        <v>2055</v>
      </c>
      <c r="C27" s="196">
        <f ca="1">C28</f>
        <v>112644</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112644</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658847</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55307</v>
      </c>
      <c r="D33" s="184"/>
      <c r="E33" s="1534"/>
      <c r="F33" s="192"/>
      <c r="G33" s="185"/>
    </row>
    <row r="34" spans="1:7" s="207" customFormat="1" ht="13.5" customHeight="1">
      <c r="A34" s="177" t="s">
        <v>2045</v>
      </c>
      <c r="B34" s="178" t="s">
        <v>2067</v>
      </c>
      <c r="C34" s="200">
        <f>IF(B1="仅计算典型户型",'数据-取费表'!F18,'数据-取费表'!E18)</f>
        <v>47610</v>
      </c>
      <c r="D34" s="1535"/>
      <c r="E34" s="200"/>
      <c r="F34" s="1546" t="str">
        <f>IF('数据-取费表'!B25=0,"",'数据-取费表'!E20)</f>
        <v/>
      </c>
      <c r="G34" s="180"/>
    </row>
    <row r="35" spans="1:7" ht="13.5" customHeight="1">
      <c r="A35" s="177" t="s">
        <v>2019</v>
      </c>
      <c r="B35" s="178" t="s">
        <v>2068</v>
      </c>
      <c r="C35" s="200">
        <f>ROUND(C34*F35,0)</f>
        <v>1428</v>
      </c>
      <c r="D35" s="200"/>
      <c r="E35" s="200"/>
      <c r="F35" s="1547">
        <f>'数据-取费表'!E21</f>
        <v>0.03</v>
      </c>
      <c r="G35" s="180" t="s">
        <v>2069</v>
      </c>
    </row>
    <row r="36" spans="1:7" ht="24">
      <c r="A36" s="177" t="s">
        <v>2021</v>
      </c>
      <c r="B36" s="178" t="s">
        <v>2070</v>
      </c>
      <c r="C36" s="200">
        <f>ROUND(IF('数据-取费表'!B10="住宅",C34*F36,0),0)</f>
        <v>2381</v>
      </c>
      <c r="D36" s="200"/>
      <c r="E36" s="200"/>
      <c r="F36" s="1547">
        <f>'数据-取费表'!E22</f>
        <v>0.05</v>
      </c>
      <c r="G36" s="208" t="s">
        <v>2071</v>
      </c>
    </row>
    <row r="37" spans="1:7" s="207" customFormat="1" ht="13.5" customHeight="1">
      <c r="A37" s="177" t="s">
        <v>2052</v>
      </c>
      <c r="B37" s="178" t="s">
        <v>2072</v>
      </c>
      <c r="C37" s="200">
        <f>ROUND(E37*D37,0)</f>
        <v>3174</v>
      </c>
      <c r="D37" s="1535">
        <f>IF(B1="仅计算典型户型",'数据-取费表'!E5,'数据-取费表'!B5)</f>
        <v>15.87</v>
      </c>
      <c r="E37" s="200">
        <f>'数据-取费表'!E23</f>
        <v>200</v>
      </c>
      <c r="F37" s="1547"/>
      <c r="G37" s="209" t="s">
        <v>2073</v>
      </c>
    </row>
    <row r="38" spans="1:7" ht="13.5" customHeight="1">
      <c r="A38" s="177" t="s">
        <v>2074</v>
      </c>
      <c r="B38" s="178" t="s">
        <v>2075</v>
      </c>
      <c r="C38" s="200">
        <f>ROUND(C34*F38,0)</f>
        <v>714</v>
      </c>
      <c r="D38" s="200"/>
      <c r="E38" s="200"/>
      <c r="F38" s="1547">
        <f>'数据-取费表'!E24</f>
        <v>1.4999999999999999E-2</v>
      </c>
      <c r="G38" s="180" t="s">
        <v>2069</v>
      </c>
    </row>
    <row r="39" spans="1:7" s="176" customFormat="1" ht="13.5" customHeight="1">
      <c r="A39" s="205" t="s">
        <v>2034</v>
      </c>
      <c r="B39" s="174" t="s">
        <v>2037</v>
      </c>
      <c r="C39" s="184">
        <f>ROUND(C33*F20,0)</f>
        <v>1106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2680</v>
      </c>
      <c r="D41" s="186">
        <f ca="1">C44</f>
        <v>1E-3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2627</v>
      </c>
      <c r="D42" s="189"/>
      <c r="E42" s="189"/>
      <c r="F42" s="190"/>
      <c r="G42" s="3105" t="s">
        <v>2079</v>
      </c>
    </row>
    <row r="43" spans="1:7" ht="13.5" customHeight="1">
      <c r="A43" s="177" t="s">
        <v>2019</v>
      </c>
      <c r="B43" s="178" t="s">
        <v>2048</v>
      </c>
      <c r="C43" s="189">
        <f ca="1">ROUND(IF('数据-取费表'!B23&lt;=1,C39*F22*'数据-取费表'!B22/2,C39*(POWER((1+F22),'数据-取费表'!B22/2)-1)),0)</f>
        <v>53</v>
      </c>
      <c r="D43" s="189"/>
      <c r="E43" s="189"/>
      <c r="F43" s="190"/>
      <c r="G43" s="3106"/>
    </row>
    <row r="44" spans="1:7" ht="13.5" customHeight="1">
      <c r="A44" s="177" t="s">
        <v>2021</v>
      </c>
      <c r="B44" s="178" t="s">
        <v>2050</v>
      </c>
      <c r="C44" s="189">
        <f ca="1">ROUND(IF('数据-取费表'!B23&lt;=1,C40*F22*'数据-取费表'!B22/2,C40*(POWER((1+F22),'数据-取费表'!B22/2)-1)),4)</f>
        <v>1E-3</v>
      </c>
      <c r="D44" s="189"/>
      <c r="E44" s="189"/>
      <c r="F44" s="190"/>
      <c r="G44" s="3107"/>
    </row>
    <row r="45" spans="1:7" s="176" customFormat="1" ht="13.5" customHeight="1">
      <c r="A45" s="205" t="s">
        <v>2043</v>
      </c>
      <c r="B45" s="195" t="s">
        <v>2055</v>
      </c>
      <c r="C45" s="196">
        <f>C46</f>
        <v>14103</v>
      </c>
      <c r="D45" s="186">
        <f>C47</f>
        <v>5.0000000000000001E-3</v>
      </c>
      <c r="E45" s="187" t="s">
        <v>2077</v>
      </c>
      <c r="F45" s="197"/>
      <c r="G45" s="198" t="s">
        <v>2080</v>
      </c>
    </row>
    <row r="46" spans="1:7" s="176" customFormat="1" ht="13.5" customHeight="1">
      <c r="A46" s="177" t="s">
        <v>2045</v>
      </c>
      <c r="B46" s="199" t="s">
        <v>2081</v>
      </c>
      <c r="C46" s="200">
        <f>ROUND((C33+C39)*F27,0)</f>
        <v>14103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79500</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58830</v>
      </c>
      <c r="D51" s="184"/>
      <c r="E51" s="184"/>
      <c r="F51" s="211"/>
      <c r="G51" s="185" t="s">
        <v>2093</v>
      </c>
    </row>
    <row r="52" spans="1:7" s="173" customFormat="1" ht="16.5" thickBot="1">
      <c r="A52" s="212" t="s">
        <v>2094</v>
      </c>
      <c r="B52" s="213"/>
      <c r="C52" s="214">
        <f ca="1">C31+C51</f>
        <v>717677</v>
      </c>
      <c r="D52" s="213"/>
      <c r="E52" s="213"/>
      <c r="F52" s="213"/>
      <c r="G52" s="215"/>
    </row>
    <row r="55" spans="1:7" ht="15">
      <c r="B55" s="217" t="s">
        <v>2095</v>
      </c>
      <c r="C55" s="218"/>
    </row>
    <row r="56" spans="1:7">
      <c r="B56" s="220" t="s">
        <v>2096</v>
      </c>
      <c r="C56" s="221">
        <f ca="1">ROUND(C51/C52,3)</f>
        <v>8.2000000000000003E-2</v>
      </c>
    </row>
    <row r="57" spans="1:7">
      <c r="B57" s="220" t="s">
        <v>2097</v>
      </c>
      <c r="C57" s="222">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L93" sqref="L93"/>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15.87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86.443899999999999</v>
      </c>
      <c r="C5" s="1836">
        <f ca="1">ROUND(B5*10000/$B$1,0)</f>
        <v>54470</v>
      </c>
      <c r="D5" s="1836" t="e">
        <f ca="1">ROUND(B5*10000/$B$2,0)</f>
        <v>#DIV/0!</v>
      </c>
      <c r="E5" s="1837"/>
      <c r="F5" s="1841"/>
      <c r="G5" s="1841"/>
    </row>
    <row r="6" spans="1:9" ht="16.5">
      <c r="A6" s="1836" t="s">
        <v>1237</v>
      </c>
      <c r="B6" s="1836">
        <f ca="1">SUM(G14:G23)</f>
        <v>86.443899999999999</v>
      </c>
      <c r="C6" s="1836">
        <f t="shared" ref="C6:C8" ca="1" si="0">ROUND(B6*10000/$B$1,0)</f>
        <v>54470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15.87</v>
      </c>
      <c r="C14" s="1840">
        <f>项目基本情况!C13</f>
        <v>0</v>
      </c>
      <c r="D14" s="1840">
        <f ca="1">IF('数据-取费表'!B3="万元",IF(A14="估价对象1（结果表）",结果表!H121,'结果表 (1修多)'!H124),IF(A14="估价对象1（结果表）",结果表!H121,'结果表 (1修多)'!H124)/10000)</f>
        <v>86.443899999999999</v>
      </c>
      <c r="E14" s="1840">
        <f ca="1">ROUND(D14*10000/B14,0)</f>
        <v>54470</v>
      </c>
      <c r="F14" s="1840" t="e">
        <f ca="1">ROUND(D14*10000/C14,0)</f>
        <v>#DIV/0!</v>
      </c>
      <c r="G14" s="1840">
        <f ca="1">IF('数据-取费表'!B3="万元",IF(A14="估价对象1（结果表）",结果表!D125,'结果表 (1修多)'!D128),IF(A14="估价对象1（结果表）",结果表!D125,'结果表 (1修多)'!D128)/10000)</f>
        <v>86.443899999999999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15.87</v>
      </c>
      <c r="D6" s="2768"/>
      <c r="E6" s="1933"/>
    </row>
    <row r="7" spans="1:5" ht="14.25">
      <c r="A7" s="1933"/>
      <c r="B7" s="2762" t="s">
        <v>785</v>
      </c>
      <c r="C7" s="1939" t="str">
        <f>IF('数据-取费表'!B3="万元","总价（万元）","总价（元）")</f>
        <v>总价（元）</v>
      </c>
      <c r="D7" s="1940">
        <f ca="1">IF('数据-取费表'!E3="否",结果表!I102,'结果表 (1修多)'!I103)</f>
        <v>864439</v>
      </c>
      <c r="E7" s="1933"/>
    </row>
    <row r="8" spans="1:5" ht="28.5">
      <c r="A8" s="1933"/>
      <c r="B8" s="2762"/>
      <c r="C8" s="1941" t="s">
        <v>1179</v>
      </c>
      <c r="D8" s="1942" t="str">
        <f ca="1">IF('数据-取费表'!B3="万元",NUMBERSTRING(INT(D7*10000),2)&amp;"元整",NUMBERSTRING(INT(D7),2)&amp;"元整")</f>
        <v>捌拾陆万肆仟肆佰叁拾玖元整</v>
      </c>
      <c r="E8" s="1933"/>
    </row>
    <row r="9" spans="1:5" ht="14.25">
      <c r="A9" s="1933"/>
      <c r="B9" s="2762"/>
      <c r="C9" s="1943" t="s">
        <v>1277</v>
      </c>
      <c r="D9" s="1940">
        <f ca="1">IF('数据-取费表'!E3="否",结果表!I103,'结果表 (1修多)'!I104)</f>
        <v>54470</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864439</v>
      </c>
      <c r="E15" s="1933"/>
    </row>
    <row r="16" spans="1:5" ht="28.5">
      <c r="A16" s="1933"/>
      <c r="B16" s="2769"/>
      <c r="C16" s="1941" t="s">
        <v>1179</v>
      </c>
      <c r="D16" s="1940" t="str">
        <f ca="1">IF('数据-取费表'!B3="万元",NUMBERSTRING(INT(D15*10000),2)&amp;"元整",NUMBERSTRING(INT(D15),2)&amp;"元整")</f>
        <v>捌拾陆万肆仟肆佰叁拾玖元整</v>
      </c>
      <c r="E16" s="1933"/>
    </row>
    <row r="17" spans="1:5" ht="14.25">
      <c r="A17" s="1933"/>
      <c r="B17" s="2769"/>
      <c r="C17" s="1943" t="s">
        <v>1277</v>
      </c>
      <c r="D17" s="1940">
        <f ca="1">IF('数据-取费表'!E3="否",结果表!I111,'结果表 (1修多)'!I112)</f>
        <v>54470</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864439</v>
      </c>
      <c r="E28" s="1933"/>
    </row>
    <row r="29" spans="1:5" ht="28.5">
      <c r="A29" s="1933"/>
      <c r="B29" s="2771"/>
      <c r="C29" s="1952" t="s">
        <v>1179</v>
      </c>
      <c r="D29" s="1953" t="str">
        <f ca="1">IF('数据-取费表'!B3="万元",NUMBERSTRING(INT(D28*10000),2)&amp;"元整",NUMBERSTRING(INT(D28),2)&amp;"元整")</f>
        <v>捌拾陆万肆仟肆佰叁拾玖元整</v>
      </c>
      <c r="E29" s="1933"/>
    </row>
    <row r="30" spans="1:5" ht="14.25">
      <c r="A30" s="1933"/>
      <c r="B30" s="2772"/>
      <c r="C30" s="1943" t="s">
        <v>1182</v>
      </c>
      <c r="D30" s="1954">
        <f ca="1">IF('数据-取费表'!E3="否",结果表!I103,'结果表 (1修多)'!I104)</f>
        <v>54470</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864439</v>
      </c>
      <c r="E36" s="1933"/>
    </row>
    <row r="37" spans="1:5" ht="28.5">
      <c r="A37" s="1933"/>
      <c r="B37" s="2773"/>
      <c r="C37" s="1952" t="s">
        <v>1179</v>
      </c>
      <c r="D37" s="1957" t="str">
        <f ca="1">IF('数据-取费表'!B3="万元",NUMBERSTRING(INT(D36*10000),2)&amp;"元整",NUMBERSTRING(INT(D36),2)&amp;"元整")</f>
        <v>捌拾陆万肆仟肆佰叁拾玖元整</v>
      </c>
      <c r="E37" s="1933"/>
    </row>
    <row r="38" spans="1:5" ht="14.25">
      <c r="A38" s="1933"/>
      <c r="B38" s="2773"/>
      <c r="C38" s="1943" t="s">
        <v>1183</v>
      </c>
      <c r="D38" s="1954">
        <f ca="1">IF('数据-取费表'!E3="否",结果表!D113,'结果表 (1修多)'!D116)</f>
        <v>54470</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15.87</v>
      </c>
      <c r="C4" s="1050">
        <f>结果表!C121</f>
        <v>0</v>
      </c>
      <c r="D4" s="1050">
        <f ca="1">IF('数据-取费表'!E3="否",结果表!D121,'结果表 (1修多)'!D124)</f>
        <v>808243</v>
      </c>
      <c r="E4" s="1050">
        <f ca="1">IF('数据-取费表'!E3="否",结果表!E121,'结果表 (1修多)'!E124)</f>
        <v>50929</v>
      </c>
      <c r="F4" s="1050">
        <f ca="1">IF('数据-取费表'!E3="否",结果表!F121,'结果表 (1修多)'!F124)</f>
        <v>56196</v>
      </c>
      <c r="G4" s="1050">
        <f ca="1">IF('数据-取费表'!E3="否",结果表!G121,'结果表 (1修多)'!G124)</f>
        <v>3541</v>
      </c>
      <c r="H4" s="1050">
        <f ca="1">IF('数据-取费表'!E3="否",结果表!H121,'结果表 (1修多)'!H124)</f>
        <v>864439</v>
      </c>
      <c r="I4" s="1050">
        <f ca="1">IF('数据-取费表'!E3="否",结果表!I121,'结果表 (1修多)'!I124)</f>
        <v>54470</v>
      </c>
    </row>
    <row r="5" spans="1:9" ht="15">
      <c r="A5" s="2787" t="s">
        <v>1287</v>
      </c>
      <c r="B5" s="2787"/>
      <c r="C5" s="2787"/>
      <c r="D5" s="2785" t="str">
        <f ca="1">IF('数据-取费表'!E3="否",结果表!D122,'结果表 (1修多)'!D125)</f>
        <v>捌拾万捌仟贰佰肆拾叁元整</v>
      </c>
      <c r="E5" s="2785"/>
      <c r="F5" s="2785" t="str">
        <f ca="1">IF('数据-取费表'!E3="否",结果表!F122,'结果表 (1修多)'!F125)</f>
        <v>伍万陆仟壹佰玖拾陆元整</v>
      </c>
      <c r="G5" s="2785"/>
      <c r="H5" s="2785" t="str">
        <f ca="1">IF('数据-取费表'!E3="否",结果表!H122,'结果表 (1修多)'!H125)</f>
        <v>捌拾陆万肆仟肆佰叁拾玖元整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864439</v>
      </c>
      <c r="E8" s="2786"/>
      <c r="F8" s="2786"/>
      <c r="G8" s="2786"/>
      <c r="H8" s="2786"/>
      <c r="I8" s="2786"/>
    </row>
    <row r="9" spans="1:9" ht="15">
      <c r="A9" s="2787" t="s">
        <v>1287</v>
      </c>
      <c r="B9" s="2787"/>
      <c r="C9" s="2787"/>
      <c r="D9" s="2785">
        <f ca="1">IF('数据-取费表'!E3="否",结果表!D126,'结果表 (1修多)'!D129)</f>
        <v>54470</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2017-12-13T02:31:09Z</dcterms:modified>
</cp:coreProperties>
</file>