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2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假设开发法" sheetId="12" state="hidden" r:id="rId16"/>
    <sheet name="收益法" sheetId="15" r:id="rId17"/>
    <sheet name="酒店收入计算" sheetId="58" state="hidden" r:id="rId18"/>
    <sheet name="典型户型修正" sheetId="31" state="hidden" r:id="rId19"/>
    <sheet name="比较法-住宅" sheetId="21" state="hidden" r:id="rId20"/>
    <sheet name="Sheet2" sheetId="65" state="hidden" r:id="rId21"/>
    <sheet name="Sheet1" sheetId="64"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成本法" sheetId="11" r:id="rId31"/>
    <sheet name="实例" sheetId="63" r:id="rId32"/>
    <sheet name="系统读取表" sheetId="62"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31" i="1" l="1"/>
  <c r="L30" i="1"/>
  <c r="I24" i="1"/>
  <c r="D5" i="9" l="1"/>
  <c r="K60" i="15" l="1"/>
  <c r="P72" i="15" s="1"/>
  <c r="P59" i="15" l="1"/>
  <c r="A126" i="57"/>
  <c r="A123" i="9"/>
  <c r="A16" i="54"/>
  <c r="A14" i="54"/>
  <c r="A19" i="55" l="1"/>
  <c r="A13" i="55"/>
  <c r="A1" i="52"/>
  <c r="A4" i="50"/>
  <c r="A2" i="50"/>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4" i="61"/>
  <c r="F6" i="61"/>
  <c r="D5" i="61"/>
  <c r="D6" i="61"/>
  <c r="F5" i="61"/>
  <c r="D7" i="61"/>
  <c r="F3" i="61"/>
  <c r="D4" i="61"/>
  <c r="D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s="1"/>
  <c r="K62" i="43"/>
  <c r="J62" i="43"/>
  <c r="D62" i="43" s="1"/>
  <c r="M61" i="43"/>
  <c r="N61" i="43" s="1"/>
  <c r="K61" i="43"/>
  <c r="J61" i="43" s="1"/>
  <c r="D61" i="43" s="1"/>
  <c r="M60" i="43"/>
  <c r="N60" i="43" s="1"/>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F101" i="9"/>
  <c r="M4" i="43"/>
  <c r="F33" i="9"/>
  <c r="C25" i="57"/>
  <c r="F107" i="43"/>
  <c r="N102" i="43"/>
  <c r="D103" i="43"/>
  <c r="E103" i="43"/>
  <c r="M105" i="43"/>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G103" i="43" l="1"/>
  <c r="H106" i="43"/>
  <c r="K104" i="43"/>
  <c r="C102" i="43"/>
  <c r="D100" i="43"/>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D22" i="43" s="1"/>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C95" i="57"/>
  <c r="C93" i="57"/>
  <c r="C92" i="9"/>
  <c r="H7" i="35"/>
  <c r="F7" i="35"/>
  <c r="J7" i="35"/>
  <c r="AC7" i="35" s="1"/>
  <c r="V38" i="35" s="1"/>
  <c r="C7" i="39"/>
  <c r="C68" i="39" s="1"/>
  <c r="C70" i="39" s="1"/>
  <c r="C53" i="10"/>
  <c r="D123" i="9"/>
  <c r="D6" i="52" s="1"/>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H7" i="44"/>
  <c r="H12" i="44"/>
  <c r="H9" i="44"/>
  <c r="C63" i="39"/>
  <c r="G64" i="39"/>
  <c r="C64" i="39" s="1"/>
  <c r="M85" i="43"/>
  <c r="N85" i="43" s="1"/>
  <c r="K85" i="43"/>
  <c r="J85" i="43" s="1"/>
  <c r="D85" i="43" s="1"/>
  <c r="M82" i="43"/>
  <c r="N82" i="43" s="1"/>
  <c r="K83" i="43"/>
  <c r="J83" i="43" s="1"/>
  <c r="D83" i="43" s="1"/>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F48" i="43" l="1"/>
  <c r="G4" i="47"/>
  <c r="F81" i="43"/>
  <c r="G15" i="47"/>
  <c r="F59" i="43"/>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6" i="43"/>
  <c r="H49" i="43"/>
  <c r="H48" i="43"/>
  <c r="H52" i="43"/>
  <c r="H50" i="43"/>
  <c r="H53" i="43"/>
  <c r="H54" i="43"/>
  <c r="H55" i="43"/>
  <c r="H63" i="43"/>
  <c r="H60" i="43"/>
  <c r="H61" i="43"/>
  <c r="H65" i="43"/>
  <c r="H62" i="43"/>
  <c r="H59" i="43"/>
  <c r="H64" i="43"/>
  <c r="H66" i="43"/>
  <c r="H67" i="43"/>
  <c r="H85" i="43"/>
  <c r="H87" i="43"/>
  <c r="M87" i="43" s="1"/>
  <c r="N87" i="43" s="1"/>
  <c r="H83" i="43"/>
  <c r="M83" i="43" s="1"/>
  <c r="N83" i="43" s="1"/>
  <c r="H88" i="43"/>
  <c r="H81" i="43"/>
  <c r="H86" i="43"/>
  <c r="K86" i="43" s="1"/>
  <c r="J86" i="43" s="1"/>
  <c r="D86" i="43" s="1"/>
  <c r="H82" i="43"/>
  <c r="K82" i="43" s="1"/>
  <c r="J82" i="43" s="1"/>
  <c r="D82" i="43" s="1"/>
  <c r="H84" i="43"/>
  <c r="F7" i="36"/>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31" i="11" l="1"/>
  <c r="C52" i="11" s="1"/>
  <c r="B3" i="11" s="1"/>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C20" i="57"/>
  <c r="C19" i="57"/>
  <c r="E2" i="37"/>
  <c r="E2" i="36"/>
  <c r="E2" i="11"/>
  <c r="E2" i="21"/>
  <c r="E2" i="34"/>
  <c r="E2" i="33"/>
  <c r="E2" i="35"/>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C20" i="9"/>
  <c r="C19" i="9"/>
  <c r="D20" i="9"/>
  <c r="D19" i="9"/>
  <c r="C102" i="9" l="1"/>
  <c r="C101" i="9"/>
  <c r="D102" i="9"/>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<sst xmlns="http://schemas.openxmlformats.org/spreadsheetml/2006/main" count="6934" uniqueCount="2943">
  <si>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</si>
  <si>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</si>
  <si>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</si>
  <si>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</si>
  <si>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</si>
  <si>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</si>
  <si>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</si>
  <si>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</si>
  <si>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</si>
  <si>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</si>
  <si>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</si>
  <si>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</si>
  <si>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</si>
  <si>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</si>
  <si>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</si>
  <si>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</si>
  <si>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</si>
  <si>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</si>
  <si>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</si>
  <si>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</si>
  <si>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</si>
  <si>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</si>
  <si>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</si>
  <si>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</si>
  <si>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</si>
  <si>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</si>
  <si>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</si>
  <si>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</si>
  <si>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</si>
  <si>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</si>
  <si>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</si>
  <si>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</si>
  <si>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</si>
  <si>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</si>
  <si>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</si>
  <si>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</si>
  <si>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</si>
  <si>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</si>
  <si>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</si>
  <si>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</si>
  <si>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</si>
  <si>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</si>
  <si>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</si>
  <si>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</si>
  <si>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</si>
  <si>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</si>
  <si>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</si>
  <si>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</si>
  <si>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</si>
  <si>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</si>
  <si>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</si>
  <si>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</si>
  <si>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</si>
  <si>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</si>
  <si>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</si>
  <si>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</si>
  <si>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</si>
  <si>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</si>
  <si>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</si>
  <si>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</si>
  <si>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</si>
  <si>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</si>
  <si>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</si>
  <si>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</si>
  <si>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</si>
  <si>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</si>
  <si>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</si>
  <si>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</si>
  <si>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</si>
  <si>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</si>
  <si>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</si>
  <si>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</si>
  <si>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</si>
  <si>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</si>
  <si>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</si>
  <si>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</si>
  <si>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</si>
  <si>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</si>
  <si>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</si>
  <si>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</si>
  <si>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</si>
  <si>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</si>
  <si>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</si>
  <si>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</si>
  <si>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</si>
  <si>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</si>
  <si>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</si>
  <si>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</si>
  <si>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</si>
  <si>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</si>
  <si>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</si>
  <si>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</si>
  <si>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</si>
  <si>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</si>
  <si>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</si>
  <si>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</si>
  <si>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</si>
  <si>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</si>
  <si>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</si>
  <si>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</si>
  <si>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</si>
  <si>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</si>
  <si>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</si>
  <si>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</si>
  <si>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</si>
  <si>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</si>
  <si>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</si>
  <si>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</si>
  <si>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</si>
  <si>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</si>
  <si>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</si>
  <si>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</si>
  <si>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</si>
  <si>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</si>
  <si>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</si>
  <si>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</si>
  <si>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</si>
  <si>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</si>
  <si>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</si>
  <si>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</si>
  <si>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</si>
  <si>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</si>
  <si>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</si>
  <si>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</si>
  <si>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</si>
  <si>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</si>
  <si>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</si>
  <si>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</si>
  <si>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</si>
  <si>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</si>
  <si>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</si>
  <si>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</si>
  <si>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</si>
  <si>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</si>
  <si>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</si>
  <si>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</si>
  <si>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</si>
  <si>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</si>
  <si>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</si>
  <si>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</si>
  <si>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</si>
  <si>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</si>
  <si>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</si>
  <si>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</si>
  <si>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</si>
  <si>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</si>
  <si>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</si>
  <si>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</si>
  <si>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</si>
  <si>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</si>
  <si>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</si>
  <si>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</si>
  <si>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</si>
  <si>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</si>
  <si>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</si>
  <si>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</si>
  <si>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</si>
  <si>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</si>
  <si>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</si>
  <si>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</si>
  <si>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</si>
  <si>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</si>
  <si>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</si>
  <si>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</si>
  <si>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</si>
  <si>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</si>
  <si>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</si>
  <si>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</si>
  <si>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</si>
  <si>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</si>
  <si>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</si>
  <si>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</si>
  <si>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</si>
  <si>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</si>
  <si>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</si>
  <si>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</si>
  <si>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</si>
  <si>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</si>
  <si>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</si>
  <si>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</si>
  <si>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</si>
  <si>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</si>
  <si>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</si>
  <si>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</si>
  <si>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</si>
  <si>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</si>
  <si>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</si>
  <si>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</si>
  <si>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</si>
  <si>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</si>
  <si>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</si>
  <si>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</si>
  <si>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</si>
  <si>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</si>
  <si>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</si>
  <si>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</si>
  <si>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</si>
  <si>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</si>
  <si>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</si>
  <si>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</si>
  <si>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</si>
  <si>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</si>
  <si>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</si>
  <si>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</si>
  <si>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</si>
  <si>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</si>
  <si>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</si>
  <si>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</si>
  <si>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</si>
  <si>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</si>
  <si>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</si>
  <si>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</si>
  <si>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</si>
  <si>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</si>
  <si>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</si>
  <si>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</si>
  <si>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</si>
  <si>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</si>
  <si>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</si>
  <si>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</si>
  <si>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</si>
  <si>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</si>
  <si>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</si>
  <si>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</si>
  <si>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</si>
  <si>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</si>
  <si>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</si>
  <si>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</si>
  <si>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</si>
  <si>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</si>
  <si>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</si>
  <si>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</si>
  <si>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</si>
  <si>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</si>
  <si>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</si>
  <si>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</si>
  <si>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</si>
  <si>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</si>
  <si>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</si>
  <si>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</si>
  <si>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</si>
  <si>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</si>
  <si>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</si>
  <si>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</si>
  <si>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</si>
  <si>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</si>
  <si>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</si>
  <si>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</si>
  <si>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</si>
  <si>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</si>
  <si>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</si>
  <si>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</si>
  <si>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</si>
  <si>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</si>
  <si>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</si>
  <si>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</si>
  <si>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</si>
  <si>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</si>
  <si>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</si>
  <si>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</si>
  <si>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</si>
  <si>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</si>
  <si>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</si>
  <si>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</si>
  <si>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</si>
  <si>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</si>
  <si>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</si>
  <si>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</si>
  <si>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</si>
  <si>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</si>
  <si>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</si>
  <si>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</si>
  <si>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</si>
  <si>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</si>
  <si>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</si>
  <si>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</si>
  <si>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</si>
  <si>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</si>
  <si>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</si>
  <si>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</si>
  <si>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</si>
  <si>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</si>
  <si>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</si>
  <si>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</si>
  <si>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</si>
  <si>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</si>
  <si>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</si>
  <si>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</si>
  <si>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</si>
  <si>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</si>
  <si>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</si>
  <si>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</si>
  <si>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</si>
  <si>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</si>
  <si>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</si>
  <si>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</si>
  <si>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</si>
  <si>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</si>
  <si>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</si>
  <si>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</si>
  <si>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</si>
  <si>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</si>
  <si>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</si>
  <si>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</si>
  <si>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</si>
  <si>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</si>
  <si>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</si>
  <si>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</si>
  <si>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</si>
  <si>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</si>
  <si>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</si>
  <si>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</si>
  <si>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</si>
  <si>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</si>
  <si>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</si>
  <si>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</si>
  <si>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</si>
  <si>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</si>
  <si>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</si>
  <si>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</si>
  <si>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</si>
  <si>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</si>
  <si>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</si>
  <si>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</si>
  <si>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</si>
  <si>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</si>
  <si>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</si>
  <si>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</si>
  <si>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</si>
  <si>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</si>
  <si>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</si>
  <si>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</si>
  <si>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</si>
  <si>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</si>
  <si>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</si>
  <si>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</si>
  <si>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</si>
  <si>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</si>
  <si>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</si>
  <si>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</si>
  <si>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</si>
  <si>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</si>
  <si>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</si>
  <si>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</si>
  <si>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</si>
  <si>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</si>
  <si>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</si>
  <si>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</si>
  <si>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</si>
  <si>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</si>
  <si>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</si>
  <si>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</si>
  <si>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</si>
  <si>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</si>
  <si>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</si>
  <si>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</si>
  <si>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</si>
  <si>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</si>
  <si>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</si>
  <si>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</si>
  <si>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</si>
  <si>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</si>
  <si>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</si>
  <si>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</si>
  <si>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</si>
  <si>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</si>
  <si>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</si>
  <si>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</si>
  <si>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</si>
  <si>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</si>
  <si>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</si>
  <si>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</si>
  <si>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</si>
  <si>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</si>
  <si>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</si>
  <si>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</si>
  <si>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</si>
  <si>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</si>
  <si>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</si>
  <si>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</si>
  <si>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</si>
  <si>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</si>
  <si>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</si>
  <si>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</si>
  <si>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</si>
  <si>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</si>
  <si>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</si>
  <si>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</si>
  <si>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</si>
  <si>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</si>
  <si>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</si>
  <si>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</si>
  <si>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</si>
  <si>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</si>
  <si>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</si>
  <si>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</si>
  <si>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</si>
  <si>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</si>
  <si>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</si>
  <si>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</si>
  <si>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</si>
  <si>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</si>
  <si>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</si>
  <si>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</si>
  <si>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</si>
  <si>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</si>
  <si>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</si>
  <si>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</si>
  <si>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</si>
  <si>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</si>
  <si>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</si>
  <si>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</si>
  <si>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</si>
  <si>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</si>
  <si>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</si>
  <si>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</si>
  <si>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</si>
  <si>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</si>
  <si>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</si>
  <si>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</si>
  <si>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</si>
  <si>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</si>
  <si>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</si>
  <si>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</si>
  <si>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</si>
  <si>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</si>
  <si>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</si>
  <si>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</si>
  <si>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</si>
  <si>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</si>
  <si>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</si>
  <si>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</si>
  <si>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</si>
  <si>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</si>
  <si>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</si>
  <si>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</si>
  <si>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</si>
  <si>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</si>
  <si>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</si>
  <si>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</si>
  <si>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</si>
  <si>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</si>
  <si>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</si>
  <si>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</si>
  <si>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</si>
  <si>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</si>
  <si>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</si>
  <si>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</si>
  <si>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</si>
  <si>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</si>
  <si>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</si>
  <si>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</si>
  <si>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</si>
  <si>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</si>
  <si>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</si>
  <si>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</si>
  <si>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</si>
  <si>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</si>
  <si>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</si>
  <si>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</si>
  <si>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</si>
  <si>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</si>
  <si>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</si>
  <si>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</si>
  <si>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</si>
  <si>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</si>
  <si>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</si>
  <si>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</si>
  <si>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</si>
  <si>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</si>
  <si>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</si>
  <si>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</si>
  <si>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</si>
  <si>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</si>
  <si>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</si>
  <si>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</si>
  <si>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</si>
  <si>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</si>
  <si>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</si>
  <si>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</si>
  <si>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</si>
  <si>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</si>
  <si>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</si>
  <si>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</si>
  <si>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</si>
  <si>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</si>
  <si>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</si>
  <si>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</si>
  <si>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</si>
  <si>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</si>
  <si>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</si>
  <si>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</si>
  <si>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</si>
  <si>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</si>
  <si>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</si>
  <si>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</si>
  <si>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</si>
  <si>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</si>
  <si>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</si>
  <si>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</si>
  <si>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</si>
  <si>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</si>
  <si>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</si>
  <si>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</si>
  <si>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</si>
  <si>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</si>
  <si>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</si>
  <si>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</si>
  <si>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</si>
  <si>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</si>
  <si>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</si>
  <si>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</si>
  <si>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</si>
  <si>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</si>
  <si>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</si>
  <si>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</si>
  <si>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</si>
  <si>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</si>
  <si>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</si>
  <si>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</si>
  <si>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</si>
  <si>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</si>
  <si>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</si>
  <si>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</si>
  <si>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</si>
  <si>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</si>
  <si>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</si>
  <si>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</si>
  <si>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</si>
  <si>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</si>
  <si>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</si>
  <si>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</si>
  <si>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</si>
  <si>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</si>
  <si>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</si>
  <si>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</si>
  <si>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</si>
  <si>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</si>
  <si>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</si>
  <si>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</si>
  <si>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</si>
  <si>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</si>
  <si>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</si>
  <si>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</si>
  <si>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</si>
  <si>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</si>
  <si>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</si>
  <si>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</si>
  <si>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</si>
  <si>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</si>
  <si>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</si>
  <si>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</si>
  <si>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</si>
  <si>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</si>
  <si>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</si>
  <si>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</si>
  <si>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</si>
  <si>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</si>
  <si>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</si>
  <si>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</si>
  <si>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</si>
  <si>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</si>
  <si>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</si>
  <si>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</si>
  <si>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</si>
  <si>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</si>
  <si>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</si>
  <si>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</si>
  <si>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</si>
  <si>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</si>
  <si>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</si>
  <si>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</si>
  <si>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</si>
  <si>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</si>
  <si>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</si>
  <si>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</si>
  <si>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</si>
  <si>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</si>
  <si>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</si>
  <si>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</si>
  <si>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</si>
  <si>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</si>
  <si>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</si>
  <si>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</si>
  <si>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</si>
  <si>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</si>
  <si>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</si>
  <si>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</si>
  <si>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</si>
  <si>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</si>
  <si>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</si>
  <si>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</si>
  <si>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</si>
  <si>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</si>
  <si>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</si>
  <si>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</si>
  <si>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</si>
  <si>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</si>
  <si>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</si>
  <si>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</si>
  <si>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</si>
  <si>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</si>
  <si>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</si>
  <si>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</si>
  <si>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</si>
  <si>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</si>
  <si>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</si>
  <si>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</si>
  <si>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</si>
  <si>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</si>
  <si>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</si>
  <si>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</si>
  <si>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</si>
  <si>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</si>
  <si>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</si>
  <si>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</si>
  <si>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</si>
  <si>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</si>
  <si>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</si>
  <si>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</si>
  <si>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</si>
  <si>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</si>
  <si>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</si>
  <si>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</si>
  <si>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</si>
  <si>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</si>
  <si>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</si>
  <si>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</si>
  <si>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</si>
  <si>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</si>
  <si>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</si>
  <si>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</si>
  <si>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</si>
  <si>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</si>
  <si>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</si>
  <si>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</si>
  <si>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</si>
  <si>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</si>
  <si>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</si>
  <si>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</si>
  <si>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</si>
  <si>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</si>
  <si>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</si>
  <si>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</si>
  <si>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</si>
  <si>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</si>
  <si>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</si>
  <si>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</si>
  <si>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</si>
  <si>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</si>
  <si>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</si>
  <si>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</si>
  <si>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</si>
  <si>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</si>
  <si>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</si>
  <si>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</si>
  <si>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</si>
  <si>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</si>
  <si>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</si>
  <si>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</si>
  <si>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</si>
  <si>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</si>
  <si>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</si>
  <si>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</si>
  <si>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</si>
  <si>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</si>
  <si>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</si>
  <si>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</si>
  <si>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</si>
  <si>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</si>
  <si>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</si>
  <si>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</si>
  <si>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</si>
  <si>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</si>
  <si>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</si>
  <si>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</si>
  <si>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</si>
  <si>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</si>
  <si>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</si>
  <si>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</si>
  <si>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</si>
  <si>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</si>
  <si>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</si>
  <si>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</si>
  <si>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</si>
  <si>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</si>
  <si>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</si>
  <si>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</si>
  <si>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</si>
  <si>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</si>
  <si>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</si>
  <si>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</si>
  <si>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</si>
  <si>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</si>
  <si>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</si>
  <si>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</si>
  <si>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</si>
  <si>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</si>
  <si>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</si>
  <si>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</si>
  <si>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</si>
  <si>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</si>
  <si>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</si>
  <si>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</si>
  <si>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</si>
  <si>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</si>
  <si>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</si>
  <si>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</si>
  <si>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</si>
  <si>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</si>
  <si>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</si>
  <si>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</si>
  <si>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</si>
  <si>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</si>
  <si>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</si>
  <si>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</si>
  <si>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</si>
  <si>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</si>
  <si>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</si>
  <si>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</si>
  <si>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</si>
  <si>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</si>
  <si>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</si>
  <si>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</si>
  <si>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</si>
  <si>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</si>
  <si>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</si>
  <si>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</si>
  <si>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</si>
  <si>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</si>
  <si>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</si>
  <si>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</si>
  <si>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</si>
  <si>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</si>
  <si>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</si>
  <si>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</si>
  <si>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</si>
  <si>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</si>
  <si>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</si>
  <si>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</si>
  <si>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</si>
  <si>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</si>
  <si>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</si>
  <si>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</si>
  <si>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</si>
  <si>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</si>
  <si>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</si>
  <si>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</si>
  <si>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</si>
  <si>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</si>
  <si>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</si>
  <si>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</si>
  <si>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</si>
  <si>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</si>
  <si>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</si>
  <si>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</si>
  <si>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</si>
  <si>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</si>
  <si>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</si>
  <si>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</si>
  <si>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</si>
  <si>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</si>
  <si>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</si>
  <si>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</si>
  <si>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</si>
  <si>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</si>
  <si>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</si>
  <si>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</si>
  <si>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</si>
  <si>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</si>
  <si>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</si>
  <si>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</si>
  <si>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</si>
  <si>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</si>
  <si>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</si>
  <si>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</si>
  <si>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</si>
  <si>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</si>
  <si>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</si>
  <si>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</si>
  <si>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</si>
  <si>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</si>
  <si>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</si>
  <si>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</si>
  <si>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</si>
  <si>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</si>
  <si>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</si>
  <si>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</si>
  <si>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</si>
  <si>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</si>
  <si>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</si>
  <si>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</si>
  <si>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</si>
  <si>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</si>
  <si>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</si>
  <si>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</si>
  <si>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</si>
  <si>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</si>
  <si>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</si>
  <si>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</si>
  <si>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</si>
  <si>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</si>
  <si>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</si>
  <si>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</si>
  <si>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</si>
  <si>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</si>
  <si>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</si>
  <si>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</si>
  <si>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</si>
  <si>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</si>
  <si>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</si>
  <si>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</si>
  <si>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</si>
  <si>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</si>
  <si>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</si>
  <si>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</si>
  <si>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</si>
  <si>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</si>
  <si>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</si>
  <si>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</si>
  <si>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</si>
  <si>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</si>
  <si>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</si>
  <si>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</si>
  <si>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</si>
  <si>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</si>
  <si>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</si>
  <si>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</si>
  <si>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</si>
  <si>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</si>
  <si>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</si>
  <si>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</si>
  <si>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</si>
  <si>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</si>
  <si>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</si>
  <si>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</si>
  <si>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</si>
  <si>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</si>
  <si>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</si>
  <si>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</si>
  <si>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</si>
  <si>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</si>
  <si>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</si>
  <si>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</si>
  <si>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</si>
  <si>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</si>
  <si>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</si>
  <si>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</si>
  <si>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</si>
  <si>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</si>
  <si>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</si>
  <si>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</si>
  <si>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</si>
  <si>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</si>
  <si>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</si>
  <si>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</si>
  <si>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</si>
  <si>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</si>
  <si>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</si>
  <si>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</si>
  <si>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</si>
  <si>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</si>
  <si>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</si>
  <si>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</si>
  <si>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</si>
  <si>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</si>
  <si>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</si>
  <si>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</si>
  <si>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</si>
  <si>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</si>
  <si>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</si>
  <si>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</si>
  <si>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</si>
  <si>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</si>
  <si>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</si>
  <si>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</si>
  <si>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</si>
  <si>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</si>
  <si>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</si>
  <si>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</si>
  <si>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</si>
  <si>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</si>
  <si>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</si>
  <si>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</si>
  <si>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</si>
  <si>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</si>
  <si>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</si>
  <si>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</si>
  <si>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</si>
  <si>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</si>
  <si>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</si>
  <si>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</si>
  <si>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</si>
  <si>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</si>
  <si>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</si>
  <si>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</si>
  <si>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</si>
  <si>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</si>
  <si>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</si>
  <si>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</si>
  <si>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</si>
  <si>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</si>
  <si>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</si>
  <si>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</si>
  <si>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</si>
  <si>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</si>
  <si>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</si>
  <si>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</si>
  <si>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</si>
  <si>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</si>
  <si>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</si>
  <si>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</si>
  <si>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</si>
  <si>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</si>
  <si>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</si>
  <si>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</si>
  <si>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</si>
  <si>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</si>
  <si>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</si>
  <si>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</si>
  <si>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</si>
  <si>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</si>
  <si>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</si>
  <si>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</si>
  <si>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</si>
  <si>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</si>
  <si>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</si>
  <si>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</si>
  <si>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</si>
  <si>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</si>
  <si>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</si>
  <si>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</si>
  <si>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</si>
  <si>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</si>
  <si>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</si>
  <si>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</si>
  <si>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</si>
  <si>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</si>
  <si>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</si>
  <si>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</si>
  <si>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</si>
  <si>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</si>
  <si>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</si>
  <si>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</si>
  <si>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</si>
  <si>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</si>
  <si>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</si>
  <si>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</si>
  <si>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</si>
  <si>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</si>
  <si>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</si>
  <si>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</si>
  <si>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</si>
  <si>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</si>
  <si>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</si>
  <si>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</si>
  <si>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</si>
  <si>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</si>
  <si>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</si>
  <si>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</si>
  <si>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</si>
  <si>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</si>
  <si>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</si>
  <si>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</si>
  <si>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</si>
  <si>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</si>
  <si>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</si>
  <si>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</si>
  <si>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</si>
  <si>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</si>
  <si>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</si>
  <si>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</si>
  <si>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</si>
  <si>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</si>
  <si>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</si>
  <si>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</si>
  <si>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</si>
  <si>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</si>
  <si>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</si>
  <si>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</si>
  <si>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</si>
  <si>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</si>
  <si>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</si>
  <si>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</si>
  <si>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</si>
  <si>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</si>
  <si>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</si>
  <si>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</si>
  <si>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</si>
  <si>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</si>
  <si>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</si>
  <si>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</si>
  <si>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</si>
  <si>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</si>
  <si>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</si>
  <si>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</si>
  <si>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</si>
  <si>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</si>
  <si>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</si>
  <si>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</si>
  <si>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</si>
  <si>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</si>
  <si>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</si>
  <si>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</si>
  <si>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</si>
  <si>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</si>
  <si>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</si>
  <si>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</si>
  <si>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</si>
  <si>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</si>
  <si>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</si>
  <si>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</si>
  <si>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</si>
  <si>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</si>
  <si>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</si>
  <si>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</si>
  <si>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</si>
  <si>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</si>
  <si>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</si>
  <si>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</si>
  <si>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</si>
  <si>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</si>
  <si>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</si>
  <si>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</si>
  <si>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</si>
  <si>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</si>
  <si>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</si>
  <si>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</si>
  <si>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</si>
  <si>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</si>
  <si>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</si>
  <si>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</si>
  <si>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</si>
  <si>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</si>
  <si>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</si>
  <si>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</si>
  <si>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</si>
  <si>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</si>
  <si>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</si>
  <si>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</si>
  <si>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</si>
  <si>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</si>
  <si>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</si>
  <si>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</si>
  <si>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</si>
  <si>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</si>
  <si>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</si>
  <si>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</si>
  <si>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</si>
  <si>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</si>
  <si>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</si>
  <si>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</si>
  <si>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</si>
  <si>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</si>
  <si>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</si>
  <si>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</si>
  <si>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</si>
  <si>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</si>
  <si>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</si>
  <si>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</si>
  <si>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</si>
  <si>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</si>
  <si>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</si>
  <si>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</si>
  <si>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</si>
  <si>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</si>
  <si>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</si>
  <si>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</si>
  <si>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</si>
  <si>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</si>
  <si>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</si>
  <si>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</si>
  <si>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</si>
  <si>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</si>
  <si>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</si>
  <si>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</si>
  <si>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</si>
  <si>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</si>
  <si>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</si>
  <si>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</si>
  <si>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</si>
  <si>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</si>
  <si>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</si>
  <si>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</si>
  <si>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</si>
  <si>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</si>
  <si>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</si>
  <si>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</si>
  <si>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</si>
  <si>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</si>
  <si>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</si>
  <si>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</si>
  <si>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</si>
  <si>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</si>
  <si>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</si>
  <si>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</si>
  <si>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</si>
  <si>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</si>
  <si>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</si>
  <si>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</si>
  <si>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</si>
  <si>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</si>
  <si>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</si>
  <si>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</si>
  <si>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</si>
  <si>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</si>
  <si>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</si>
  <si>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</si>
  <si>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</si>
  <si>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</si>
  <si>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</si>
  <si>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</si>
  <si>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</si>
  <si>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</si>
  <si>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</si>
  <si>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</si>
  <si>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</si>
  <si>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</si>
  <si>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</si>
  <si>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</si>
  <si>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</si>
  <si>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</si>
  <si>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</si>
  <si>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</si>
  <si>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</si>
  <si>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</si>
  <si>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</si>
  <si>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</si>
  <si>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</si>
  <si>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</si>
  <si>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</si>
  <si>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</si>
  <si>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</si>
  <si>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</si>
  <si>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</si>
  <si>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</si>
  <si>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</si>
  <si>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</si>
  <si>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</si>
  <si>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</si>
  <si>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</si>
  <si>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</si>
  <si>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</si>
  <si>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</si>
  <si>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</si>
  <si>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</si>
  <si>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</si>
  <si>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</si>
  <si>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</si>
  <si>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</si>
  <si>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</si>
  <si>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</si>
  <si>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</si>
  <si>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</si>
  <si>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</si>
  <si>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</si>
  <si>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</si>
  <si>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</si>
  <si>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</si>
  <si>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</si>
  <si>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</si>
  <si>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</si>
  <si>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</si>
  <si>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</si>
  <si>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</si>
  <si>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</si>
  <si>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</si>
  <si>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</si>
  <si>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</si>
  <si>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</si>
  <si>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</si>
  <si>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</si>
  <si>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</si>
  <si>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</si>
  <si>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</si>
  <si>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</si>
  <si>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</si>
  <si>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</si>
  <si>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</si>
  <si>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</si>
  <si>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</si>
  <si>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</si>
  <si>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</si>
  <si>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</si>
  <si>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</si>
  <si>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</si>
  <si>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</si>
  <si>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</si>
  <si>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</si>
  <si>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</si>
  <si>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</si>
  <si>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</si>
  <si>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</si>
  <si>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</si>
  <si>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</si>
  <si>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</si>
  <si>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</si>
  <si>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</si>
  <si>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</si>
  <si>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</si>
  <si>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</si>
  <si>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</si>
  <si>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</si>
  <si>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</si>
  <si>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</si>
  <si>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</si>
  <si>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</si>
  <si>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</si>
  <si>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</si>
  <si>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</si>
  <si>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</si>
  <si>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</si>
  <si>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</si>
  <si>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</si>
  <si>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</si>
  <si>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</si>
  <si>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</si>
  <si>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</si>
  <si>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</si>
  <si>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</si>
  <si>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</si>
  <si>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</si>
  <si>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</si>
  <si>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</si>
  <si>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</si>
  <si>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</si>
  <si>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</si>
  <si>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</si>
  <si>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</si>
  <si>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</si>
  <si>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</si>
  <si>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</si>
  <si>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</si>
  <si>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</si>
  <si>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</si>
  <si>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</si>
  <si>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</si>
  <si>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</si>
  <si>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</si>
  <si>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</si>
  <si>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</si>
  <si>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</si>
  <si>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</si>
  <si>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</si>
  <si>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</si>
  <si>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</si>
  <si>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</si>
  <si>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</si>
  <si>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</si>
  <si>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</si>
  <si>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</si>
  <si>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</si>
  <si>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</si>
  <si>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</si>
  <si>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</si>
  <si>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</si>
  <si>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</si>
  <si>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</si>
  <si>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</si>
  <si>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</si>
  <si>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</si>
  <si>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</si>
  <si>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</si>
  <si>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</si>
  <si>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</si>
  <si>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</si>
  <si>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</si>
  <si>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</si>
  <si>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</si>
  <si>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</si>
  <si>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</si>
  <si>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</si>
  <si>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</si>
  <si>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</si>
  <si>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</si>
  <si>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</si>
  <si>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</si>
  <si>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</si>
  <si>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</si>
  <si>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</si>
  <si>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</si>
  <si>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</si>
  <si>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</si>
  <si>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</si>
  <si>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</si>
  <si>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</si>
  <si>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</si>
  <si>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</si>
  <si>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</si>
  <si>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</si>
  <si>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</si>
  <si>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</si>
  <si>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</si>
  <si>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</si>
  <si>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</si>
  <si>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</si>
  <si>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</si>
  <si>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</si>
  <si>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</si>
  <si>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</si>
  <si>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</si>
  <si>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</si>
  <si>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</si>
  <si>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</si>
  <si>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</si>
  <si>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</si>
  <si>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</si>
  <si>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</si>
  <si>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</si>
  <si>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</si>
  <si>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</si>
  <si>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</si>
  <si>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</si>
  <si>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</si>
  <si>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</si>
  <si>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</si>
  <si>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</si>
  <si>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</si>
  <si>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</si>
  <si>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</si>
  <si>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</si>
  <si>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</si>
  <si>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</si>
  <si>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</si>
  <si>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</si>
  <si>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</si>
  <si>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</si>
  <si>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</si>
  <si>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</si>
  <si>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</si>
  <si>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</si>
  <si>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</si>
  <si>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</si>
  <si>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</si>
  <si>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</si>
  <si>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</si>
  <si>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</si>
  <si>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</si>
  <si>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</si>
  <si>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</si>
  <si>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</si>
  <si>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</si>
  <si>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</si>
  <si>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</si>
  <si>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</si>
  <si>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</si>
  <si>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</si>
  <si>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</si>
  <si>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</si>
  <si>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</si>
  <si>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</si>
  <si>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</si>
  <si>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</si>
  <si>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</si>
  <si>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</si>
  <si>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</si>
  <si>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</si>
  <si>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</si>
  <si>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</si>
  <si>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</si>
  <si>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</si>
  <si>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</si>
  <si>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</si>
  <si>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</si>
  <si>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</si>
  <si>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</si>
  <si>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</si>
  <si>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</si>
  <si>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</si>
  <si>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</si>
  <si>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</si>
  <si>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</si>
  <si>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</si>
  <si>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</si>
  <si>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</si>
  <si>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</si>
  <si>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</si>
  <si>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</si>
  <si>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</si>
  <si>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</si>
  <si>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</si>
  <si>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</si>
  <si>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</si>
  <si>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</si>
  <si>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</si>
  <si>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</si>
  <si>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</si>
  <si>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</si>
  <si>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</si>
  <si>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</si>
  <si>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</si>
  <si>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</si>
  <si>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</si>
  <si>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</si>
  <si>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</si>
  <si>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</si>
  <si>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</si>
  <si>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</si>
  <si>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</si>
  <si>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</si>
  <si>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</si>
  <si>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</si>
  <si>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</si>
  <si>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</si>
  <si>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</si>
  <si>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</si>
  <si>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</si>
  <si>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</si>
  <si>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</si>
  <si>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</si>
  <si>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</si>
  <si>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</si>
  <si>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</si>
  <si>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</si>
  <si>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</si>
  <si>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</si>
  <si>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</si>
  <si>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</si>
  <si>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</si>
  <si>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</si>
  <si>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</si>
  <si>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</si>
  <si>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</si>
  <si>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</si>
  <si>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</si>
  <si>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</si>
  <si>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</si>
  <si>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</si>
  <si>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</si>
  <si>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</si>
  <si>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</si>
  <si>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</si>
  <si>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</si>
  <si>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</si>
  <si>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</si>
  <si>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</si>
  <si>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</si>
  <si>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</si>
  <si>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</si>
  <si>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</si>
  <si>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</si>
  <si>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</si>
  <si>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</si>
  <si>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</si>
  <si>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</si>
  <si>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</si>
  <si>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</si>
  <si>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</si>
  <si>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</si>
  <si>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</si>
  <si>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</si>
  <si>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</si>
  <si>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</si>
  <si>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</si>
  <si>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</si>
  <si>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</si>
  <si>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</si>
  <si>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</si>
  <si>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</si>
  <si>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</si>
  <si>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</si>
  <si>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</si>
  <si>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</si>
  <si>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</si>
  <si>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</si>
  <si>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</si>
  <si>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</si>
  <si>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</si>
  <si>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</si>
  <si>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</si>
  <si>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</si>
  <si>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</si>
  <si>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</si>
  <si>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</si>
  <si>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</si>
  <si>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</si>
  <si>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</si>
  <si>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</si>
  <si>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</si>
  <si>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</si>
  <si>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</si>
  <si>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</si>
  <si>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</si>
  <si>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</si>
  <si>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</si>
  <si>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</si>
  <si>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</si>
  <si>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</si>
  <si>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</si>
  <si>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</si>
  <si>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</si>
  <si>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</si>
  <si>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</si>
  <si>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</si>
  <si>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</si>
  <si>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</si>
  <si>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</si>
  <si>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</si>
  <si>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</si>
  <si>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</si>
  <si>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</si>
  <si>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</si>
  <si>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</si>
  <si>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</si>
  <si>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</si>
  <si>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</si>
  <si>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</si>
  <si>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</si>
  <si>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</si>
  <si>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</si>
  <si>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</si>
  <si>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</si>
  <si>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</si>
  <si>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</si>
  <si>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</si>
  <si>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</si>
  <si>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</si>
  <si>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</si>
  <si>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</si>
  <si>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</si>
  <si>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</si>
  <si>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</si>
  <si>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</si>
  <si>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</si>
  <si>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</si>
  <si>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</si>
  <si>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</si>
  <si>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</si>
  <si>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</si>
  <si>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</si>
  <si>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</si>
  <si>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</si>
  <si>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</si>
  <si>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</si>
  <si>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</si>
  <si>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</si>
  <si>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</si>
  <si>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</si>
  <si>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</si>
  <si>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</si>
  <si>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</si>
  <si>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</si>
  <si>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</si>
  <si>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</si>
  <si>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</si>
  <si>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</si>
  <si>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</si>
  <si>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</si>
  <si>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</si>
  <si>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</si>
  <si>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</si>
  <si>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</si>
  <si>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</si>
  <si>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</si>
  <si>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</si>
  <si>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</si>
  <si>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</si>
  <si>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</si>
  <si>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</si>
  <si>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</si>
  <si>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</si>
  <si>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</si>
  <si>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</si>
  <si>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</si>
  <si>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</si>
  <si>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</si>
  <si>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</si>
  <si>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</si>
  <si>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</si>
  <si>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</si>
  <si>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</si>
  <si>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</si>
  <si>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</si>
  <si>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</si>
  <si>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</si>
  <si>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</si>
  <si>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</si>
  <si>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</si>
  <si>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</si>
  <si>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</si>
  <si>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</si>
  <si>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</si>
  <si>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</si>
  <si>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</si>
  <si>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</si>
  <si>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</si>
  <si>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</si>
  <si>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</si>
  <si>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</si>
  <si>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</si>
  <si>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</si>
  <si>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</si>
  <si>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</si>
  <si>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</si>
  <si>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</si>
  <si>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</si>
  <si>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</si>
  <si>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</si>
  <si>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</si>
  <si>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</si>
  <si>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</si>
  <si>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</si>
  <si>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</si>
  <si>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</si>
  <si>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</si>
  <si>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</si>
  <si>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</si>
  <si>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</si>
  <si>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</si>
  <si>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</si>
  <si>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</si>
  <si>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</si>
  <si>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</si>
  <si>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</si>
  <si>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</si>
  <si>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</si>
  <si>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</si>
  <si>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</si>
  <si>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</si>
  <si>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</si>
  <si>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</si>
  <si>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</si>
  <si>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</si>
  <si>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</si>
  <si>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</si>
  <si>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</si>
  <si>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</si>
  <si>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</si>
  <si>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</si>
  <si>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</si>
  <si>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</si>
  <si>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</si>
  <si>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</si>
  <si>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</si>
  <si>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</si>
  <si>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</si>
  <si>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</si>
  <si>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</si>
  <si>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</si>
  <si>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</si>
  <si>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</si>
  <si>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</si>
  <si>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</si>
  <si>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</si>
  <si>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</si>
  <si>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</si>
  <si>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</si>
  <si>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</si>
  <si>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</si>
  <si>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</si>
  <si>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</si>
  <si>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</si>
  <si>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</si>
  <si>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</si>
  <si>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</si>
  <si>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</si>
  <si>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</si>
  <si>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</si>
  <si>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</si>
  <si>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</si>
  <si>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</si>
  <si>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</si>
  <si>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</si>
  <si>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</si>
  <si>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</si>
  <si>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</si>
  <si>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</si>
  <si>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</si>
  <si>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</si>
  <si>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</si>
  <si>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</si>
  <si>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</si>
  <si>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</si>
  <si>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</si>
  <si>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</si>
  <si>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</si>
  <si>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</si>
  <si>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</si>
  <si>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</si>
  <si>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</si>
  <si>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</si>
  <si>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</si>
  <si>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</si>
  <si>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</si>
  <si>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</si>
  <si>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</si>
  <si>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</si>
  <si>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</si>
  <si>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</si>
  <si>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</si>
  <si>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</si>
  <si>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</si>
  <si>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</si>
  <si>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</si>
  <si>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</si>
  <si>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</si>
  <si>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</si>
  <si>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</si>
  <si>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</si>
  <si>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</si>
  <si>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</si>
  <si>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</si>
  <si>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</si>
  <si>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</si>
  <si>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</si>
  <si>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</si>
  <si>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</si>
  <si>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</si>
  <si>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</si>
  <si>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</si>
  <si>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</si>
  <si>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</si>
  <si>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</si>
  <si>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</si>
  <si>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</si>
  <si>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</si>
  <si>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</si>
  <si>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</si>
  <si>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</si>
  <si>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</si>
  <si>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</si>
  <si>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</si>
  <si>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</si>
  <si>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</si>
  <si>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</si>
  <si>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</si>
  <si>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</si>
  <si>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</si>
  <si>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</si>
  <si>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</si>
  <si>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</si>
  <si>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</si>
  <si>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</si>
  <si>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</si>
  <si>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</si>
  <si>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</si>
  <si>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</si>
  <si>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</si>
  <si>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</si>
  <si>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</si>
  <si>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</si>
  <si>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</si>
  <si>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</si>
  <si>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</si>
  <si>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</si>
  <si>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</si>
  <si>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</si>
  <si>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</si>
  <si>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</si>
  <si>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</si>
  <si>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</si>
  <si>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</si>
  <si>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</si>
  <si>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</si>
  <si>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</si>
  <si>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</si>
  <si>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</si>
  <si>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</si>
  <si>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</si>
  <si>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</si>
  <si>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</si>
  <si>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</si>
  <si>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</si>
  <si>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</si>
  <si>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</si>
  <si>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</si>
  <si>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</si>
  <si>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</si>
  <si>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</si>
  <si>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</si>
  <si>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</si>
  <si>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</si>
  <si>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</si>
  <si>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</si>
  <si>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</si>
  <si>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</si>
  <si>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</si>
  <si>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</si>
  <si>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</si>
  <si>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</si>
  <si>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</si>
  <si>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</si>
  <si>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</si>
  <si>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</si>
  <si>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</si>
  <si>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</si>
  <si>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</si>
  <si>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</si>
  <si>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</si>
  <si>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</si>
  <si>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</si>
  <si>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</si>
  <si>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</si>
  <si>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</si>
  <si>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</si>
  <si>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</si>
  <si>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</si>
  <si>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</si>
  <si>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</si>
  <si>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</si>
  <si>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</si>
  <si>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</si>
  <si>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</si>
  <si>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</si>
  <si>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</si>
  <si>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</si>
  <si>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</si>
  <si>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</si>
  <si>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</si>
  <si>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</si>
  <si>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</si>
  <si>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</si>
  <si>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</si>
  <si>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</si>
  <si>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</si>
  <si>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</si>
  <si>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</si>
  <si>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</si>
  <si>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</si>
  <si>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</si>
  <si>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</si>
  <si>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</si>
  <si>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</si>
  <si>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</si>
  <si>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</si>
  <si>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</si>
  <si>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</si>
  <si>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</si>
  <si>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</si>
  <si>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</si>
  <si>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</si>
  <si>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</si>
  <si>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</si>
  <si>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</si>
  <si>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</si>
  <si>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</si>
  <si>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</si>
  <si>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</si>
  <si>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</si>
  <si>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</si>
  <si>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</si>
  <si>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</si>
  <si>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</si>
  <si>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</si>
  <si>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</si>
  <si>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</si>
  <si>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</si>
  <si>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</si>
  <si>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</si>
  <si>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</si>
  <si>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</si>
  <si>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</si>
  <si>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</si>
  <si>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</si>
  <si>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</si>
  <si>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</si>
  <si>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</si>
  <si>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</si>
  <si>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</si>
  <si>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</si>
  <si>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</si>
  <si>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</si>
  <si>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</si>
  <si>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</si>
  <si>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</si>
  <si>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</si>
  <si>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</si>
  <si>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</si>
  <si>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</si>
  <si>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</si>
  <si>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</si>
  <si>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</si>
  <si>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</si>
  <si>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</si>
  <si>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</si>
  <si>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</si>
  <si>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</si>
  <si>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</si>
  <si>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</si>
  <si>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</si>
  <si>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</si>
  <si>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</si>
  <si>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</si>
  <si>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</si>
  <si>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</si>
  <si>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</si>
  <si>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</si>
  <si>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</si>
  <si>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</si>
  <si>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</si>
  <si>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</si>
  <si>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</si>
  <si>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</si>
  <si>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</si>
  <si>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</si>
  <si>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</si>
  <si>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</si>
  <si>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</si>
  <si>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</si>
  <si>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</si>
  <si>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</si>
  <si>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</si>
  <si>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</si>
  <si>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</si>
  <si>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</si>
  <si>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</si>
  <si>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</si>
  <si>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</si>
  <si>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</si>
  <si>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</si>
  <si>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</si>
  <si>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</si>
  <si>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</si>
  <si>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</si>
  <si>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</si>
  <si>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</si>
  <si>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</si>
  <si>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</si>
  <si>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</si>
  <si>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</si>
  <si>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</si>
  <si>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</si>
  <si>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</si>
  <si>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</si>
  <si>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</si>
  <si>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</si>
  <si>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</si>
  <si>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</si>
  <si>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</si>
  <si>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</si>
  <si>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</si>
  <si>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</si>
  <si>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</si>
  <si>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</si>
  <si>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</si>
  <si>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</si>
  <si>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</si>
  <si>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</si>
  <si>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</si>
  <si>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</si>
  <si>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</si>
  <si>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</si>
  <si>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</si>
  <si>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</si>
  <si>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</si>
  <si>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</si>
  <si>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</si>
  <si>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</si>
  <si>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</si>
  <si>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</si>
  <si>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</si>
  <si>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</si>
  <si>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</si>
  <si>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</si>
  <si>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</si>
  <si>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</si>
  <si>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</si>
  <si>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</si>
  <si>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</si>
  <si>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</si>
  <si>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</si>
  <si>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</si>
  <si>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</si>
  <si>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</si>
  <si>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</si>
  <si>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</si>
  <si>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</si>
  <si>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</si>
  <si>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</si>
  <si>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</si>
  <si>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</si>
  <si>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</si>
  <si>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</si>
  <si>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</si>
  <si>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</si>
  <si>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</si>
  <si>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</si>
  <si>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</si>
  <si>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</si>
  <si>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</si>
  <si>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</si>
  <si>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</si>
  <si>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</si>
  <si>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</si>
  <si>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</si>
  <si>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</si>
  <si>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</si>
  <si>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</si>
  <si>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</si>
  <si>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</si>
  <si>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</si>
  <si>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</si>
  <si>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</si>
  <si>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</si>
  <si>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</si>
  <si>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</si>
  <si>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</si>
  <si>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</si>
  <si>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</si>
  <si>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</si>
  <si>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</si>
  <si>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</si>
  <si>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</si>
  <si>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</si>
  <si>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</si>
  <si>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</si>
  <si>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</si>
  <si>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</si>
  <si>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</si>
  <si>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</si>
  <si>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</si>
  <si>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</si>
  <si>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</si>
  <si>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</si>
  <si>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</si>
  <si>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</si>
  <si>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</si>
  <si>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</si>
  <si>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</si>
  <si>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</si>
  <si>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</si>
  <si>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</si>
  <si>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</si>
  <si>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</si>
  <si>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</si>
  <si>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</si>
  <si>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</si>
  <si>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</si>
  <si>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</si>
  <si>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</si>
  <si>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</si>
  <si>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</si>
  <si>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</si>
  <si>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</si>
  <si>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</si>
  <si>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</si>
  <si>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</si>
  <si>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</si>
  <si>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</si>
  <si>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</si>
  <si>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</si>
  <si>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</si>
  <si>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</si>
  <si>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</si>
  <si>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</si>
  <si>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</si>
  <si>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</si>
  <si>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</si>
  <si>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</si>
  <si>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</si>
  <si>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</si>
  <si>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</si>
  <si>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</si>
  <si>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</si>
  <si>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</si>
  <si>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</si>
  <si>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</si>
  <si>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</si>
  <si>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</si>
  <si>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</si>
  <si>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</si>
  <si>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</si>
  <si>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</si>
  <si>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</si>
  <si>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</si>
  <si>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</si>
  <si>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</si>
  <si>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</si>
  <si>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</si>
  <si>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</si>
  <si>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</si>
  <si>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</si>
  <si>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</si>
  <si>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</si>
  <si>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</si>
  <si>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</si>
  <si>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</si>
  <si>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</si>
  <si>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</si>
  <si>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</si>
  <si>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</si>
  <si>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</si>
  <si>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</si>
  <si>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</si>
  <si>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</si>
  <si>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</si>
  <si>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</si>
  <si>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</si>
  <si>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</si>
  <si>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</si>
  <si>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</si>
  <si>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</si>
  <si>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</si>
  <si>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</si>
  <si>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</si>
  <si>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</si>
  <si>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</si>
  <si>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</si>
  <si>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</si>
  <si>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</si>
  <si>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</si>
  <si>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</si>
  <si>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</si>
  <si>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</si>
  <si>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</si>
  <si>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</si>
  <si>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</si>
  <si>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</si>
  <si>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</si>
  <si>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</si>
  <si>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</si>
  <si>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</si>
  <si>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</si>
  <si>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</si>
  <si>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</si>
  <si>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</si>
  <si>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</si>
  <si>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</si>
  <si>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</si>
  <si>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</si>
  <si>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</si>
  <si>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</si>
  <si>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</si>
  <si>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</si>
  <si>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</si>
  <si>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</si>
  <si>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</si>
  <si>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</si>
  <si>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</si>
  <si>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</si>
  <si>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</si>
  <si>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</si>
  <si>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</si>
  <si>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</si>
  <si>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</si>
  <si>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</si>
  <si>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</si>
  <si>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</si>
  <si>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</si>
  <si>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</si>
  <si>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</si>
  <si>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</si>
  <si>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</si>
  <si>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</si>
  <si>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</si>
  <si>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</si>
  <si>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</si>
  <si>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</si>
  <si>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</si>
  <si>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</si>
  <si>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</si>
  <si>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</si>
  <si>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</si>
  <si>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</si>
  <si>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</si>
  <si>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</si>
  <si>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</si>
  <si>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</si>
  <si>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</si>
  <si>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</si>
  <si>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</si>
  <si>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</si>
  <si>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</si>
  <si>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</si>
  <si>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</si>
  <si>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</si>
  <si>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</si>
  <si>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</si>
  <si>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</si>
  <si>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</si>
  <si>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</si>
  <si>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</si>
  <si>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</si>
  <si>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</si>
  <si>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</si>
  <si>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</si>
  <si>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</si>
  <si>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</si>
  <si>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</si>
  <si>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</si>
  <si>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</si>
  <si>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</si>
  <si>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</si>
  <si>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</si>
  <si>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</si>
  <si>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</si>
  <si>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</si>
  <si>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</si>
  <si>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</si>
  <si>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</si>
  <si>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</si>
  <si>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</si>
  <si>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</si>
  <si>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</si>
  <si>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</si>
  <si>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</si>
  <si>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</si>
  <si>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</si>
  <si>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</si>
  <si>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</si>
  <si>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</si>
  <si>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</si>
  <si>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</si>
  <si>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</si>
  <si>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</si>
  <si>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</si>
  <si>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</si>
  <si>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</si>
  <si>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</si>
  <si>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</si>
  <si>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</si>
  <si>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</si>
  <si>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</si>
  <si>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</si>
  <si>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</si>
  <si>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</si>
  <si>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</si>
  <si>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</si>
  <si>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</si>
  <si>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</si>
  <si>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</si>
  <si>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</si>
  <si>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</si>
  <si>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</si>
  <si>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</si>
  <si>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</si>
  <si>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</si>
  <si>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</si>
  <si>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</si>
  <si>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</si>
  <si>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</si>
  <si>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</si>
  <si>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</si>
  <si>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</si>
  <si>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</si>
  <si>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</si>
  <si>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</si>
  <si>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</si>
  <si>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</si>
  <si>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</si>
  <si>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</si>
  <si>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</si>
  <si>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</si>
  <si>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</si>
  <si>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</si>
  <si>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</si>
  <si>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</si>
  <si>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</si>
  <si>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</si>
  <si>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</si>
  <si>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</si>
  <si>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</si>
  <si>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</si>
  <si>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</si>
  <si>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</si>
  <si>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</si>
  <si>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</si>
  <si>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</si>
  <si>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</si>
  <si>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</si>
  <si>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</si>
  <si>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</si>
  <si>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</si>
  <si>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</si>
  <si>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</si>
  <si>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</si>
  <si>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</si>
  <si>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</si>
  <si>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</si>
  <si>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</si>
  <si>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</si>
  <si>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</si>
  <si>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</si>
  <si>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</si>
  <si>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</si>
  <si>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</si>
  <si>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</si>
  <si>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</si>
  <si>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</si>
  <si>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</si>
  <si>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</si>
  <si>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</si>
  <si>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</si>
  <si>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</si>
  <si>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</si>
  <si>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</si>
  <si>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</si>
  <si>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</si>
  <si>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</si>
  <si>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</si>
  <si>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</si>
  <si>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</si>
  <si>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</si>
  <si>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</si>
  <si>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</si>
  <si>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</si>
  <si>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</si>
  <si>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</si>
  <si>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</si>
  <si>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</si>
  <si>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</si>
  <si>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</si>
  <si>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</si>
  <si>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</si>
  <si>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</si>
  <si>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</si>
  <si>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</si>
  <si>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</si>
  <si>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</si>
  <si>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</si>
  <si>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</si>
  <si>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</si>
  <si>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</si>
  <si>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</si>
  <si>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</si>
  <si>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</si>
  <si>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</si>
  <si>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</si>
  <si>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</si>
  <si>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</si>
  <si>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</si>
  <si>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</si>
  <si>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</si>
  <si>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</si>
  <si>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</si>
  <si>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</si>
  <si>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</si>
  <si>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</si>
  <si>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</si>
  <si>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</si>
  <si>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</si>
  <si>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</si>
  <si>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</si>
  <si>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</si>
  <si>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</si>
  <si>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</si>
  <si>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</si>
  <si>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</si>
  <si>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</si>
  <si>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</si>
  <si>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</si>
  <si>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</si>
  <si>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</si>
  <si>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</si>
  <si>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</si>
  <si>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</si>
  <si>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</si>
  <si>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</si>
  <si>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</si>
  <si>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</si>
  <si>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</si>
  <si>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</si>
  <si>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</si>
  <si>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</si>
  <si>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</si>
  <si>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</si>
  <si>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</si>
  <si>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</si>
  <si>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</si>
  <si>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</si>
  <si>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</si>
  <si>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</si>
  <si>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</si>
  <si>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</si>
  <si>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</si>
  <si>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</si>
  <si>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</si>
  <si>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</si>
  <si>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</si>
  <si>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</si>
  <si>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</si>
  <si>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</si>
  <si>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</si>
  <si>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</si>
  <si>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</si>
  <si>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</si>
  <si>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</si>
  <si>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</si>
  <si>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</si>
  <si>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</si>
  <si>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</si>
  <si>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</si>
  <si>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</si>
  <si>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</si>
  <si>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</si>
  <si>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</si>
  <si>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</si>
  <si>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</si>
  <si>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</si>
  <si>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</si>
  <si>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</si>
  <si>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</si>
  <si>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</si>
  <si>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</si>
  <si>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</si>
  <si>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</si>
  <si>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</si>
  <si>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</si>
  <si>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</si>
  <si>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</si>
  <si>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</si>
  <si>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</si>
  <si>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</si>
  <si>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</si>
  <si>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</si>
  <si>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</si>
  <si>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</si>
  <si>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</si>
  <si>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</si>
  <si>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</si>
  <si>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</si>
  <si>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</si>
  <si>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</si>
  <si>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</si>
  <si>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</si>
  <si>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</si>
  <si>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</si>
  <si>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</si>
  <si>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</si>
  <si>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</si>
  <si>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</si>
  <si>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</si>
  <si>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</si>
  <si>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</si>
  <si>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</si>
  <si>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</si>
  <si>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</si>
  <si>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</si>
  <si>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</si>
  <si>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</si>
  <si>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</si>
  <si>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</si>
  <si>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</si>
  <si>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</si>
  <si>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</si>
  <si>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</si>
  <si>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</si>
  <si>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</si>
  <si>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</si>
  <si>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</si>
  <si>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</si>
  <si>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</si>
  <si>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</si>
  <si>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</si>
  <si>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</si>
  <si>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</si>
  <si>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</si>
  <si>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</si>
  <si>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</si>
  <si>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</si>
  <si>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</si>
  <si>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</si>
  <si>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</si>
  <si>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</si>
  <si>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</si>
  <si>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</si>
  <si>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</si>
  <si>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</si>
  <si>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</si>
  <si>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</si>
  <si>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</si>
  <si>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</si>
  <si>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</si>
  <si>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</si>
  <si>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</si>
  <si>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</si>
  <si>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</si>
  <si>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</si>
  <si>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</si>
  <si>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</si>
  <si>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</si>
  <si>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</si>
  <si>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</si>
  <si>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</si>
  <si>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</si>
  <si>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</si>
  <si>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</si>
  <si>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</si>
  <si>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</si>
  <si>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</si>
  <si>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</si>
  <si>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</si>
  <si>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</si>
  <si>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</si>
  <si>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</si>
  <si>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</si>
  <si>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</si>
  <si>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</si>
  <si>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</si>
  <si>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</si>
  <si>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</si>
  <si>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</si>
  <si>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</si>
  <si>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</si>
  <si>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</si>
  <si>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</si>
  <si>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</si>
  <si>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</si>
  <si>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</si>
  <si>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</si>
  <si>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</si>
  <si>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</si>
  <si>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</si>
  <si>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</si>
  <si>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</si>
  <si>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</si>
  <si>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</si>
  <si>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</si>
  <si>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</si>
  <si>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</si>
  <si>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</si>
  <si>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</si>
  <si>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</si>
  <si>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</si>
  <si>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</si>
  <si>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</si>
  <si>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</si>
  <si>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</si>
  <si>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</si>
  <si>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</si>
  <si>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</si>
  <si>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</si>
  <si>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</si>
  <si>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</si>
  <si>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</si>
  <si>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</si>
  <si>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</si>
  <si>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</si>
  <si>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</si>
  <si>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</si>
  <si>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</si>
  <si>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</si>
  <si>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</si>
  <si>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</si>
  <si>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</si>
  <si>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</si>
  <si>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</si>
  <si>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</si>
  <si>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</si>
  <si>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</si>
  <si>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</si>
  <si>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</si>
  <si>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</si>
  <si>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</si>
  <si>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</si>
  <si>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</si>
  <si>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</si>
  <si>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</si>
  <si>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</si>
  <si>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</si>
  <si>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</si>
  <si>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</si>
  <si>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</si>
  <si>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</si>
  <si>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</si>
  <si>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</si>
  <si>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</si>
  <si>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</si>
  <si>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</si>
  <si>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</si>
  <si>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</si>
  <si>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</si>
  <si>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</si>
  <si>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</si>
  <si>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</si>
  <si>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</si>
  <si>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</si>
  <si>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</si>
  <si>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</si>
  <si>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</si>
  <si>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</si>
  <si>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</si>
  <si>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</si>
  <si>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</si>
  <si>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</si>
  <si>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</si>
  <si>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</si>
  <si>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</si>
  <si>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</si>
  <si>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</si>
  <si>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</si>
  <si>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</si>
  <si>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</si>
  <si>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</si>
  <si>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</si>
  <si>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</si>
  <si>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</si>
  <si>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</si>
  <si>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</si>
  <si>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</si>
  <si>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</si>
  <si>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</si>
  <si>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</si>
  <si>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</si>
  <si>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</si>
  <si>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</si>
  <si>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</si>
  <si>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</si>
  <si>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</si>
  <si>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</si>
  <si>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</si>
  <si>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</si>
  <si>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</si>
  <si>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</si>
  <si>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</si>
  <si>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</si>
  <si>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</si>
  <si>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</si>
  <si>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</si>
  <si>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</si>
  <si>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</si>
  <si>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</si>
  <si>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</si>
  <si>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</si>
  <si>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</si>
  <si>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</si>
  <si>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</si>
  <si>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</si>
  <si>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</si>
  <si>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</si>
  <si>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</si>
  <si>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</si>
  <si>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</si>
  <si>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</si>
  <si>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</si>
  <si>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</si>
  <si>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</si>
  <si>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</si>
  <si>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</si>
  <si>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</si>
  <si>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</si>
  <si>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</si>
  <si>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</si>
  <si>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</si>
  <si>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</si>
  <si>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</si>
  <si>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</si>
  <si>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</si>
  <si>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</si>
  <si>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</si>
  <si>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</si>
  <si>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</si>
  <si>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</si>
  <si>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</si>
  <si>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</si>
  <si>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</si>
  <si>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</si>
  <si>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</si>
  <si>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</si>
  <si>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</si>
  <si>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</si>
  <si>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</si>
  <si>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</si>
  <si>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</si>
  <si>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</si>
  <si>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</si>
  <si>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</si>
  <si>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</si>
  <si>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</si>
  <si>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</si>
  <si>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</si>
  <si>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</si>
  <si>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</si>
  <si>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</si>
  <si>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</si>
  <si>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</si>
  <si>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</si>
  <si>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</si>
  <si>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</si>
  <si>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</si>
  <si>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</si>
  <si>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</si>
  <si>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</si>
  <si>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</si>
  <si>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</si>
  <si>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</si>
  <si>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</si>
  <si>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</si>
  <si>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</si>
  <si>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</si>
  <si>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</si>
  <si>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</si>
  <si>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</si>
  <si>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</si>
  <si>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</si>
  <si>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</si>
  <si>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</si>
  <si>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</si>
  <si>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</si>
  <si>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</si>
  <si>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</si>
  <si>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</si>
  <si>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</si>
  <si>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</si>
  <si>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</si>
  <si>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</si>
  <si>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</si>
  <si>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</si>
  <si>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</si>
  <si>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</si>
  <si>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</si>
  <si>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</si>
  <si>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</si>
  <si>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</si>
  <si>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</si>
  <si>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</si>
  <si>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</si>
  <si>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</si>
  <si>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</si>
  <si>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</si>
  <si>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</si>
  <si>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</si>
  <si>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</si>
  <si>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</si>
  <si>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</si>
  <si>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</si>
  <si>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</si>
  <si>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</si>
  <si>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</si>
  <si>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</si>
  <si>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</si>
  <si>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</si>
  <si>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</si>
  <si>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</si>
  <si>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</si>
  <si>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</si>
  <si>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</si>
  <si>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</si>
  <si>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</si>
  <si>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</si>
  <si>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</si>
  <si>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</si>
  <si>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</si>
  <si>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</si>
  <si>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</si>
  <si>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</si>
  <si>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</si>
  <si>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</si>
  <si>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</si>
  <si>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</si>
  <si>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</si>
  <si>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</si>
  <si>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</si>
  <si>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</si>
  <si>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</si>
  <si>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</si>
  <si>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</si>
  <si>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</si>
  <si>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</si>
  <si>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</si>
  <si>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</si>
  <si>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</si>
  <si>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</si>
  <si>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</si>
  <si>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</si>
  <si>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</si>
  <si>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</si>
  <si>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</si>
  <si>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</si>
  <si>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</si>
  <si>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</si>
  <si>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</si>
  <si>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</si>
  <si>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</si>
  <si>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</si>
  <si>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</si>
  <si>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</si>
  <si>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</si>
  <si>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</si>
  <si>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</si>
  <si>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</si>
  <si>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</si>
  <si>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</si>
  <si>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</si>
  <si>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</si>
  <si>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</si>
  <si>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</si>
  <si>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</si>
  <si>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</si>
  <si>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</si>
  <si>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</si>
  <si>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</si>
  <si>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</si>
  <si>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</si>
  <si>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</si>
  <si>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</si>
  <si>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</si>
  <si>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</si>
  <si>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</si>
  <si>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</si>
  <si>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</si>
  <si>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</si>
  <si>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</si>
  <si>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</si>
  <si>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</si>
  <si>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</si>
  <si>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</si>
  <si>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</si>
  <si>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</si>
  <si>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</si>
  <si>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</si>
  <si>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</si>
  <si>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</si>
  <si>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</si>
  <si>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</si>
  <si>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</si>
  <si>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</si>
  <si>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</si>
  <si>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</si>
  <si>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</si>
  <si>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</si>
  <si>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</si>
  <si>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</si>
  <si>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</si>
  <si>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</si>
  <si>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</si>
  <si>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</si>
  <si>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</si>
  <si>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</si>
  <si>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</si>
  <si>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</si>
  <si>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</si>
  <si>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</si>
  <si>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</si>
  <si>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</si>
  <si>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</si>
  <si>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</si>
  <si>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</si>
  <si>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</si>
  <si>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</si>
  <si>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</si>
  <si>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</si>
  <si>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</si>
  <si>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</si>
  <si>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</si>
  <si>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</si>
  <si>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</si>
  <si>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</si>
  <si>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</si>
  <si>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</si>
  <si>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</si>
  <si>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</si>
  <si>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</si>
  <si>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</si>
  <si>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</si>
  <si>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</si>
  <si>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</si>
  <si>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</si>
  <si>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</si>
  <si>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</si>
  <si>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</si>
  <si>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</si>
  <si>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</si>
  <si>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</si>
  <si>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</si>
  <si>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</si>
  <si>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</si>
  <si>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</si>
  <si>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</si>
  <si>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</si>
  <si>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</si>
  <si>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</si>
  <si>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</si>
  <si>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收益法</t>
  </si>
  <si>
    <t>售价</t>
  </si>
  <si>
    <t>估价对象1（结果表）</t>
  </si>
  <si>
    <t>是</t>
  </si>
  <si>
    <t>板楼</t>
  </si>
  <si>
    <t>七通</t>
  </si>
  <si>
    <t>跃层</t>
    <phoneticPr fontId="20" type="noConversion"/>
  </si>
  <si>
    <t>平层</t>
  </si>
  <si>
    <t>简装</t>
  </si>
  <si>
    <t>60-70（含）</t>
  </si>
  <si>
    <t>估价对象所在区域公共配套设施齐备情况一般</t>
  </si>
  <si>
    <t>南北</t>
  </si>
  <si>
    <t>支</t>
  </si>
  <si>
    <t>支</t>
    <phoneticPr fontId="20" type="noConversion"/>
  </si>
  <si>
    <t>中楼层/6</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</si>
  <si>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</si>
  <si>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</si>
  <si>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</si>
  <si>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北京市朝阳区福怡苑5号楼3门101号住宅用房</t>
    <phoneticPr fontId="4" type="noConversion"/>
  </si>
  <si>
    <t>北京市朝阳区福怡苑</t>
    <phoneticPr fontId="4" type="noConversion"/>
  </si>
  <si>
    <t>40-50（含）</t>
  </si>
  <si>
    <t>东西</t>
  </si>
  <si>
    <t>东西</t>
    <phoneticPr fontId="4" type="noConversion"/>
  </si>
  <si>
    <t>西</t>
  </si>
  <si>
    <t>西</t>
    <phoneticPr fontId="20" type="noConversion"/>
  </si>
  <si>
    <r>
      <t>1/7</t>
    </r>
    <r>
      <rPr>
        <sz val="11"/>
        <rFont val="宋体"/>
        <family val="3"/>
        <charset val="134"/>
      </rPr>
      <t>（底层）</t>
    </r>
  </si>
  <si>
    <t>底层/6</t>
  </si>
  <si>
    <t>低楼层/6</t>
  </si>
  <si>
    <t>低楼层/6</t>
    <phoneticPr fontId="20" type="noConversion"/>
  </si>
  <si>
    <t>混合</t>
  </si>
  <si>
    <r>
      <t>1/7</t>
    </r>
    <r>
      <rPr>
        <sz val="11"/>
        <rFont val="宋体"/>
        <family val="3"/>
        <charset val="134"/>
      </rPr>
      <t>（底层）</t>
    </r>
    <phoneticPr fontId="20" type="noConversion"/>
  </si>
  <si>
    <t>中楼层/6</t>
    <phoneticPr fontId="20" type="noConversion"/>
  </si>
  <si>
    <t>底层/6</t>
    <phoneticPr fontId="20"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</si>
  <si>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</si>
  <si>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</si>
  <si>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</si>
  <si>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</si>
  <si>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</si>
  <si>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</si>
  <si>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</si>
  <si>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</si>
  <si>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</si>
  <si>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</si>
  <si>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</si>
  <si>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</si>
  <si>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</si>
  <si>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</si>
  <si>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</si>
  <si>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</si>
  <si>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</si>
  <si>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</si>
  <si>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估价对象周边有金福家园、金星小区、定福公寓、定福庄北里1号院等居住小区，小区规模和社区发展完善程度较好，综合评价居住社区成熟度较好</t>
  </si>
  <si>
    <t>估价对象紧邻城市支路——定福庄北街，临近地铁6号线（褡裢坡站）八通线（传媒大学站）；以估价对象为中心半径2公里范围内有306路、411路、488路、499路、517路等十余条公交线路，综合评价交通便捷度较好</t>
  </si>
  <si>
    <t>估价对象所在区域基础设施水平——六通</t>
    <phoneticPr fontId="20" type="noConversion"/>
  </si>
  <si>
    <t>自然环境：兴隆公园、京城梨园、大黄庄苗圃花木基地等；人文环境：中国传媒大学、高进村史博物馆等，综合评价环境状况较好</t>
  </si>
  <si>
    <t>六通</t>
  </si>
  <si>
    <t>成本法</t>
  </si>
  <si>
    <t>16</t>
    <phoneticPr fontId="4" type="noConversion"/>
  </si>
  <si>
    <t>办公</t>
  </si>
  <si>
    <t>商务金融用地（办公类）</t>
  </si>
  <si>
    <t>中关村大街</t>
  </si>
  <si>
    <t>缺少</t>
  </si>
  <si>
    <t>燃气</t>
  </si>
  <si>
    <t>通热</t>
  </si>
  <si>
    <t>容积率修正</t>
  </si>
  <si>
    <t>未包含在土地购买价格中</t>
  </si>
  <si>
    <t>按公示增长率计算</t>
  </si>
  <si>
    <t>自定义</t>
  </si>
  <si>
    <t>有</t>
  </si>
  <si>
    <t>五通一平</t>
  </si>
  <si>
    <t>估价对象所在区域公共配套设施齐备情况好</t>
    <phoneticPr fontId="20" type="noConversion"/>
  </si>
  <si>
    <t>估价对象所在区域基础设施水平——五通</t>
    <phoneticPr fontId="20" type="noConversion"/>
  </si>
  <si>
    <t>自然环境：海淀公园等；人文环境：北京大学等，综合评价环境状况较好</t>
    <phoneticPr fontId="35" type="noConversion"/>
  </si>
  <si>
    <t>城市主干道——中关村大街</t>
    <phoneticPr fontId="20" type="noConversion"/>
  </si>
  <si>
    <t>未包含在土地取得成本中</t>
  </si>
  <si>
    <t>综合</t>
    <phoneticPr fontId="7" type="noConversion"/>
  </si>
  <si>
    <t>估价对象紧邻城市主干道——中关村大街，临近地铁4号线（中关村站）；以估价对象为中心半径2公里范围内有302路、307路、320路、332路、355路等二十余条公交线路，综合评价交通便捷度好</t>
    <phoneticPr fontId="35" type="noConversion"/>
  </si>
  <si>
    <t>周边有中科大厦、海龙大厦、四通大厦等写字楼</t>
    <phoneticPr fontId="20" type="noConversion"/>
  </si>
  <si>
    <t>钢混</t>
  </si>
  <si>
    <t>非生产用房</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</si>
</sst>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35" fillId="0" borderId="33"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657225</xdr:colOff>
      <xdr:row>1</xdr:row>
      <xdr:rowOff>19050</xdr:rowOff>
    </xdr:from>
    <xdr:to>
      <xdr:col>13</xdr:col>
      <xdr:colOff>94207</xdr:colOff>
      <xdr:row>38</xdr:row>
      <xdr:rowOff>46829</xdr:rowOff>
    </xdr:to>
    <xdr:pic>
      <xdr:nvPicPr>
        <xdr:cNvPr id="3" name="图片 2"/>
        <xdr:cNvPicPr>
          <a:picLocks noChangeAspect="1"/>
        </xdr:cNvPicPr>
      </xdr:nvPicPr>
      <xdr:blipFill>
        <a:blip xmlns:r="http://schemas.openxmlformats.org/officeDocument/2006/relationships" r:embed="rId1"/>
        <a:stretch>
          <a:fillRect/>
        </a:stretch>
      </xdr:blipFill>
      <xdr:spPr>
        <a:xfrm>
          <a:off x="657225" y="190500"/>
          <a:ext cx="8352382" cy="6371429"/>
        </a:xfrm>
        <a:prstGeom prst="rect">
          <a:avLst/>
        </a:prstGeom>
      </xdr:spPr>
    </xdr:pic>
    <xdr:clientData/>
  </xdr:twoCellAnchor>
  <xdr:twoCellAnchor editAs="oneCell">
    <xdr:from>
      <xdr:col>14</xdr:col>
      <xdr:colOff>0</xdr:colOff>
      <xdr:row>3</xdr:row>
      <xdr:rowOff>0</xdr:rowOff>
    </xdr:from>
    <xdr:to>
      <xdr:col>28</xdr:col>
      <xdr:colOff>332134</xdr:colOff>
      <xdr:row>52</xdr:row>
      <xdr:rowOff>113236</xdr:rowOff>
    </xdr:to>
    <xdr:pic>
      <xdr:nvPicPr>
        <xdr:cNvPr id="2" name="图片 1"/>
        <xdr:cNvPicPr>
          <a:picLocks noChangeAspect="1"/>
        </xdr:cNvPicPr>
      </xdr:nvPicPr>
      <xdr:blipFill>
        <a:blip xmlns:r="http://schemas.openxmlformats.org/officeDocument/2006/relationships" r:embed="rId2"/>
        <a:stretch>
          <a:fillRect/>
        </a:stretch>
      </xdr:blipFill>
      <xdr:spPr>
        <a:xfrm>
          <a:off x="9601200" y="514350"/>
          <a:ext cx="9933334" cy="8514286"/>
        </a:xfrm>
        <a:prstGeom prst="rect">
          <a:avLst/>
        </a:prstGeom>
      </xdr:spPr>
    </xdr:pic>
    <xdr:clientData/>
  </xdr:twoCellAnchor>
  <xdr:twoCellAnchor editAs="oneCell">
    <xdr:from>
      <xdr:col>1</xdr:col>
      <xdr:colOff>0</xdr:colOff>
      <xdr:row>39</xdr:row>
      <xdr:rowOff>0</xdr:rowOff>
    </xdr:from>
    <xdr:to>
      <xdr:col>10</xdr:col>
      <xdr:colOff>246848</xdr:colOff>
      <xdr:row>55</xdr:row>
      <xdr:rowOff>37753</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6686550"/>
          <a:ext cx="6419048" cy="2780953"/>
        </a:xfrm>
        <a:prstGeom prst="rect">
          <a:avLst/>
        </a:prstGeom>
      </xdr:spPr>
    </xdr:pic>
    <xdr:clientData/>
  </xdr:twoCellAnchor>
  <xdr:twoCellAnchor editAs="oneCell">
    <xdr:from>
      <xdr:col>1</xdr:col>
      <xdr:colOff>0</xdr:colOff>
      <xdr:row>56</xdr:row>
      <xdr:rowOff>0</xdr:rowOff>
    </xdr:from>
    <xdr:to>
      <xdr:col>10</xdr:col>
      <xdr:colOff>246848</xdr:colOff>
      <xdr:row>98</xdr:row>
      <xdr:rowOff>161005</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9601200"/>
          <a:ext cx="6419048" cy="7361905"/>
        </a:xfrm>
        <a:prstGeom prst="rect">
          <a:avLst/>
        </a:prstGeom>
      </xdr:spPr>
    </xdr:pic>
    <xdr:clientData/>
  </xdr:twoCellAnchor>
  <xdr:twoCellAnchor editAs="oneCell">
    <xdr:from>
      <xdr:col>10</xdr:col>
      <xdr:colOff>123825</xdr:colOff>
      <xdr:row>59</xdr:row>
      <xdr:rowOff>9525</xdr:rowOff>
    </xdr:from>
    <xdr:to>
      <xdr:col>19</xdr:col>
      <xdr:colOff>608768</xdr:colOff>
      <xdr:row>77</xdr:row>
      <xdr:rowOff>161520</xdr:rowOff>
    </xdr:to>
    <xdr:pic>
      <xdr:nvPicPr>
        <xdr:cNvPr id="6" name="图片 5"/>
        <xdr:cNvPicPr>
          <a:picLocks noChangeAspect="1"/>
        </xdr:cNvPicPr>
      </xdr:nvPicPr>
      <xdr:blipFill>
        <a:blip xmlns:r="http://schemas.openxmlformats.org/officeDocument/2006/relationships" r:embed="rId5"/>
        <a:stretch>
          <a:fillRect/>
        </a:stretch>
      </xdr:blipFill>
      <xdr:spPr>
        <a:xfrm>
          <a:off x="6981825" y="10125075"/>
          <a:ext cx="6657143" cy="3238095"/>
        </a:xfrm>
        <a:prstGeom prst="rect">
          <a:avLst/>
        </a:prstGeom>
      </xdr:spPr>
    </xdr:pic>
    <xdr:clientData/>
  </xdr:twoCellAnchor>
  <xdr:twoCellAnchor editAs="oneCell">
    <xdr:from>
      <xdr:col>2</xdr:col>
      <xdr:colOff>0</xdr:colOff>
      <xdr:row>101</xdr:row>
      <xdr:rowOff>0</xdr:rowOff>
    </xdr:from>
    <xdr:to>
      <xdr:col>16</xdr:col>
      <xdr:colOff>198801</xdr:colOff>
      <xdr:row>121</xdr:row>
      <xdr:rowOff>171000</xdr:rowOff>
    </xdr:to>
    <xdr:pic>
      <xdr:nvPicPr>
        <xdr:cNvPr id="7" name="图片 6"/>
        <xdr:cNvPicPr>
          <a:picLocks noChangeAspect="1"/>
        </xdr:cNvPicPr>
      </xdr:nvPicPr>
      <xdr:blipFill>
        <a:blip xmlns:r="http://schemas.openxmlformats.org/officeDocument/2006/relationships" r:embed="rId6"/>
        <a:stretch>
          <a:fillRect/>
        </a:stretch>
      </xdr:blipFill>
      <xdr:spPr>
        <a:xfrm>
          <a:off x="1371600" y="17316450"/>
          <a:ext cx="9800001" cy="360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估价对象为房地产，为所有。根据《不动产权证书》[]，估价对象建筑面积为15.87平方米，（分摊）出让国有建设用地使用权面积为0平方米。估价对象用途为。</v>
      </c>
    </row>
    <row r="8" spans="1:2">
      <c r="A8" s="1708" t="s">
        <v>1118</v>
      </c>
      <c r="B8" s="1695" t="str">
        <f>'预评函-1'!A8</f>
        <v>为估价委托人了解估价对象房地产市场价值提供参考依据。</v>
      </c>
    </row>
    <row r="9" spans="1:2">
      <c r="A9" s="1708" t="s">
        <v>1119</v>
      </c>
      <c r="B9" s="1695" t="str">
        <f>'预评函-1'!A10</f>
        <v>2017年11月23日（评估专业人员实地查勘之日）</v>
      </c>
    </row>
    <row r="10" spans="1:2">
      <c r="A10" s="1708" t="s">
        <v>1120</v>
      </c>
      <c r="B10" s="1695" t="str">
        <f>'预评函-1'!A13</f>
        <v>本次估价的“房地产价值”是指在正常市场情况下，在价值时点2017年11月23日，估价对象规划用途为，假定未设立法定优先受偿款下的房地产市场价值。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本次评估采用的主估价方法为收益法和成本法。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15.87</v>
      </c>
    </row>
    <row r="19" spans="1:2">
      <c r="A19" s="1708" t="s">
        <v>1129</v>
      </c>
      <c r="B19" s="1695">
        <f ca="1">'预评函-2（1）'!D7</f>
        <v>457897</v>
      </c>
    </row>
    <row r="20" spans="1:2">
      <c r="A20" s="1708" t="s">
        <v>1167</v>
      </c>
      <c r="B20" s="1695" t="str">
        <f>'预评函-2（1）'!C7</f>
        <v>总价（元）</v>
      </c>
    </row>
    <row r="21" spans="1:2">
      <c r="A21" s="1708" t="s">
        <v>1130</v>
      </c>
      <c r="B21" s="1695">
        <f ca="1">'预评函-2（1）'!D9</f>
        <v>28853</v>
      </c>
    </row>
    <row r="22" spans="1:2">
      <c r="A22" s="1708" t="s">
        <v>1131</v>
      </c>
      <c r="B22" s="1695" t="str">
        <f ca="1">'预评函-2（1）'!D8</f>
        <v>肆拾伍万柒仟捌佰玖拾柒元整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457897</v>
      </c>
    </row>
    <row r="30" spans="1:2">
      <c r="A30" s="1708" t="s">
        <v>1137</v>
      </c>
      <c r="B30" s="1695" t="str">
        <f ca="1">'预评函-2（1）'!D16</f>
        <v>肆拾伍万柒仟捌佰玖拾柒元整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388752</v>
      </c>
    </row>
    <row r="38" spans="1:2">
      <c r="A38" s="1708" t="s">
        <v>1145</v>
      </c>
      <c r="B38" s="1695">
        <f ca="1">'预评函-2（2）'!E4</f>
        <v>24496</v>
      </c>
    </row>
    <row r="39" spans="1:2">
      <c r="A39" s="1708" t="s">
        <v>1146</v>
      </c>
      <c r="B39" s="1695" t="str">
        <f ca="1">'预评函-2（2）'!D5</f>
        <v>叁拾捌万捌仟柒佰伍拾贰元整</v>
      </c>
    </row>
    <row r="40" spans="1:2">
      <c r="A40" s="1708" t="s">
        <v>1147</v>
      </c>
      <c r="B40" s="1695">
        <f ca="1">'预评函-2（2）'!F4</f>
        <v>69146</v>
      </c>
    </row>
    <row r="41" spans="1:2">
      <c r="A41" s="1708" t="s">
        <v>1148</v>
      </c>
      <c r="B41" s="1695">
        <f ca="1">'预评函-2（2）'!G4</f>
        <v>4357</v>
      </c>
    </row>
    <row r="42" spans="1:2" s="1705" customFormat="1" ht="15.75" thickBot="1">
      <c r="A42" s="1709" t="s">
        <v>1149</v>
      </c>
      <c r="B42" s="1697" t="str">
        <f ca="1">'预评函-2（2）'!F5</f>
        <v>陆万玖仟壹佰肆拾陆元整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28853</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43062</v>
      </c>
      <c r="C2" s="2005" t="s">
        <v>1550</v>
      </c>
      <c r="D2" s="1089">
        <v>43062</v>
      </c>
      <c r="E2" s="1065"/>
      <c r="F2" s="1065"/>
      <c r="G2" s="1689"/>
      <c r="H2" s="1021"/>
    </row>
    <row r="3" spans="1:10" ht="13.5" thickBot="1">
      <c r="A3" s="2006" t="s">
        <v>1551</v>
      </c>
      <c r="B3" s="2007" t="s">
        <v>2813</v>
      </c>
      <c r="C3" s="1066">
        <f ca="1">SUMIF(注册房地产估价师,B3,估价师及机构信息!B3:B24)</f>
        <v>1119970111</v>
      </c>
      <c r="D3" s="2007" t="s">
        <v>2814</v>
      </c>
      <c r="E3" s="1067">
        <f ca="1">SUMIF(注册房地产估价师,D3,估价师及机构信息!B3:B24)</f>
        <v>1120060040</v>
      </c>
      <c r="F3" s="1068"/>
      <c r="G3" s="1690"/>
      <c r="H3" s="1021"/>
    </row>
    <row r="4" spans="1:10" ht="13.5" customHeight="1" thickTop="1">
      <c r="A4" s="2008" t="s">
        <v>1552</v>
      </c>
      <c r="B4" s="2009"/>
      <c r="C4" s="2010" t="s">
        <v>1553</v>
      </c>
      <c r="D4" s="2011" t="s">
        <v>2817</v>
      </c>
      <c r="E4" s="1065"/>
      <c r="F4" s="1065"/>
      <c r="G4" s="1689"/>
    </row>
    <row r="5" spans="1:10">
      <c r="A5" s="2012" t="s">
        <v>1554</v>
      </c>
      <c r="B5" s="2013"/>
      <c r="C5" s="2014" t="s">
        <v>1555</v>
      </c>
      <c r="D5" s="2015" t="s">
        <v>2818</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2815</v>
      </c>
      <c r="C6" s="2021"/>
      <c r="D6" s="2022" t="s">
        <v>1558</v>
      </c>
      <c r="E6" s="1023"/>
      <c r="F6" s="1022"/>
      <c r="G6" s="1075"/>
      <c r="I6" s="1071" t="str">
        <f>IF(COUNTIF(B5,"*上海银行*"),"上海银行","")</f>
        <v/>
      </c>
    </row>
    <row r="7" spans="1:10" ht="13.5" thickBot="1">
      <c r="A7" s="2006" t="s">
        <v>1559</v>
      </c>
      <c r="B7" s="2023" t="s">
        <v>2816</v>
      </c>
      <c r="C7" s="2024" t="str">
        <f>IF(B7="自然人","姓名","名称")</f>
        <v>姓名</v>
      </c>
      <c r="D7" s="2025"/>
      <c r="E7" s="1069"/>
      <c r="F7" s="1068"/>
      <c r="G7" s="1690"/>
    </row>
    <row r="8" spans="1:10" ht="13.5" thickTop="1">
      <c r="A8" s="2822" t="s">
        <v>1560</v>
      </c>
      <c r="B8" s="2026" t="s">
        <v>1561</v>
      </c>
      <c r="C8" s="2834"/>
      <c r="D8" s="2835"/>
      <c r="E8" s="2027" t="s">
        <v>1562</v>
      </c>
      <c r="F8" s="2028" t="s">
        <v>1563</v>
      </c>
      <c r="G8" s="691">
        <f>C6</f>
        <v>0</v>
      </c>
    </row>
    <row r="9" spans="1:10">
      <c r="A9" s="2822"/>
      <c r="B9" s="345" t="s">
        <v>1564</v>
      </c>
      <c r="C9" s="2717" t="s">
        <v>2938</v>
      </c>
      <c r="D9" s="2029"/>
      <c r="E9" s="1011" t="s">
        <v>1565</v>
      </c>
      <c r="F9" s="997" t="s">
        <v>221</v>
      </c>
      <c r="G9" s="1013"/>
    </row>
    <row r="10" spans="1:10" ht="13.5" thickBot="1">
      <c r="A10" s="2822"/>
      <c r="B10" s="345" t="s">
        <v>1566</v>
      </c>
      <c r="C10" s="2836"/>
      <c r="D10" s="2837"/>
      <c r="E10" s="2030" t="s">
        <v>1567</v>
      </c>
      <c r="F10" s="1014" t="s">
        <v>88</v>
      </c>
      <c r="G10" s="1015"/>
    </row>
    <row r="11" spans="1:10" ht="13.5" thickBot="1">
      <c r="A11" s="2822"/>
      <c r="B11" s="2031" t="s">
        <v>1568</v>
      </c>
      <c r="C11" s="2838"/>
      <c r="D11" s="2839"/>
      <c r="E11" s="1023"/>
      <c r="F11" s="1022"/>
      <c r="G11" s="1075"/>
    </row>
    <row r="12" spans="1:10" ht="24.75" thickBot="1">
      <c r="A12" s="2825" t="s">
        <v>1569</v>
      </c>
      <c r="B12" s="2032" t="s">
        <v>1570</v>
      </c>
      <c r="C12" s="1017">
        <v>15.87</v>
      </c>
      <c r="D12" s="2032" t="s">
        <v>1571</v>
      </c>
      <c r="E12" s="2033" t="s">
        <v>1572</v>
      </c>
      <c r="F12" s="2034" t="s">
        <v>1573</v>
      </c>
      <c r="G12" s="1075"/>
    </row>
    <row r="13" spans="1:10" ht="21" customHeight="1" thickBot="1">
      <c r="A13" s="2826"/>
      <c r="B13" s="2035" t="s">
        <v>1574</v>
      </c>
      <c r="C13" s="1018">
        <v>0</v>
      </c>
      <c r="D13" s="2035" t="s">
        <v>1575</v>
      </c>
      <c r="E13" s="2036" t="s">
        <v>1572</v>
      </c>
      <c r="F13" s="1022"/>
      <c r="G13" s="1075"/>
      <c r="I13" s="2812"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12"/>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v>8.92</v>
      </c>
      <c r="D15" s="1068"/>
      <c r="E15" s="1068"/>
      <c r="F15" s="1068"/>
      <c r="G15" s="1690"/>
      <c r="I15" s="2812"/>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40" t="s">
        <v>1583</v>
      </c>
      <c r="C17" s="2841"/>
      <c r="D17" s="2842" t="s">
        <v>1584</v>
      </c>
      <c r="E17" s="2843"/>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8" t="s">
        <v>1599</v>
      </c>
      <c r="D27" s="2829"/>
      <c r="E27" s="1005"/>
      <c r="F27" s="1012" t="s">
        <v>1599</v>
      </c>
      <c r="G27" s="1005"/>
      <c r="I27" s="1072"/>
      <c r="K27" s="1072"/>
    </row>
    <row r="28" spans="1:15">
      <c r="A28" s="1009" t="s">
        <v>1600</v>
      </c>
      <c r="B28" s="979"/>
      <c r="C28" s="2830" t="s">
        <v>1601</v>
      </c>
      <c r="D28" s="2831"/>
      <c r="E28" s="979"/>
      <c r="F28" s="1900" t="s">
        <v>1601</v>
      </c>
      <c r="G28" s="979"/>
      <c r="I28" s="1072"/>
      <c r="K28" s="1072"/>
    </row>
    <row r="29" spans="1:15">
      <c r="A29" s="1009" t="s">
        <v>1602</v>
      </c>
      <c r="B29" s="979"/>
      <c r="C29" s="2830" t="s">
        <v>1602</v>
      </c>
      <c r="D29" s="2831"/>
      <c r="E29" s="979"/>
      <c r="F29" s="1900" t="s">
        <v>1603</v>
      </c>
      <c r="G29" s="979"/>
      <c r="I29" s="1072"/>
      <c r="K29" s="1072"/>
    </row>
    <row r="30" spans="1:15">
      <c r="A30" s="1009" t="s">
        <v>1604</v>
      </c>
      <c r="B30" s="979"/>
      <c r="C30" s="2819" t="s">
        <v>1605</v>
      </c>
      <c r="D30" s="2074"/>
      <c r="E30" s="1024" t="str">
        <f>E31&amp;" "&amp;E32&amp;" "&amp;E33&amp;" "&amp;E34</f>
        <v xml:space="preserve">   </v>
      </c>
      <c r="F30" s="1900" t="s">
        <v>1606</v>
      </c>
      <c r="G30" s="979"/>
    </row>
    <row r="31" spans="1:15">
      <c r="A31" s="1009" t="s">
        <v>1607</v>
      </c>
      <c r="B31" s="979"/>
      <c r="C31" s="2820"/>
      <c r="D31" s="1899" t="s">
        <v>1608</v>
      </c>
      <c r="E31" s="979"/>
      <c r="F31" s="1900" t="s">
        <v>1609</v>
      </c>
      <c r="G31" s="979"/>
    </row>
    <row r="32" spans="1:15" ht="24.75" thickBot="1">
      <c r="A32" s="1010" t="s">
        <v>1610</v>
      </c>
      <c r="B32" s="1006"/>
      <c r="C32" s="2820"/>
      <c r="D32" s="1899" t="s">
        <v>1611</v>
      </c>
      <c r="E32" s="979"/>
      <c r="F32" s="1900" t="s">
        <v>1612</v>
      </c>
      <c r="G32" s="979"/>
    </row>
    <row r="33" spans="1:7">
      <c r="A33" s="1008" t="s">
        <v>1613</v>
      </c>
      <c r="B33" s="1005"/>
      <c r="C33" s="2820"/>
      <c r="D33" s="1899" t="s">
        <v>1614</v>
      </c>
      <c r="E33" s="979"/>
      <c r="F33" s="1900" t="s">
        <v>1615</v>
      </c>
      <c r="G33" s="979"/>
    </row>
    <row r="34" spans="1:7" ht="13.5" thickBot="1">
      <c r="A34" s="1009" t="s">
        <v>1616</v>
      </c>
      <c r="B34" s="979"/>
      <c r="C34" s="2821"/>
      <c r="D34" s="1899" t="s">
        <v>1617</v>
      </c>
      <c r="E34" s="979"/>
      <c r="F34" s="1901" t="s">
        <v>1618</v>
      </c>
      <c r="G34" s="1007"/>
    </row>
    <row r="35" spans="1:7">
      <c r="A35" s="1009" t="s">
        <v>1570</v>
      </c>
      <c r="B35" s="979">
        <v>15.87</v>
      </c>
      <c r="C35" s="2830" t="s">
        <v>1619</v>
      </c>
      <c r="D35" s="2831"/>
      <c r="E35" s="979"/>
      <c r="F35" s="1020" t="s">
        <v>1620</v>
      </c>
      <c r="G35" s="1005"/>
    </row>
    <row r="36" spans="1:7" ht="13.5" thickBot="1">
      <c r="A36" s="1009" t="s">
        <v>1621</v>
      </c>
      <c r="B36" s="979"/>
      <c r="C36" s="2832" t="s">
        <v>1622</v>
      </c>
      <c r="D36" s="2833"/>
      <c r="E36" s="1006"/>
      <c r="F36" s="1897" t="s">
        <v>1623</v>
      </c>
      <c r="G36" s="979"/>
    </row>
    <row r="37" spans="1:7" ht="13.5" thickBot="1">
      <c r="A37" s="1009" t="s">
        <v>1624</v>
      </c>
      <c r="B37" s="979"/>
      <c r="C37" s="2817" t="s">
        <v>1625</v>
      </c>
      <c r="D37" s="2075" t="s">
        <v>1609</v>
      </c>
      <c r="E37" s="1005"/>
      <c r="F37" s="1901" t="s">
        <v>1626</v>
      </c>
      <c r="G37" s="1006"/>
    </row>
    <row r="38" spans="1:7">
      <c r="A38" s="1009" t="s">
        <v>1627</v>
      </c>
      <c r="B38" s="979"/>
      <c r="C38" s="2823"/>
      <c r="D38" s="1899" t="s">
        <v>1616</v>
      </c>
      <c r="E38" s="979"/>
      <c r="F38" s="1012" t="s">
        <v>1628</v>
      </c>
      <c r="G38" s="1005"/>
    </row>
    <row r="39" spans="1:7">
      <c r="A39" s="1009" t="s">
        <v>1629</v>
      </c>
      <c r="B39" s="979"/>
      <c r="C39" s="2823" t="s">
        <v>1630</v>
      </c>
      <c r="D39" s="1899" t="s">
        <v>1570</v>
      </c>
      <c r="E39" s="979"/>
      <c r="F39" s="1900" t="s">
        <v>1631</v>
      </c>
      <c r="G39" s="979"/>
    </row>
    <row r="40" spans="1:7" ht="24.75" customHeight="1" thickBot="1">
      <c r="A40" s="1010" t="s">
        <v>1632</v>
      </c>
      <c r="B40" s="1006"/>
      <c r="C40" s="2824"/>
      <c r="D40" s="1902" t="s">
        <v>1574</v>
      </c>
      <c r="E40" s="1006"/>
      <c r="F40" s="1901" t="s">
        <v>1633</v>
      </c>
      <c r="G40" s="1006"/>
    </row>
    <row r="41" spans="1:7">
      <c r="A41" s="1011" t="s">
        <v>1634</v>
      </c>
      <c r="B41" s="1061"/>
      <c r="C41" s="2813" t="s">
        <v>1634</v>
      </c>
      <c r="D41" s="2814"/>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15" t="s">
        <v>1637</v>
      </c>
      <c r="D48" s="2816"/>
      <c r="E48" s="1056"/>
      <c r="F48" s="1901" t="s">
        <v>1638</v>
      </c>
      <c r="G48" s="1006"/>
    </row>
    <row r="49" spans="1:15">
      <c r="A49" s="1009" t="s">
        <v>1639</v>
      </c>
      <c r="B49" s="1055"/>
      <c r="C49" s="2817" t="s">
        <v>1640</v>
      </c>
      <c r="D49" s="2818"/>
      <c r="E49" s="1057">
        <v>55330</v>
      </c>
      <c r="F49" s="1085"/>
      <c r="G49" s="1086"/>
    </row>
    <row r="50" spans="1:15" ht="13.5" thickBot="1">
      <c r="A50" s="1009" t="s">
        <v>1641</v>
      </c>
      <c r="B50" s="1055"/>
      <c r="C50" s="2824" t="s">
        <v>1642</v>
      </c>
      <c r="D50" s="2827"/>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43062</v>
      </c>
      <c r="C2" s="1861"/>
      <c r="D2" s="2846"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2808</v>
      </c>
      <c r="C3" s="1861"/>
      <c r="D3" s="2847"/>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2809</v>
      </c>
      <c r="C4" s="1861"/>
      <c r="D4" s="2847"/>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15.87</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2921</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50</v>
      </c>
      <c r="C11" s="1861"/>
      <c r="D11" s="2095" t="s">
        <v>1659</v>
      </c>
      <c r="E11" s="34">
        <v>160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v>55330</v>
      </c>
      <c r="C12" s="1861"/>
      <c r="D12" s="2100" t="s">
        <v>1662</v>
      </c>
      <c r="E12" s="37">
        <v>200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33.61</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0.85199999999999998</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6.5000000000000002E-2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3500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55545</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0.74</v>
      </c>
      <c r="F20" s="1239"/>
      <c r="G20" s="1861"/>
      <c r="H20" s="2848" t="s">
        <v>2897</v>
      </c>
      <c r="I20" s="2848"/>
      <c r="J20" s="2745"/>
      <c r="K20" s="2746"/>
      <c r="L20" s="2746"/>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2</v>
      </c>
      <c r="C21" s="1861"/>
      <c r="D21" s="2100" t="s">
        <v>1677</v>
      </c>
      <c r="E21" s="712">
        <v>0.03</v>
      </c>
      <c r="F21" s="1858" t="s">
        <v>1678</v>
      </c>
      <c r="G21" s="1861"/>
      <c r="H21" s="2747" t="s">
        <v>2898</v>
      </c>
      <c r="I21" s="2748">
        <v>0</v>
      </c>
      <c r="J21" s="2745"/>
      <c r="K21" s="2749"/>
      <c r="L21" s="2749"/>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2</v>
      </c>
      <c r="C22" s="1861"/>
      <c r="D22" s="2100" t="s">
        <v>1680</v>
      </c>
      <c r="E22" s="40">
        <v>0.05</v>
      </c>
      <c r="F22" s="1858" t="s">
        <v>1681</v>
      </c>
      <c r="G22" s="1861"/>
      <c r="H22" s="2747" t="s">
        <v>2899</v>
      </c>
      <c r="I22" s="2750" t="s">
        <v>2920</v>
      </c>
      <c r="J22" s="2745"/>
      <c r="K22" s="2749"/>
      <c r="L22" s="275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2</v>
      </c>
      <c r="C23" s="1861"/>
      <c r="D23" s="2100" t="s">
        <v>1683</v>
      </c>
      <c r="E23" s="37">
        <v>200</v>
      </c>
      <c r="F23" s="1858" t="s">
        <v>1684</v>
      </c>
      <c r="G23" s="1861"/>
      <c r="H23" s="2747" t="s">
        <v>2900</v>
      </c>
      <c r="I23" s="2750" t="s">
        <v>2901</v>
      </c>
      <c r="J23" s="2745"/>
      <c r="K23" s="2749"/>
      <c r="L23" s="2749"/>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2</v>
      </c>
      <c r="C24" s="1861"/>
      <c r="D24" s="2105" t="s">
        <v>1686</v>
      </c>
      <c r="E24" s="1824">
        <v>1.4999999999999999E-2</v>
      </c>
      <c r="F24" s="1858" t="s">
        <v>1687</v>
      </c>
      <c r="G24" s="1861"/>
      <c r="H24" s="2747" t="s">
        <v>2902</v>
      </c>
      <c r="I24" s="2752">
        <f>ROUND(1-(1-I21)*I22/I23,2)</f>
        <v>0.73</v>
      </c>
      <c r="J24" s="2745"/>
      <c r="K24" s="2749"/>
      <c r="L24" s="2749"/>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0.03</v>
      </c>
      <c r="F25" s="1858" t="s">
        <v>1690</v>
      </c>
      <c r="H25" s="2753" t="s">
        <v>2903</v>
      </c>
      <c r="I25" s="2754">
        <v>0.5</v>
      </c>
      <c r="J25" s="2745"/>
      <c r="K25" s="2749"/>
      <c r="L25" s="2749"/>
      <c r="AE25" s="1239"/>
      <c r="AF25" s="1239"/>
      <c r="AG25" s="1239"/>
      <c r="AH25" s="1239"/>
      <c r="AI25" s="1239"/>
      <c r="AJ25" s="1239"/>
      <c r="AK25" s="1239"/>
      <c r="AL25" s="1239"/>
      <c r="AM25" s="1239"/>
      <c r="AN25" s="1239"/>
      <c r="AO25" s="1239"/>
    </row>
    <row r="26" spans="1:41" ht="15.75" thickBot="1">
      <c r="A26" s="2114" t="s">
        <v>1691</v>
      </c>
      <c r="B26" s="1095">
        <v>2003</v>
      </c>
      <c r="C26" s="1861"/>
      <c r="D26" s="2100" t="s">
        <v>1692</v>
      </c>
      <c r="E26" s="40">
        <v>0.03</v>
      </c>
      <c r="F26" s="1858" t="s">
        <v>1690</v>
      </c>
      <c r="G26" s="2083"/>
      <c r="H26" s="2849" t="s">
        <v>2904</v>
      </c>
      <c r="I26" s="2849"/>
      <c r="J26" s="2849"/>
      <c r="K26" s="2849"/>
      <c r="L26" s="2849"/>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5" t="s">
        <v>2905</v>
      </c>
      <c r="I27" s="2756" t="s">
        <v>2906</v>
      </c>
      <c r="J27" s="2756" t="s">
        <v>2907</v>
      </c>
      <c r="K27" s="2756" t="s">
        <v>2908</v>
      </c>
      <c r="L27" s="2756" t="s">
        <v>2909</v>
      </c>
      <c r="N27" s="1861"/>
      <c r="AE27" s="1239"/>
      <c r="AF27" s="1239"/>
      <c r="AG27" s="1239"/>
      <c r="AH27" s="1239"/>
      <c r="AI27" s="1239"/>
      <c r="AJ27" s="1239"/>
      <c r="AK27" s="1239"/>
      <c r="AL27" s="1239"/>
      <c r="AM27" s="1239"/>
      <c r="AN27" s="1239"/>
      <c r="AO27" s="1239"/>
    </row>
    <row r="28" spans="1:41" ht="15" thickBot="1">
      <c r="A28" s="2115" t="s">
        <v>1695</v>
      </c>
      <c r="B28" s="2116" t="s">
        <v>2807</v>
      </c>
      <c r="C28" s="1239"/>
      <c r="D28" s="2117" t="s">
        <v>1696</v>
      </c>
      <c r="E28" s="990">
        <v>0.2</v>
      </c>
      <c r="G28" s="2083"/>
      <c r="H28" s="2755" t="s">
        <v>2910</v>
      </c>
      <c r="I28" s="2756">
        <v>100</v>
      </c>
      <c r="J28" s="2756" t="s">
        <v>2911</v>
      </c>
      <c r="K28" s="2756">
        <v>75</v>
      </c>
      <c r="L28" s="2757">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3500</v>
      </c>
      <c r="C29" s="1239"/>
      <c r="D29" s="2104" t="s">
        <v>1697</v>
      </c>
      <c r="E29" s="989">
        <f>E30+E31</f>
        <v>5.6000000000000001E-2</v>
      </c>
      <c r="F29" s="1855"/>
      <c r="G29" s="2083"/>
      <c r="H29" s="2755" t="s">
        <v>2912</v>
      </c>
      <c r="I29" s="2756">
        <v>100</v>
      </c>
      <c r="J29" s="2756" t="s">
        <v>2911</v>
      </c>
      <c r="K29" s="2756">
        <v>75</v>
      </c>
      <c r="L29" s="2757">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5" t="s">
        <v>2913</v>
      </c>
      <c r="I30" s="2756">
        <v>100</v>
      </c>
      <c r="J30" s="2756" t="s">
        <v>2911</v>
      </c>
      <c r="K30" s="2756">
        <v>75</v>
      </c>
      <c r="L30" s="2757">
        <f>1-L28-L29</f>
        <v>0.19999999999999996</v>
      </c>
      <c r="N30" s="1861"/>
      <c r="AE30" s="1239"/>
      <c r="AF30" s="1239"/>
      <c r="AG30" s="1239"/>
      <c r="AH30" s="1239"/>
      <c r="AI30" s="1239"/>
      <c r="AJ30" s="1239"/>
      <c r="AK30" s="1239"/>
      <c r="AL30" s="1239"/>
      <c r="AM30" s="1239"/>
      <c r="AN30" s="1239"/>
      <c r="AO30" s="1239"/>
    </row>
    <row r="31" spans="1:41" ht="14.25">
      <c r="A31" s="2098" t="s">
        <v>1700</v>
      </c>
      <c r="B31" s="30">
        <v>0.02</v>
      </c>
      <c r="C31" s="1239"/>
      <c r="D31" s="2118" t="s">
        <v>1701</v>
      </c>
      <c r="E31" s="42">
        <f>E30*(E32+E33+E34)+E35</f>
        <v>6.000000000000001E-3</v>
      </c>
      <c r="F31" s="1855"/>
      <c r="G31" s="2083"/>
      <c r="H31" s="2758" t="s">
        <v>2903</v>
      </c>
      <c r="I31" s="2759">
        <f>1-I25</f>
        <v>0.5</v>
      </c>
      <c r="J31" s="2756" t="s">
        <v>2902</v>
      </c>
      <c r="K31" s="2760">
        <v>0.75</v>
      </c>
      <c r="L31" s="2761"/>
      <c r="N31" s="1861"/>
      <c r="AE31" s="1239"/>
      <c r="AF31" s="1239"/>
      <c r="AG31" s="1239"/>
      <c r="AH31" s="1239"/>
      <c r="AI31" s="1239"/>
      <c r="AJ31" s="1239"/>
      <c r="AK31" s="1239"/>
      <c r="AL31" s="1239"/>
      <c r="AM31" s="1239"/>
      <c r="AN31" s="1239"/>
      <c r="AO31" s="1239"/>
    </row>
    <row r="32" spans="1:41" ht="14.25">
      <c r="A32" s="2098" t="s">
        <v>1702</v>
      </c>
      <c r="B32" s="30">
        <v>0.3</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33.61</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0.02</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2E-3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0.02</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0" t="s">
        <v>1738</v>
      </c>
      <c r="B1" s="2851"/>
      <c r="C1" s="2851"/>
      <c r="D1" s="2851"/>
      <c r="E1" s="2851"/>
      <c r="F1" s="2851"/>
      <c r="G1" s="2851"/>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42.75">
      <c r="A3" s="396" t="s">
        <v>1741</v>
      </c>
      <c r="B3" s="2150" t="s">
        <v>1742</v>
      </c>
      <c r="C3" s="2721"/>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727" t="s">
        <v>2940</v>
      </c>
      <c r="D5" s="2151"/>
      <c r="E5" s="2155"/>
      <c r="F5" s="1893" t="s">
        <v>1749</v>
      </c>
      <c r="G5" s="2157" t="s">
        <v>1750</v>
      </c>
      <c r="H5" s="2148"/>
      <c r="I5" s="2148"/>
      <c r="J5" s="2148"/>
      <c r="K5" s="2148"/>
      <c r="L5" s="2148"/>
      <c r="M5" s="2148"/>
      <c r="N5" s="2148"/>
      <c r="O5" s="2148"/>
      <c r="P5" s="2148"/>
      <c r="Q5" s="2148"/>
      <c r="R5" s="2148"/>
    </row>
    <row r="6" spans="1:29" ht="94.5">
      <c r="A6" s="412"/>
      <c r="B6" s="1893" t="s">
        <v>1751</v>
      </c>
      <c r="C6" s="2722" t="s">
        <v>2939</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2933</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2934</v>
      </c>
      <c r="D8" s="2158"/>
      <c r="E8" s="2158"/>
      <c r="F8" s="1248"/>
      <c r="G8" s="1248"/>
      <c r="H8" s="2148"/>
      <c r="I8" s="2148"/>
      <c r="J8" s="2148"/>
      <c r="K8" s="2148"/>
      <c r="L8" s="2148"/>
      <c r="M8" s="2148"/>
      <c r="N8" s="2148"/>
      <c r="O8" s="2148"/>
      <c r="P8" s="2148"/>
      <c r="Q8" s="2148"/>
      <c r="R8" s="2148"/>
    </row>
    <row r="9" spans="1:29" ht="40.5">
      <c r="A9" s="412"/>
      <c r="B9" s="1893" t="s">
        <v>1756</v>
      </c>
      <c r="C9" s="2727" t="s">
        <v>2935</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2936</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42.75">
      <c r="A15" s="25" t="s">
        <v>1761</v>
      </c>
      <c r="B15" s="2182" t="s">
        <v>1742</v>
      </c>
      <c r="C15" s="2183">
        <f>C3</f>
        <v>0</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28.5">
      <c r="A17" s="630"/>
      <c r="B17" s="1495" t="s">
        <v>1748</v>
      </c>
      <c r="C17" s="2185" t="str">
        <f>C5</f>
        <v>周边有中科大厦、海龙大厦、四通大厦等写字楼</v>
      </c>
      <c r="D17" s="2158"/>
      <c r="E17" s="2186"/>
      <c r="F17" s="2187" t="s">
        <v>1764</v>
      </c>
      <c r="G17" s="2188"/>
    </row>
    <row r="18" spans="1:18" ht="99.75">
      <c r="A18" s="630"/>
      <c r="B18" s="2187" t="s">
        <v>1751</v>
      </c>
      <c r="C18" s="52" t="str">
        <f>C6</f>
        <v>估价对象紧邻城市主干道——中关村大街，临近地铁4号线（中关村站）；以估价对象为中心半径2公里范围内有302路、307路、320路、332路、355路等二十余条公交线路，综合评价交通便捷度好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42.75">
      <c r="A20" s="630"/>
      <c r="B20" s="2187" t="s">
        <v>1766</v>
      </c>
      <c r="C20" s="2185" t="str">
        <f>C9</f>
        <v>自然环境：海淀公园等；人文环境：北京大学等，综合评价环境状况较好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估价对象所在区域公共配套设施齐备情况好</v>
      </c>
      <c r="D21" s="2151"/>
      <c r="E21" s="2186"/>
      <c r="F21" s="2187" t="s">
        <v>1768</v>
      </c>
      <c r="G21" s="2189"/>
    </row>
    <row r="22" spans="1:18" ht="28.5">
      <c r="A22" s="630"/>
      <c r="B22" s="1893" t="s">
        <v>1752</v>
      </c>
      <c r="C22" s="52" t="str">
        <f>C8</f>
        <v>估价对象所在区域基础设施水平——五通</v>
      </c>
      <c r="D22" s="2151"/>
      <c r="E22" s="2186"/>
      <c r="F22" s="2187" t="s">
        <v>1757</v>
      </c>
      <c r="G22" s="2190"/>
    </row>
    <row r="23" spans="1:18" s="2148" customFormat="1" ht="15.75" thickBot="1">
      <c r="A23" s="630"/>
      <c r="B23" s="2187" t="s">
        <v>1768</v>
      </c>
      <c r="C23" s="2189" t="s">
        <v>2811</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城市主干道——中关村大街</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zoomScaleNormal="100" zoomScaleSheetLayoutView="100" zoomScalePageLayoutView="80" workbookViewId="0">
      <selection activeCell="E31" sqref="E31"/>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16" t="str">
        <f>项目基本情况!B1</f>
        <v>房地产市场价值预评估</v>
      </c>
      <c r="B2" s="2916"/>
      <c r="C2" s="2916"/>
      <c r="D2" s="2916"/>
      <c r="E2" s="2916"/>
      <c r="F2" s="2916"/>
      <c r="G2" s="2916"/>
      <c r="H2" s="2916"/>
      <c r="I2" s="2916"/>
    </row>
    <row r="3" spans="1:12" ht="12.75">
      <c r="A3" s="2919" t="s">
        <v>1772</v>
      </c>
      <c r="B3" s="2920"/>
      <c r="C3" s="2920"/>
      <c r="D3" s="2920"/>
      <c r="E3" s="2920"/>
      <c r="F3" s="2920"/>
      <c r="G3" s="2920"/>
      <c r="H3" s="2920"/>
      <c r="I3" s="2920"/>
    </row>
    <row r="4" spans="1:12" ht="14.25">
      <c r="A4" s="2203" t="s">
        <v>1773</v>
      </c>
      <c r="B4" s="2204" t="s">
        <v>1774</v>
      </c>
      <c r="C4" s="2205" t="s">
        <v>2863</v>
      </c>
      <c r="D4" s="2205" t="s">
        <v>2919</v>
      </c>
      <c r="E4" s="2900" t="s">
        <v>1775</v>
      </c>
      <c r="F4" s="2901"/>
      <c r="G4" s="2901"/>
      <c r="H4" s="2901"/>
      <c r="I4" s="2911"/>
      <c r="K4" s="1851" t="str">
        <f>IF(ISNUMBER(FIND("比较法",结果表!C4)),"比较法",IF(ISNUMBER(FIND("成本法",结果表!C4)),"成本法",IF(ISNUMBER(FIND("假设开发法",结果表!C4)),"假设开发法",IF(ISNUMBER(FIND("收益法",结果表!C4)),"收益法","基准地价系数修正法"))))</f>
        <v>收益法</v>
      </c>
      <c r="L4" s="1851" t="str">
        <f>IF(ISNUMBER(FIND("比较法",结果表!D4)),"比较法",IF(ISNUMBER(FIND("成本法",结果表!D4)),"成本法",IF(ISNUMBER(FIND("假设开发法",结果表!D4)),"假设开发法",IF(ISNUMBER(FIND("收益法",结果表!D4)),"收益法","基准地价系数修正法"))))</f>
        <v>成本法</v>
      </c>
    </row>
    <row r="5" spans="1:12" ht="12.75">
      <c r="A5" s="2893" t="s">
        <v>1776</v>
      </c>
      <c r="B5" s="2855">
        <v>25</v>
      </c>
      <c r="C5" s="2904">
        <v>80</v>
      </c>
      <c r="D5" s="2918">
        <f>100-C5</f>
        <v>20</v>
      </c>
      <c r="E5" s="56" t="s">
        <v>1777</v>
      </c>
      <c r="F5" s="2206"/>
      <c r="G5" s="2206"/>
      <c r="H5" s="2206"/>
      <c r="I5" s="2207"/>
    </row>
    <row r="6" spans="1:12" ht="12.75">
      <c r="A6" s="2893"/>
      <c r="B6" s="2855"/>
      <c r="C6" s="2921"/>
      <c r="D6" s="2918"/>
      <c r="E6" s="56" t="s">
        <v>1778</v>
      </c>
      <c r="F6" s="2206"/>
      <c r="G6" s="2206"/>
      <c r="H6" s="2206"/>
      <c r="I6" s="2207"/>
    </row>
    <row r="7" spans="1:12" ht="12.75">
      <c r="A7" s="2893"/>
      <c r="B7" s="2855"/>
      <c r="C7" s="2905"/>
      <c r="D7" s="2918"/>
      <c r="E7" s="56" t="s">
        <v>1779</v>
      </c>
      <c r="F7" s="2206"/>
      <c r="G7" s="2206"/>
      <c r="H7" s="2206"/>
      <c r="I7" s="2207"/>
    </row>
    <row r="8" spans="1:12" ht="12.75">
      <c r="A8" s="2893" t="s">
        <v>1780</v>
      </c>
      <c r="B8" s="2855">
        <v>15</v>
      </c>
      <c r="C8" s="2904"/>
      <c r="D8" s="2918"/>
      <c r="E8" s="56" t="s">
        <v>1781</v>
      </c>
      <c r="F8" s="2206"/>
      <c r="G8" s="2206"/>
      <c r="H8" s="2206"/>
      <c r="I8" s="2207"/>
    </row>
    <row r="9" spans="1:12" ht="12.75">
      <c r="A9" s="2893"/>
      <c r="B9" s="2855"/>
      <c r="C9" s="2905"/>
      <c r="D9" s="2918"/>
      <c r="E9" s="56" t="s">
        <v>1782</v>
      </c>
      <c r="F9" s="2206"/>
      <c r="G9" s="2206"/>
      <c r="H9" s="2206"/>
      <c r="I9" s="2207"/>
    </row>
    <row r="10" spans="1:12" ht="12.75">
      <c r="A10" s="2893" t="s">
        <v>1783</v>
      </c>
      <c r="B10" s="2855">
        <v>15</v>
      </c>
      <c r="C10" s="2904"/>
      <c r="D10" s="2918"/>
      <c r="E10" s="56" t="s">
        <v>1784</v>
      </c>
      <c r="F10" s="2206"/>
      <c r="G10" s="2206"/>
      <c r="H10" s="2206"/>
      <c r="I10" s="2207"/>
    </row>
    <row r="11" spans="1:12" ht="12.75">
      <c r="A11" s="2893"/>
      <c r="B11" s="2855"/>
      <c r="C11" s="2905"/>
      <c r="D11" s="2918"/>
      <c r="E11" s="56" t="s">
        <v>1785</v>
      </c>
      <c r="F11" s="2206"/>
      <c r="G11" s="2206"/>
      <c r="H11" s="2206"/>
      <c r="I11" s="2207"/>
    </row>
    <row r="12" spans="1:12" ht="12.75">
      <c r="A12" s="2893" t="s">
        <v>1786</v>
      </c>
      <c r="B12" s="2855">
        <v>15</v>
      </c>
      <c r="C12" s="2904"/>
      <c r="D12" s="2918"/>
      <c r="E12" s="56" t="s">
        <v>1787</v>
      </c>
      <c r="F12" s="2206"/>
      <c r="G12" s="2206"/>
      <c r="H12" s="2206"/>
      <c r="I12" s="2207"/>
    </row>
    <row r="13" spans="1:12" ht="12.75">
      <c r="A13" s="2893"/>
      <c r="B13" s="2855"/>
      <c r="C13" s="2905"/>
      <c r="D13" s="2918"/>
      <c r="E13" s="56" t="s">
        <v>1788</v>
      </c>
      <c r="F13" s="2206"/>
      <c r="G13" s="2206"/>
      <c r="H13" s="2206"/>
      <c r="I13" s="2207"/>
    </row>
    <row r="14" spans="1:12" ht="12.75">
      <c r="A14" s="2893" t="s">
        <v>1789</v>
      </c>
      <c r="B14" s="2855">
        <v>30</v>
      </c>
      <c r="C14" s="2904"/>
      <c r="D14" s="2918"/>
      <c r="E14" s="56" t="s">
        <v>1790</v>
      </c>
      <c r="F14" s="2206"/>
      <c r="G14" s="2206"/>
      <c r="H14" s="2206"/>
      <c r="I14" s="2207"/>
    </row>
    <row r="15" spans="1:12" ht="12.75">
      <c r="A15" s="2893"/>
      <c r="B15" s="2855"/>
      <c r="C15" s="2921"/>
      <c r="D15" s="2918"/>
      <c r="E15" s="56" t="s">
        <v>1791</v>
      </c>
      <c r="F15" s="2206"/>
      <c r="G15" s="2206"/>
      <c r="H15" s="2206"/>
      <c r="I15" s="2207"/>
    </row>
    <row r="16" spans="1:12" ht="12.75">
      <c r="A16" s="2893"/>
      <c r="B16" s="2855"/>
      <c r="C16" s="2905"/>
      <c r="D16" s="2918"/>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423602</v>
      </c>
      <c r="D19" s="60">
        <f ca="1">SUMIF(INDIRECT("'"&amp;D4&amp;"'"&amp;"!A:A"),结果表!B19,INDIRECT("'"&amp;D4&amp;"'"&amp;"!B:B"))</f>
        <v>595070</v>
      </c>
      <c r="E19" s="2212" t="s">
        <v>1797</v>
      </c>
      <c r="F19" s="2213" t="s">
        <v>1796</v>
      </c>
      <c r="G19" s="61">
        <f ca="1">ROUND(C19*$C$18+D19*$D$18,0)</f>
        <v>457896</v>
      </c>
      <c r="H19" s="2214" t="str">
        <f>'数据-取费表'!B3</f>
        <v>元</v>
      </c>
      <c r="I19" s="2201"/>
    </row>
    <row r="20" spans="1:35" ht="15">
      <c r="A20" s="2215"/>
      <c r="B20" s="2216" t="s">
        <v>1798</v>
      </c>
      <c r="C20" s="62">
        <f ca="1">SUMIF(INDIRECT("'"&amp;C4&amp;"'"&amp;"!A:A"),结果表!B20,INDIRECT("'"&amp;C4&amp;"'"&amp;"!B:B"))</f>
        <v>26692</v>
      </c>
      <c r="D20" s="63">
        <f ca="1">SUMIF(INDIRECT("'"&amp;D4&amp;"'"&amp;"!A:A"),结果表!B20,INDIRECT("'"&amp;D4&amp;"'"&amp;"!B:B"))</f>
        <v>37497</v>
      </c>
      <c r="E20" s="2215"/>
      <c r="F20" s="2216" t="s">
        <v>1798</v>
      </c>
      <c r="G20" s="64">
        <f ca="1">ROUND(C20*$C$18+D20*$D$18,0)</f>
        <v>28853</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0.40478562424162301</v>
      </c>
      <c r="E22" s="2201"/>
      <c r="F22" s="2201"/>
      <c r="G22" s="2201"/>
      <c r="H22" s="2201"/>
      <c r="I22" s="2201"/>
    </row>
    <row r="23" spans="1:35" ht="13.5" thickBot="1">
      <c r="A23" s="2201"/>
      <c r="B23" s="2201"/>
      <c r="C23" s="2201"/>
      <c r="D23" s="2201"/>
      <c r="E23" s="2201"/>
      <c r="F23" s="2201"/>
      <c r="G23" s="2201"/>
      <c r="H23" s="2201"/>
      <c r="I23" s="2201"/>
    </row>
    <row r="24" spans="1:35" ht="21.75" customHeight="1">
      <c r="A24" s="2924" t="s">
        <v>1801</v>
      </c>
      <c r="B24" s="2213" t="s">
        <v>1796</v>
      </c>
      <c r="C24" s="61">
        <f>D30</f>
        <v>0</v>
      </c>
      <c r="D24" s="995"/>
      <c r="E24" s="2201"/>
      <c r="F24" s="2201"/>
      <c r="G24" s="2201"/>
      <c r="H24" s="2201"/>
      <c r="I24" s="2201"/>
    </row>
    <row r="25" spans="1:35" ht="21.75" customHeight="1">
      <c r="A25" s="2925"/>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2896</v>
      </c>
      <c r="B27" s="67"/>
      <c r="C27" s="67"/>
      <c r="D27" s="68">
        <f>ROUND(B27*C27,4)</f>
        <v>0</v>
      </c>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28853</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24496</v>
      </c>
      <c r="D34" s="1092">
        <f ca="1">IF(D33="自定义",ROUND(C34/C32,3),1-D35)</f>
        <v>0.84899999999999998</v>
      </c>
      <c r="E34" s="2239" t="s">
        <v>1811</v>
      </c>
      <c r="F34" s="1834">
        <v>2000</v>
      </c>
      <c r="G34" s="2201"/>
      <c r="H34" s="2201"/>
      <c r="I34" s="2201"/>
    </row>
    <row r="35" spans="1:16" ht="15.75" hidden="1" thickBot="1">
      <c r="A35" s="2240"/>
      <c r="B35" s="2241" t="s">
        <v>1812</v>
      </c>
      <c r="C35" s="74">
        <f ca="1">IF(D33="自定义",F35,ROUND(C32*D35,0))</f>
        <v>4357</v>
      </c>
      <c r="D35" s="1091">
        <f ca="1">IF(D33="自定义",ROUND(C35/C32,3),IF(D33="成本法成本比率",成本法!C56,IF(D33="收益法收益比率",收益法!J38,收益法!J41)))</f>
        <v>0.151</v>
      </c>
      <c r="E35" s="2242" t="s">
        <v>1813</v>
      </c>
      <c r="F35" s="80">
        <v>4460</v>
      </c>
      <c r="G35" s="2201"/>
      <c r="H35" s="2201"/>
      <c r="I35" s="2201"/>
    </row>
    <row r="36" spans="1:16" ht="15.75" hidden="1" thickBot="1">
      <c r="A36" s="2906" t="s">
        <v>1814</v>
      </c>
      <c r="B36" s="2243" t="s">
        <v>1815</v>
      </c>
      <c r="C36" s="70">
        <v>0</v>
      </c>
      <c r="D36" s="2244"/>
      <c r="E36" s="2245"/>
      <c r="F36" s="2245"/>
      <c r="G36" s="2201"/>
      <c r="H36" s="2201"/>
      <c r="I36" s="2201"/>
    </row>
    <row r="37" spans="1:16" ht="15.75" hidden="1" thickBot="1">
      <c r="A37" s="2907"/>
      <c r="B37" s="2246" t="s">
        <v>1816</v>
      </c>
      <c r="C37" s="72">
        <v>0</v>
      </c>
      <c r="D37" s="2211"/>
      <c r="E37" s="2211"/>
      <c r="F37" s="2245"/>
      <c r="G37" s="2211"/>
      <c r="H37" s="2211"/>
      <c r="I37" s="2211"/>
    </row>
    <row r="38" spans="1:16" ht="15.75" hidden="1" thickBot="1">
      <c r="A38" s="2908"/>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12" t="s">
        <v>1825</v>
      </c>
      <c r="B45" s="2913"/>
      <c r="C45" s="2914"/>
      <c r="D45" s="81">
        <f ca="1">ROUND(I102*F45,0)</f>
        <v>457897</v>
      </c>
      <c r="E45" s="82" t="s">
        <v>1826</v>
      </c>
      <c r="F45" s="83">
        <v>1</v>
      </c>
      <c r="G45" s="84" t="s">
        <v>1827</v>
      </c>
      <c r="H45" s="2201"/>
      <c r="I45" s="2201"/>
      <c r="J45" s="2974" t="s">
        <v>1828</v>
      </c>
      <c r="K45" s="2974"/>
      <c r="L45" s="2974"/>
      <c r="M45" s="2974"/>
      <c r="N45" s="2974"/>
      <c r="O45" s="2974"/>
      <c r="P45" s="1851"/>
    </row>
    <row r="46" spans="1:16" ht="14.25" hidden="1" customHeight="1">
      <c r="A46" s="2897" t="s">
        <v>1829</v>
      </c>
      <c r="B46" s="2898"/>
      <c r="C46" s="2898"/>
      <c r="D46" s="2898"/>
      <c r="E46" s="2898"/>
      <c r="F46" s="2898"/>
      <c r="G46" s="2899"/>
      <c r="H46" s="2263"/>
      <c r="I46" s="1145"/>
      <c r="J46" s="1889">
        <v>1</v>
      </c>
      <c r="K46" s="2974" t="s">
        <v>1830</v>
      </c>
      <c r="L46" s="2974"/>
      <c r="M46" s="2975" t="str">
        <f>项目基本情况!B1</f>
        <v>房地产市场价值预评估</v>
      </c>
      <c r="N46" s="2975"/>
      <c r="O46" s="2975"/>
      <c r="P46" s="1851"/>
    </row>
    <row r="47" spans="1:16" ht="12" hidden="1" customHeight="1">
      <c r="A47" s="86" t="s">
        <v>1831</v>
      </c>
      <c r="B47" s="87"/>
      <c r="C47" s="88"/>
      <c r="D47" s="89" t="s">
        <v>1832</v>
      </c>
      <c r="E47" s="14" t="s">
        <v>1833</v>
      </c>
      <c r="F47" s="90" t="s">
        <v>1834</v>
      </c>
      <c r="G47" s="91" t="s">
        <v>1835</v>
      </c>
      <c r="H47" s="2263"/>
      <c r="I47" s="1145"/>
      <c r="J47" s="1889">
        <v>2</v>
      </c>
      <c r="K47" s="2974" t="s">
        <v>1836</v>
      </c>
      <c r="L47" s="2974"/>
      <c r="M47" s="2976">
        <f>'数据-取费表'!B2</f>
        <v>43062</v>
      </c>
      <c r="N47" s="2976"/>
      <c r="O47" s="2976"/>
      <c r="P47" s="1851"/>
    </row>
    <row r="48" spans="1:16" ht="25.5" hidden="1">
      <c r="A48" s="2909" t="s">
        <v>1837</v>
      </c>
      <c r="B48" s="2910"/>
      <c r="C48" s="2910"/>
      <c r="D48" s="56">
        <f ca="1">IF(H48="情况1",0,IF(H48="情况2",D52,IF(H48="情况3",D53,IF(H48="情况4",D54))))</f>
        <v>24421</v>
      </c>
      <c r="E48" s="1899" t="str">
        <f>IF(H48="情况4","(销售额-原购置价)×税（费）率","销售额×税（费）率")</f>
        <v>销售额×税（费）率</v>
      </c>
      <c r="F48" s="92">
        <f>IF(H48="情况1","免征",'数据-取费表'!E29)</f>
        <v>5.6000000000000001E-2</v>
      </c>
      <c r="G48" s="2264" t="s">
        <v>1838</v>
      </c>
      <c r="H48" s="2265" t="s">
        <v>1839</v>
      </c>
      <c r="I48" s="2263"/>
      <c r="J48" s="1889">
        <v>3</v>
      </c>
      <c r="K48" s="2974" t="s">
        <v>1840</v>
      </c>
      <c r="L48" s="2974"/>
      <c r="M48" s="2975">
        <f ca="1">I102</f>
        <v>457897</v>
      </c>
      <c r="N48" s="2975"/>
      <c r="O48" s="2975"/>
      <c r="P48" s="1851"/>
    </row>
    <row r="49" spans="1:16" ht="25.5" hidden="1" customHeight="1">
      <c r="A49" s="93" t="s">
        <v>1841</v>
      </c>
      <c r="B49" s="2902" t="s">
        <v>1842</v>
      </c>
      <c r="C49" s="2902"/>
      <c r="D49" s="94">
        <v>0</v>
      </c>
      <c r="E49" s="13" t="s">
        <v>1843</v>
      </c>
      <c r="F49" s="18" t="s">
        <v>48</v>
      </c>
      <c r="G49" s="2967"/>
      <c r="H49" s="2201"/>
      <c r="I49" s="2266"/>
      <c r="J49" s="1889">
        <v>4</v>
      </c>
      <c r="K49" s="2974" t="str">
        <f>IF(项目基本情况!F5="房地产抵押价值","房地产抵押价值","抵押担保权已注销时的房地产抵押价值")</f>
        <v>抵押担保权已注销时的房地产抵押价值</v>
      </c>
      <c r="L49" s="2974"/>
      <c r="M49" s="2975" t="str">
        <f>IF(项目基本情况!E8="房地产抵押价值",I110,I112)</f>
        <v>——</v>
      </c>
      <c r="N49" s="2975"/>
      <c r="O49" s="2975"/>
      <c r="P49" s="1851"/>
    </row>
    <row r="50" spans="1:16" ht="25.5" hidden="1" customHeight="1">
      <c r="A50" s="95"/>
      <c r="B50" s="2902" t="s">
        <v>1844</v>
      </c>
      <c r="C50" s="2902"/>
      <c r="D50" s="96"/>
      <c r="E50" s="21"/>
      <c r="F50" s="97"/>
      <c r="G50" s="2968"/>
      <c r="H50" s="2201"/>
      <c r="I50" s="2266"/>
      <c r="J50" s="2974" t="s">
        <v>1845</v>
      </c>
      <c r="K50" s="2974"/>
      <c r="L50" s="2974"/>
      <c r="M50" s="2974"/>
      <c r="N50" s="2974"/>
      <c r="O50" s="2974"/>
      <c r="P50" s="1851"/>
    </row>
    <row r="51" spans="1:16" ht="12" hidden="1" customHeight="1">
      <c r="A51" s="98"/>
      <c r="B51" s="2902" t="s">
        <v>1846</v>
      </c>
      <c r="C51" s="2902"/>
      <c r="D51" s="99"/>
      <c r="E51" s="20"/>
      <c r="F51" s="97"/>
      <c r="G51" s="2969"/>
      <c r="H51" s="2201"/>
      <c r="I51" s="2266"/>
      <c r="J51" s="2267" t="s">
        <v>1847</v>
      </c>
      <c r="K51" s="2974" t="s">
        <v>1848</v>
      </c>
      <c r="L51" s="2974"/>
      <c r="M51" s="2267" t="s">
        <v>1849</v>
      </c>
      <c r="N51" s="2267" t="s">
        <v>1850</v>
      </c>
      <c r="O51" s="2267" t="s">
        <v>1851</v>
      </c>
      <c r="P51" s="1851"/>
    </row>
    <row r="52" spans="1:16" ht="24" hidden="1" customHeight="1">
      <c r="A52" s="100" t="s">
        <v>1852</v>
      </c>
      <c r="B52" s="2902" t="s">
        <v>1853</v>
      </c>
      <c r="C52" s="2902"/>
      <c r="D52" s="99">
        <f ca="1">ROUND(D45*'数据-取费表'!E29/(1+'数据-取费表'!F30),0)</f>
        <v>24421</v>
      </c>
      <c r="E52" s="10" t="s">
        <v>1854</v>
      </c>
      <c r="F52" s="101">
        <f>'数据-取费表'!E29</f>
        <v>5.6000000000000001E-2</v>
      </c>
      <c r="G52" s="2268"/>
      <c r="H52" s="2201"/>
      <c r="I52" s="2266"/>
      <c r="J52" s="1889">
        <v>1</v>
      </c>
      <c r="K52" s="2934" t="s">
        <v>1855</v>
      </c>
      <c r="L52" s="2934"/>
      <c r="M52" s="779">
        <f ca="1">D48</f>
        <v>24421</v>
      </c>
      <c r="N52" s="1889" t="str">
        <f>E48</f>
        <v>销售额×税（费）率</v>
      </c>
      <c r="O52" s="780">
        <f>F48</f>
        <v>5.6000000000000001E-2</v>
      </c>
      <c r="P52" s="1851"/>
    </row>
    <row r="53" spans="1:16" ht="12" hidden="1" customHeight="1">
      <c r="A53" s="100" t="s">
        <v>1856</v>
      </c>
      <c r="B53" s="2903" t="s">
        <v>1857</v>
      </c>
      <c r="C53" s="2831"/>
      <c r="D53" s="99">
        <f ca="1">ROUND(D45*'数据-取费表'!E29/(1+'数据-取费表'!F30),0)</f>
        <v>24421</v>
      </c>
      <c r="E53" s="10" t="s">
        <v>1854</v>
      </c>
      <c r="F53" s="101">
        <f>'数据-取费表'!E29</f>
        <v>5.6000000000000001E-2</v>
      </c>
      <c r="G53" s="2268"/>
      <c r="H53" s="2201"/>
      <c r="I53" s="2266"/>
      <c r="J53" s="1889">
        <v>2</v>
      </c>
      <c r="K53" s="2934" t="s">
        <v>1858</v>
      </c>
      <c r="L53" s="2934"/>
      <c r="M53" s="779">
        <f t="shared" ref="M53:O54" ca="1" si="1">D55</f>
        <v>229</v>
      </c>
      <c r="N53" s="1889" t="str">
        <f t="shared" si="1"/>
        <v>销售额×税（费）率</v>
      </c>
      <c r="O53" s="780">
        <f t="shared" si="1"/>
        <v>5.0000000000000001E-4</v>
      </c>
      <c r="P53" s="1851"/>
    </row>
    <row r="54" spans="1:16" ht="12" hidden="1" customHeight="1">
      <c r="A54" s="100" t="s">
        <v>1859</v>
      </c>
      <c r="B54" s="2903" t="s">
        <v>1860</v>
      </c>
      <c r="C54" s="2831"/>
      <c r="D54" s="99">
        <f ca="1">C68</f>
        <v>24421</v>
      </c>
      <c r="E54" s="20" t="s">
        <v>1861</v>
      </c>
      <c r="F54" s="101">
        <f>'数据-取费表'!E29</f>
        <v>5.6000000000000001E-2</v>
      </c>
      <c r="G54" s="2268"/>
      <c r="H54" s="2269"/>
      <c r="I54" s="2266"/>
      <c r="J54" s="1889">
        <v>3</v>
      </c>
      <c r="K54" s="2934" t="s">
        <v>1862</v>
      </c>
      <c r="L54" s="2934"/>
      <c r="M54" s="779">
        <f t="shared" ca="1" si="1"/>
        <v>259169</v>
      </c>
      <c r="N54" s="1889" t="str">
        <f t="shared" si="1"/>
        <v>增值额×税（费）率</v>
      </c>
      <c r="O54" s="781" t="str">
        <f t="shared" si="1"/>
        <v>——</v>
      </c>
      <c r="P54" s="1851"/>
    </row>
    <row r="55" spans="1:16" ht="24" hidden="1" customHeight="1">
      <c r="A55" s="2823" t="s">
        <v>1863</v>
      </c>
      <c r="B55" s="2910"/>
      <c r="C55" s="2910"/>
      <c r="D55" s="102">
        <f ca="1">IF(H55="个人住宅",0,ROUND(D45*I55,0))</f>
        <v>229</v>
      </c>
      <c r="E55" s="10" t="s">
        <v>1864</v>
      </c>
      <c r="F55" s="101">
        <f>IF(H55="正常",I55,"免征")</f>
        <v>5.0000000000000001E-4</v>
      </c>
      <c r="G55" s="2268"/>
      <c r="H55" s="2265" t="s">
        <v>1865</v>
      </c>
      <c r="I55" s="103">
        <f>'数据-取费表'!E37</f>
        <v>5.0000000000000001E-4</v>
      </c>
      <c r="J55" s="1889">
        <f>IF(H59="非个人房产","",4)</f>
        <v>4</v>
      </c>
      <c r="K55" s="2934" t="str">
        <f>IF(H59="非个人房产","——","个人所得税")</f>
        <v>个人所得税</v>
      </c>
      <c r="L55" s="2934"/>
      <c r="M55" s="782">
        <f ca="1">D59</f>
        <v>4579</v>
      </c>
      <c r="N55" s="1892" t="str">
        <f>E59</f>
        <v>销售额×税（费）率</v>
      </c>
      <c r="O55" s="783">
        <f>F59</f>
        <v>0.01</v>
      </c>
      <c r="P55" s="1851"/>
    </row>
    <row r="56" spans="1:16" ht="24.75" hidden="1">
      <c r="A56" s="2823" t="s">
        <v>1866</v>
      </c>
      <c r="B56" s="2910"/>
      <c r="C56" s="2910"/>
      <c r="D56" s="102">
        <f ca="1">IF(H56="个人住宅",D57,D58)</f>
        <v>259169</v>
      </c>
      <c r="E56" s="10" t="s">
        <v>1867</v>
      </c>
      <c r="F56" s="101" t="str">
        <f>IF(H56="正常",F58,"免征")</f>
        <v>——</v>
      </c>
      <c r="G56" s="2270" t="s">
        <v>1868</v>
      </c>
      <c r="H56" s="2271" t="s">
        <v>1865</v>
      </c>
      <c r="I56" s="1023"/>
      <c r="J56" s="1889" t="str">
        <f>IF(项目基本情况!I6="上海银行",IF(J55="",4,J55+1),"")</f>
        <v/>
      </c>
      <c r="K56" s="2952" t="str">
        <f>IF(项目基本情况!I6="上海银行","其他处置费用","")</f>
        <v/>
      </c>
      <c r="L56" s="2953"/>
      <c r="M56" s="779" t="str">
        <f>IF(项目基本情况!I6="上海银行",M69,"")</f>
        <v/>
      </c>
      <c r="N56" s="2965" t="str">
        <f>IF(项目基本情况!I6="上海银行","包含处置中涉及的律师、诉讼、拍卖、评估等费用","")</f>
        <v/>
      </c>
      <c r="O56" s="2966"/>
      <c r="P56" s="1851"/>
    </row>
    <row r="57" spans="1:16" ht="12.75" hidden="1">
      <c r="A57" s="100" t="s">
        <v>1841</v>
      </c>
      <c r="B57" s="2900" t="s">
        <v>1869</v>
      </c>
      <c r="C57" s="2911"/>
      <c r="D57" s="104">
        <v>0</v>
      </c>
      <c r="E57" s="13" t="s">
        <v>1843</v>
      </c>
      <c r="F57" s="71"/>
      <c r="G57" s="2268"/>
      <c r="H57" s="1023"/>
      <c r="I57" s="1023"/>
      <c r="J57" s="2934">
        <f>IF(AND(J55="",J56=""),4,IF(项目基本情况!I6="上海银行",J56+1,J55+1))</f>
        <v>5</v>
      </c>
      <c r="K57" s="2934" t="s">
        <v>1870</v>
      </c>
      <c r="L57" s="2272" t="s">
        <v>1871</v>
      </c>
      <c r="M57" s="784"/>
      <c r="N57" s="785">
        <f ca="1">SUMIF(M52:M56,"&lt;9e307")</f>
        <v>288398</v>
      </c>
      <c r="O57" s="2273"/>
      <c r="P57" s="1847" t="e">
        <f ca="1">N57/M49</f>
        <v>#VALUE!</v>
      </c>
    </row>
    <row r="58" spans="1:16" ht="24.75" hidden="1">
      <c r="A58" s="100" t="s">
        <v>1852</v>
      </c>
      <c r="B58" s="2900" t="s">
        <v>1872</v>
      </c>
      <c r="C58" s="2901"/>
      <c r="D58" s="102">
        <f ca="1">IF(H58="转让取得",C81,C97)</f>
        <v>259169</v>
      </c>
      <c r="E58" s="10" t="s">
        <v>1867</v>
      </c>
      <c r="F58" s="14" t="s">
        <v>48</v>
      </c>
      <c r="G58" s="2268"/>
      <c r="H58" s="2271" t="s">
        <v>1873</v>
      </c>
      <c r="I58" s="1023"/>
      <c r="J58" s="2934"/>
      <c r="K58" s="2934"/>
      <c r="L58" s="2272" t="s">
        <v>1874</v>
      </c>
      <c r="M58" s="786"/>
      <c r="N58" s="2274" t="str">
        <f ca="1">IF(H19="元",NUMBERSTRING(INT(N57),2)&amp;"元整",NUMBERSTRING(INT(N57*10000),2)&amp;"元整")</f>
        <v>贰拾捌万捌仟叁佰玖拾捌元整</v>
      </c>
      <c r="O58" s="2275"/>
      <c r="P58" s="1851"/>
    </row>
    <row r="59" spans="1:16" ht="26.25" hidden="1" thickBot="1">
      <c r="A59" s="2824" t="s">
        <v>1875</v>
      </c>
      <c r="B59" s="2827"/>
      <c r="C59" s="2827"/>
      <c r="D59" s="105">
        <f ca="1">IF(H59="非个人房产","——",IF(H59="个人住宅",0,ROUND(D45*I59,0)))</f>
        <v>4579</v>
      </c>
      <c r="E59" s="106" t="str">
        <f>IF(H59="非个人房产","——","销售额×税（费）率")</f>
        <v>销售额×税（费）率</v>
      </c>
      <c r="F59" s="107">
        <f>IF(H59="非个人房产","——",IF(H59="个人住宅","免征",I59))</f>
        <v>0.01</v>
      </c>
      <c r="G59" s="2276" t="s">
        <v>1868</v>
      </c>
      <c r="H59" s="2271" t="s">
        <v>1876</v>
      </c>
      <c r="I59" s="108">
        <v>0.01</v>
      </c>
      <c r="J59" s="2932">
        <f>J57+1</f>
        <v>6</v>
      </c>
      <c r="K59" s="2934"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33"/>
      <c r="K60" s="2934"/>
      <c r="L60" s="2272" t="s">
        <v>1874</v>
      </c>
      <c r="M60" s="786"/>
      <c r="N60" s="2274" t="e">
        <f ca="1">IF(H19="元",NUMBERSTRING(INT(N59),2)&amp;"元整",NUMBERSTRING(INT(N59*10000),2)&amp;"元整")</f>
        <v>#VALUE!</v>
      </c>
      <c r="O60" s="2275"/>
      <c r="P60" s="1851"/>
    </row>
    <row r="61" spans="1:16" ht="13.5" hidden="1" thickBot="1">
      <c r="A61" s="2915" t="s">
        <v>1878</v>
      </c>
      <c r="B61" s="2915"/>
      <c r="C61" s="2915"/>
      <c r="D61" s="2915"/>
      <c r="E61" s="2915"/>
      <c r="F61" s="1023"/>
      <c r="G61" s="1023"/>
      <c r="H61" s="2254"/>
      <c r="I61" s="2201"/>
      <c r="J61" s="1889">
        <f>J59+1</f>
        <v>7</v>
      </c>
      <c r="K61" s="2934" t="s">
        <v>1879</v>
      </c>
      <c r="L61" s="2934"/>
      <c r="M61" s="789"/>
      <c r="N61" s="790" t="e">
        <f ca="1">IF(H19="元",ROUND(N59/项目基本情况!C12,0),ROUND(N59*10000/项目基本情况!C12,0))</f>
        <v>#VALUE!</v>
      </c>
      <c r="O61" s="2278"/>
      <c r="P61" s="1851"/>
    </row>
    <row r="62" spans="1:16" ht="12.75" hidden="1">
      <c r="A62" s="2922" t="s">
        <v>1880</v>
      </c>
      <c r="B62" s="2923"/>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436092</v>
      </c>
      <c r="D63" s="113"/>
      <c r="E63" s="114"/>
      <c r="F63" s="1023"/>
      <c r="G63" s="1023"/>
      <c r="H63" s="2254"/>
      <c r="I63" s="2201"/>
      <c r="J63" s="2954"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457897</v>
      </c>
      <c r="D64" s="118" t="s">
        <v>41</v>
      </c>
      <c r="E64" s="119"/>
      <c r="F64" s="1023"/>
      <c r="G64" s="1023"/>
      <c r="H64" s="2254"/>
      <c r="I64" s="2201"/>
      <c r="J64" s="2954"/>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954"/>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954"/>
      <c r="K66" s="2279" t="s">
        <v>1893</v>
      </c>
      <c r="L66" s="1850" t="e">
        <f>M49*0.5%</f>
        <v>#VALUE!</v>
      </c>
      <c r="M66" s="14" t="e">
        <f>IF(L66&gt;0.5,0.5,ROUND(L66,0))</f>
        <v>#VALUE!</v>
      </c>
      <c r="N66" s="1851" t="s">
        <v>1894</v>
      </c>
      <c r="O66" s="1851"/>
      <c r="P66" s="1851"/>
    </row>
    <row r="67" spans="1:35" ht="12.75" hidden="1">
      <c r="A67" s="121" t="s">
        <v>42</v>
      </c>
      <c r="B67" s="122" t="s">
        <v>1895</v>
      </c>
      <c r="C67" s="125">
        <f ca="1">C63-C66</f>
        <v>436092</v>
      </c>
      <c r="D67" s="118" t="s">
        <v>41</v>
      </c>
      <c r="E67" s="119"/>
      <c r="F67" s="1023"/>
      <c r="G67" s="1023"/>
      <c r="H67" s="2254"/>
      <c r="I67" s="2201"/>
      <c r="J67" s="2954"/>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24421</v>
      </c>
      <c r="D68" s="129">
        <f>'数据-取费表'!E29</f>
        <v>5.6000000000000001E-2</v>
      </c>
      <c r="E68" s="130"/>
      <c r="F68" s="1023"/>
      <c r="G68" s="1023"/>
      <c r="H68" s="2254"/>
      <c r="I68" s="2201"/>
      <c r="J68" s="2954"/>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954"/>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926" t="s">
        <v>1900</v>
      </c>
      <c r="B70" s="2927"/>
      <c r="C70" s="2927"/>
      <c r="D70" s="2927"/>
      <c r="E70" s="2927"/>
      <c r="F70" s="2927"/>
      <c r="G70" s="2927"/>
      <c r="H70" s="2927"/>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922" t="s">
        <v>1880</v>
      </c>
      <c r="B71" s="2923"/>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436092</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2617</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03" t="s">
        <v>1910</v>
      </c>
      <c r="F76" s="2902"/>
      <c r="G76" s="2902"/>
      <c r="H76" s="2917"/>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2617</v>
      </c>
      <c r="D78" s="146">
        <f>'数据-取费表'!E31</f>
        <v>6.000000000000001E-3</v>
      </c>
      <c r="E78" s="2894" t="s">
        <v>1915</v>
      </c>
      <c r="F78" s="2895"/>
      <c r="G78" s="2895"/>
      <c r="H78" s="2896"/>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433475</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165.63813526939242</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259169</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926" t="s">
        <v>1919</v>
      </c>
      <c r="B83" s="2927"/>
      <c r="C83" s="2927"/>
      <c r="D83" s="2927"/>
      <c r="E83" s="2927"/>
      <c r="F83" s="2927"/>
      <c r="G83" s="2927"/>
      <c r="H83" s="2927"/>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922" t="s">
        <v>1880</v>
      </c>
      <c r="B84" s="2923"/>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436092</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2617</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94" t="s">
        <v>1927</v>
      </c>
      <c r="F91" s="2895"/>
      <c r="G91" s="2895"/>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94" t="s">
        <v>1930</v>
      </c>
      <c r="F92" s="2895"/>
      <c r="G92" s="2895"/>
      <c r="H92" s="2896"/>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2617</v>
      </c>
      <c r="D93" s="146">
        <f>'数据-取费表'!E31</f>
        <v>6.000000000000001E-3</v>
      </c>
      <c r="E93" s="2894" t="s">
        <v>1915</v>
      </c>
      <c r="F93" s="2895"/>
      <c r="G93" s="2895"/>
      <c r="H93" s="2896"/>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94" t="s">
        <v>1932</v>
      </c>
      <c r="F94" s="2895"/>
      <c r="G94" s="2895"/>
      <c r="H94" s="2896"/>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433475</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165.63813526939242</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259169</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949" t="s">
        <v>1934</v>
      </c>
      <c r="B99" s="2950"/>
      <c r="C99" s="2950"/>
      <c r="D99" s="2951"/>
      <c r="E99" s="2201"/>
      <c r="F99" s="2960" t="s">
        <v>1935</v>
      </c>
      <c r="G99" s="2961"/>
      <c r="H99" s="2961"/>
      <c r="I99" s="2962"/>
    </row>
    <row r="100" spans="1:35" ht="15.75" hidden="1">
      <c r="A100" s="2963" t="s">
        <v>1936</v>
      </c>
      <c r="B100" s="2964"/>
      <c r="C100" s="721" t="str">
        <f>C4</f>
        <v>收益法</v>
      </c>
      <c r="D100" s="722" t="str">
        <f>D4</f>
        <v>成本法</v>
      </c>
      <c r="E100" s="2201"/>
      <c r="F100" s="2859" t="s">
        <v>1937</v>
      </c>
      <c r="G100" s="2860"/>
      <c r="H100" s="2859" t="s">
        <v>1938</v>
      </c>
      <c r="I100" s="2858"/>
    </row>
    <row r="101" spans="1:35" ht="15.75" hidden="1">
      <c r="A101" s="2941" t="s">
        <v>1939</v>
      </c>
      <c r="B101" s="2296" t="str">
        <f>IF(H19="元","总价（元）","总价（万元）")</f>
        <v>总价（元）</v>
      </c>
      <c r="C101" s="721">
        <f ca="1">C19</f>
        <v>423602</v>
      </c>
      <c r="D101" s="722">
        <f ca="1">D19</f>
        <v>595070</v>
      </c>
      <c r="E101" s="2201"/>
      <c r="F101" s="2859" t="str">
        <f>项目基本情况!I1</f>
        <v>房地产</v>
      </c>
      <c r="G101" s="2860"/>
      <c r="H101" s="2857">
        <f>项目基本情况!C12</f>
        <v>15.87</v>
      </c>
      <c r="I101" s="2858"/>
    </row>
    <row r="102" spans="1:35" ht="15.75" hidden="1">
      <c r="A102" s="2941"/>
      <c r="B102" s="2296" t="s">
        <v>1940</v>
      </c>
      <c r="C102" s="723">
        <f ca="1">C20</f>
        <v>26692</v>
      </c>
      <c r="D102" s="724">
        <f ca="1">D20</f>
        <v>37497</v>
      </c>
      <c r="E102" s="2201"/>
      <c r="F102" s="2886" t="s">
        <v>1941</v>
      </c>
      <c r="G102" s="2887"/>
      <c r="H102" s="2297" t="str">
        <f>C106</f>
        <v>总价（元）</v>
      </c>
      <c r="I102" s="1868">
        <f ca="1">H121</f>
        <v>457897</v>
      </c>
    </row>
    <row r="103" spans="1:35" ht="15" hidden="1">
      <c r="A103" s="2941" t="s">
        <v>1942</v>
      </c>
      <c r="B103" s="2298" t="str">
        <f>B101</f>
        <v>总价（元）</v>
      </c>
      <c r="C103" s="725">
        <f ca="1">H121</f>
        <v>457897</v>
      </c>
      <c r="D103" s="726"/>
      <c r="E103" s="2201"/>
      <c r="F103" s="2886"/>
      <c r="G103" s="2887"/>
      <c r="H103" s="2297" t="s">
        <v>1940</v>
      </c>
      <c r="I103" s="1051">
        <f ca="1">I121</f>
        <v>28853</v>
      </c>
    </row>
    <row r="104" spans="1:35" ht="16.5" hidden="1" thickBot="1">
      <c r="A104" s="2942"/>
      <c r="B104" s="2299" t="s">
        <v>1940</v>
      </c>
      <c r="C104" s="727">
        <f ca="1">I121</f>
        <v>28853</v>
      </c>
      <c r="D104" s="728"/>
      <c r="E104" s="2201"/>
      <c r="F104" s="2958"/>
      <c r="G104" s="2959"/>
      <c r="H104" s="2943"/>
      <c r="I104" s="2944"/>
    </row>
    <row r="105" spans="1:35" ht="15.75" hidden="1">
      <c r="A105" s="2949" t="s">
        <v>1943</v>
      </c>
      <c r="B105" s="2950"/>
      <c r="C105" s="2950"/>
      <c r="D105" s="2951"/>
      <c r="E105" s="2201"/>
      <c r="F105" s="2947" t="s">
        <v>1944</v>
      </c>
      <c r="G105" s="2948"/>
      <c r="H105" s="2300" t="str">
        <f>C108</f>
        <v>总额（元）</v>
      </c>
      <c r="I105" s="1868">
        <f>SUMIF(I106:I108,"&lt;9E307")</f>
        <v>0</v>
      </c>
    </row>
    <row r="106" spans="1:35" ht="15" hidden="1">
      <c r="A106" s="2873" t="s">
        <v>1945</v>
      </c>
      <c r="B106" s="2874"/>
      <c r="C106" s="2297" t="str">
        <f>B101</f>
        <v>总价（元）</v>
      </c>
      <c r="D106" s="1052">
        <f ca="1">H121</f>
        <v>457897</v>
      </c>
      <c r="E106" s="2201"/>
      <c r="F106" s="2875" t="s">
        <v>1946</v>
      </c>
      <c r="G106" s="2876"/>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873"/>
      <c r="B107" s="2874"/>
      <c r="C107" s="2297" t="s">
        <v>1940</v>
      </c>
      <c r="D107" s="1053">
        <f ca="1">I121</f>
        <v>28853</v>
      </c>
      <c r="E107" s="2201"/>
      <c r="F107" s="2875" t="s">
        <v>1947</v>
      </c>
      <c r="G107" s="2876"/>
      <c r="H107" s="2300" t="str">
        <f>C110</f>
        <v>总额（元）</v>
      </c>
      <c r="I107" s="1051">
        <f>C37</f>
        <v>0</v>
      </c>
      <c r="K107" s="2301"/>
    </row>
    <row r="108" spans="1:35" ht="15" hidden="1">
      <c r="A108" s="2880" t="s">
        <v>1948</v>
      </c>
      <c r="B108" s="2881"/>
      <c r="C108" s="2300" t="str">
        <f>IF(H19="元","总额（元）","总额（万元）")</f>
        <v>总额（元）</v>
      </c>
      <c r="D108" s="1052">
        <f>IF(D36="正常操作",I106+I107+I108,I107+I108)</f>
        <v>0</v>
      </c>
      <c r="E108" s="2201"/>
      <c r="F108" s="2875" t="s">
        <v>1949</v>
      </c>
      <c r="G108" s="2876"/>
      <c r="H108" s="2300" t="str">
        <f>C111</f>
        <v>总额（元）</v>
      </c>
      <c r="I108" s="1051">
        <f>C38</f>
        <v>0</v>
      </c>
    </row>
    <row r="109" spans="1:35" ht="15.75" hidden="1">
      <c r="A109" s="2875" t="s">
        <v>1946</v>
      </c>
      <c r="B109" s="2876"/>
      <c r="C109" s="2300" t="str">
        <f>C108</f>
        <v>总额（元）</v>
      </c>
      <c r="D109" s="638">
        <f>IF(D36="同一抵押权人同一抵押物续贷",C36&amp;"（未扣减，详见特别提示）",C36)</f>
        <v>0</v>
      </c>
      <c r="E109" s="2201"/>
      <c r="F109" s="2958"/>
      <c r="G109" s="2959"/>
      <c r="H109" s="2945"/>
      <c r="I109" s="2946"/>
    </row>
    <row r="110" spans="1:35" ht="28.5" hidden="1" customHeight="1">
      <c r="A110" s="2875" t="s">
        <v>1947</v>
      </c>
      <c r="B110" s="2876"/>
      <c r="C110" s="2300" t="str">
        <f>C108</f>
        <v>总额（元）</v>
      </c>
      <c r="D110" s="638">
        <f>C37</f>
        <v>0</v>
      </c>
      <c r="E110" s="2201"/>
      <c r="F110" s="2861" t="str">
        <f>IF(项目基本情况!F5="已注销","——","3.房地产抵押价值")</f>
        <v>3.房地产抵押价值</v>
      </c>
      <c r="G110" s="2862"/>
      <c r="H110" s="2302" t="str">
        <f>C112</f>
        <v>总价（元）</v>
      </c>
      <c r="I110" s="1869">
        <f ca="1">IF(F110="——","——",I102-I105)</f>
        <v>457897</v>
      </c>
    </row>
    <row r="111" spans="1:35" ht="15" hidden="1">
      <c r="A111" s="2875" t="s">
        <v>1949</v>
      </c>
      <c r="B111" s="2876"/>
      <c r="C111" s="2300" t="str">
        <f>C108</f>
        <v>总额（元）</v>
      </c>
      <c r="D111" s="638">
        <f>C38</f>
        <v>0</v>
      </c>
      <c r="E111" s="2201"/>
      <c r="F111" s="2977"/>
      <c r="G111" s="2978"/>
      <c r="H111" s="2297" t="s">
        <v>1940</v>
      </c>
      <c r="I111" s="2303">
        <f ca="1">D113</f>
        <v>28853</v>
      </c>
    </row>
    <row r="112" spans="1:35" ht="26.25" hidden="1" customHeight="1">
      <c r="A112" s="2873" t="str">
        <f>IF(项目基本情况!F5="已注销","——","3.房地产抵押价值")</f>
        <v>3.房地产抵押价值</v>
      </c>
      <c r="B112" s="2874"/>
      <c r="C112" s="2297" t="str">
        <f>B101</f>
        <v>总价（元）</v>
      </c>
      <c r="D112" s="1052">
        <f ca="1">IF(A112="——","——",D106-D108)</f>
        <v>457897</v>
      </c>
      <c r="E112" s="2201"/>
      <c r="F112" s="2861" t="str">
        <f>IF(项目基本情况!F5="已注销及未注销","4.抵押担保权已注销时的房地产抵押价值",IF(项目基本情况!F5="已注销","3.抵押担保权已注销时的房地产抵押价值","——"))</f>
        <v>——</v>
      </c>
      <c r="G112" s="2862"/>
      <c r="H112" s="2302" t="str">
        <f>C114</f>
        <v>总价（元）</v>
      </c>
      <c r="I112" s="1869" t="str">
        <f>IF(F112="——","——",I102-I107-I108)</f>
        <v>——</v>
      </c>
    </row>
    <row r="113" spans="1:15" ht="15" hidden="1">
      <c r="A113" s="2873"/>
      <c r="B113" s="2874"/>
      <c r="C113" s="2297" t="s">
        <v>1940</v>
      </c>
      <c r="D113" s="1053">
        <f ca="1">ROUND(IF(D112=D106,D107,IF(H19="元",D112/项目基本情况!C12,D112*10000/项目基本情况!C12)),0)</f>
        <v>28853</v>
      </c>
      <c r="E113" s="2201"/>
      <c r="F113" s="2977"/>
      <c r="G113" s="2978"/>
      <c r="H113" s="2297" t="s">
        <v>1940</v>
      </c>
      <c r="I113" s="2304" t="str">
        <f>D115</f>
        <v>——</v>
      </c>
    </row>
    <row r="114" spans="1:15" ht="15.75" hidden="1">
      <c r="A114" s="2873" t="str">
        <f>IF(项目基本情况!F5="已注销及未注销","4.抵押担保权已注销时的房地产抵押价值",IF(项目基本情况!F5="已注销","3.抵押担保权已注销时的房地产抵押价值","——"))</f>
        <v>——</v>
      </c>
      <c r="B114" s="2874"/>
      <c r="C114" s="2297" t="str">
        <f>B101</f>
        <v>总价（元）</v>
      </c>
      <c r="D114" s="1052" t="str">
        <f>IF(A114="——","——",D106-D110-D111)</f>
        <v>——</v>
      </c>
      <c r="E114" s="2201"/>
      <c r="F114" s="2861" t="str">
        <f>IF(项目基本情况!G5="抵押净值",IF(OR(项目基本情况!F5="已注销",项目基本情况!F5="房地产抵押价值"),"4.抵押净值","5.抵押净值"),"——")</f>
        <v>——</v>
      </c>
      <c r="G114" s="2862"/>
      <c r="H114" s="2297" t="str">
        <f>C116</f>
        <v>总价（元）</v>
      </c>
      <c r="I114" s="1868" t="str">
        <f>IF(F114="——","——",N59)</f>
        <v>——</v>
      </c>
    </row>
    <row r="115" spans="1:15" ht="15.75" hidden="1" thickBot="1">
      <c r="A115" s="2873"/>
      <c r="B115" s="2874"/>
      <c r="C115" s="2297" t="s">
        <v>1940</v>
      </c>
      <c r="D115" s="1053" t="str">
        <f>IF(A114="——","——",ROUND(IF(D114=D106,D107,IF(H19="元",D114/项目基本情况!C12,D114*10000/项目基本情况!C12)),0))</f>
        <v>——</v>
      </c>
      <c r="E115" s="2201"/>
      <c r="F115" s="2863"/>
      <c r="G115" s="2864"/>
      <c r="H115" s="2305" t="s">
        <v>1940</v>
      </c>
      <c r="I115" s="1870" t="str">
        <f ca="1">D117</f>
        <v>——</v>
      </c>
    </row>
    <row r="116" spans="1:15" ht="15.75" hidden="1">
      <c r="A116" s="2873" t="str">
        <f>IF(项目基本情况!G5="抵押净值",IF(OR(项目基本情况!F5="已注销",项目基本情况!F5="房地产抵押价值"),"4.抵押净值","5.抵押净值"),"——")</f>
        <v>——</v>
      </c>
      <c r="B116" s="2874"/>
      <c r="C116" s="2297" t="str">
        <f>B101</f>
        <v>总价（元）</v>
      </c>
      <c r="D116" s="1052" t="str">
        <f>IF(A116="——","——",N59)</f>
        <v>——</v>
      </c>
      <c r="E116" s="2201"/>
      <c r="F116" s="2973"/>
      <c r="G116" s="2973"/>
      <c r="H116" s="2929"/>
      <c r="I116" s="2929"/>
      <c r="N116" s="55"/>
      <c r="O116" s="55"/>
    </row>
    <row r="117" spans="1:15" ht="15.75" hidden="1" thickBot="1">
      <c r="A117" s="2878"/>
      <c r="B117" s="2879"/>
      <c r="C117" s="2305" t="s">
        <v>1940</v>
      </c>
      <c r="D117" s="1054" t="str">
        <f ca="1">IF(D116=D112,D113,IF(A116="——","——",N61))</f>
        <v>——</v>
      </c>
      <c r="E117" s="2201"/>
      <c r="F117" s="2853" t="str">
        <f>IF(B32="总价","（以上估价结果中单价为总价除以建筑面积得出）","（以上估价结果中总价为楼面单价乘以建筑面积得出）")</f>
        <v>（以上估价结果中总价为楼面单价乘以建筑面积得出）</v>
      </c>
      <c r="G117" s="2853"/>
      <c r="H117" s="2853"/>
      <c r="I117" s="2853"/>
      <c r="N117" s="55"/>
      <c r="O117" s="55"/>
    </row>
    <row r="118" spans="1:15" ht="15" hidden="1">
      <c r="A118" s="2930" t="s">
        <v>1950</v>
      </c>
      <c r="B118" s="2931"/>
      <c r="C118" s="2931"/>
      <c r="D118" s="2931"/>
      <c r="E118" s="2931"/>
      <c r="F118" s="2931"/>
      <c r="G118" s="2931"/>
      <c r="H118" s="2931"/>
      <c r="I118" s="2931"/>
    </row>
    <row r="119" spans="1:15" ht="14.25" hidden="1">
      <c r="A119" s="2854" t="s">
        <v>1951</v>
      </c>
      <c r="B119" s="2884" t="s">
        <v>1952</v>
      </c>
      <c r="C119" s="2884" t="s">
        <v>1953</v>
      </c>
      <c r="D119" s="2956" t="s">
        <v>1954</v>
      </c>
      <c r="E119" s="2957"/>
      <c r="F119" s="2855" t="s">
        <v>1812</v>
      </c>
      <c r="G119" s="2855"/>
      <c r="H119" s="2855" t="s">
        <v>1955</v>
      </c>
      <c r="I119" s="2955"/>
    </row>
    <row r="120" spans="1:15" ht="14.25" hidden="1">
      <c r="A120" s="2854"/>
      <c r="B120" s="2885"/>
      <c r="C120" s="2885"/>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15.87</v>
      </c>
      <c r="C121" s="1893">
        <f>项目基本情况!C13</f>
        <v>0</v>
      </c>
      <c r="D121" s="1893">
        <f ca="1">ROUND(IF(B32="总价",C34,IF('数据-取费表'!B3="万元",E121*B121/10000,E121*B121)),0)</f>
        <v>388752</v>
      </c>
      <c r="E121" s="1893">
        <f ca="1">ROUND(IF(B32="楼面单价",C34,IF(H19="元",D121/B121,D121*10000/B121)),0)</f>
        <v>24496</v>
      </c>
      <c r="F121" s="1893">
        <f ca="1">ROUND(IF(B32="总价",C35,IF('数据-取费表'!B3="万元",G121*B121/10000,G121*B121)),0)</f>
        <v>69146</v>
      </c>
      <c r="G121" s="1893">
        <f ca="1">ROUND(IF(B32="楼面单价",C35,IF(H19="元",F121/B121,F121*10000/B121)),0)</f>
        <v>4357</v>
      </c>
      <c r="H121" s="1893">
        <f ca="1">ROUND(IF(B32="总价",C32,IF('数据-取费表'!B3="万元",I121*B121/10000,I121*B121)),0)</f>
        <v>457897</v>
      </c>
      <c r="I121" s="638">
        <f ca="1">ROUND(IF(B32="楼面单价",C32,IF(H19="元",H121/B121,H121*10000/B121)),0)</f>
        <v>28853</v>
      </c>
    </row>
    <row r="122" spans="1:15" ht="14.25" hidden="1">
      <c r="A122" s="2854" t="s">
        <v>1959</v>
      </c>
      <c r="B122" s="2855"/>
      <c r="C122" s="2855"/>
      <c r="D122" s="2888" t="str">
        <f ca="1">IF(H19="元",NUMBERSTRING(INT(D121),2)&amp;"元整",NUMBERSTRING(INT(D121*10000),2)&amp;"元整")</f>
        <v>叁拾捌万捌仟柒佰伍拾贰元整</v>
      </c>
      <c r="E122" s="2935"/>
      <c r="F122" s="2888" t="str">
        <f ca="1">IF(H19="元",NUMBERSTRING(INT(F121),2)&amp;"元整",NUMBERSTRING(INT(F121*10000),2)&amp;"元整")</f>
        <v>陆万玖仟壹佰肆拾陆元整</v>
      </c>
      <c r="G122" s="2935"/>
      <c r="H122" s="2888" t="str">
        <f ca="1">IF(H19="元",NUMBERSTRING(INT(H121),2)&amp;"元整",NUMBERSTRING(INT(H121*10000),2)&amp;"元整")</f>
        <v>肆拾伍万柒仟捌佰玖拾柒元整</v>
      </c>
      <c r="I122" s="2889"/>
    </row>
    <row r="123" spans="1:15" ht="15" hidden="1">
      <c r="A123" s="2936" t="str">
        <f>IF(项目基本情况!D5="房地产市场价值","——",MID(A108,3,LEN(A108)-2))</f>
        <v>——</v>
      </c>
      <c r="B123" s="2866"/>
      <c r="C123" s="2937"/>
      <c r="D123" s="2865">
        <f>I105</f>
        <v>0</v>
      </c>
      <c r="E123" s="2866"/>
      <c r="F123" s="2866"/>
      <c r="G123" s="2866"/>
      <c r="H123" s="2866"/>
      <c r="I123" s="2867"/>
    </row>
    <row r="124" spans="1:15" ht="14.25" hidden="1">
      <c r="A124" s="2938" t="s">
        <v>1959</v>
      </c>
      <c r="B124" s="2939"/>
      <c r="C124" s="2940"/>
      <c r="D124" s="2868">
        <f>H109</f>
        <v>0</v>
      </c>
      <c r="E124" s="2869"/>
      <c r="F124" s="2869"/>
      <c r="G124" s="2869"/>
      <c r="H124" s="2869"/>
      <c r="I124" s="2870"/>
    </row>
    <row r="125" spans="1:15" ht="15" hidden="1">
      <c r="A125" s="2871" t="str">
        <f>IF(项目基本情况!D5="房地产市场价值","——",MID(A112,3,LEN(A112)-2))</f>
        <v>——</v>
      </c>
      <c r="B125" s="2872"/>
      <c r="C125" s="2872"/>
      <c r="D125" s="2865">
        <f ca="1">I110</f>
        <v>457897</v>
      </c>
      <c r="E125" s="2866"/>
      <c r="F125" s="2866"/>
      <c r="G125" s="2866"/>
      <c r="H125" s="2866"/>
      <c r="I125" s="2867"/>
    </row>
    <row r="126" spans="1:15" ht="14.25" hidden="1">
      <c r="A126" s="2854" t="s">
        <v>1959</v>
      </c>
      <c r="B126" s="2855"/>
      <c r="C126" s="2855"/>
      <c r="D126" s="2868">
        <f ca="1">I111</f>
        <v>28853</v>
      </c>
      <c r="E126" s="2869"/>
      <c r="F126" s="2869"/>
      <c r="G126" s="2869"/>
      <c r="H126" s="2869"/>
      <c r="I126" s="2870"/>
    </row>
    <row r="127" spans="1:15" ht="15.75" hidden="1" thickBot="1">
      <c r="A127" s="2871" t="str">
        <f>IF(项目基本情况!D5="房地产市场价值","——",MID(A114,3,LEN(A114)-2))</f>
        <v>——</v>
      </c>
      <c r="B127" s="2872"/>
      <c r="C127" s="2872"/>
      <c r="D127" s="2970" t="str">
        <f>I112</f>
        <v>——</v>
      </c>
      <c r="E127" s="2971"/>
      <c r="F127" s="2971"/>
      <c r="G127" s="2971"/>
      <c r="H127" s="2971"/>
      <c r="I127" s="2972"/>
    </row>
    <row r="128" spans="1:15" ht="15.75" hidden="1" thickTop="1" thickBot="1">
      <c r="A128" s="2854" t="s">
        <v>1959</v>
      </c>
      <c r="B128" s="2855"/>
      <c r="C128" s="2856"/>
      <c r="D128" s="2928" t="str">
        <f>I113</f>
        <v>——</v>
      </c>
      <c r="E128" s="2928"/>
      <c r="F128" s="2928"/>
      <c r="G128" s="2928"/>
      <c r="H128" s="2928"/>
      <c r="I128" s="2928"/>
    </row>
    <row r="129" spans="1:9" ht="16.5" hidden="1" thickTop="1" thickBot="1">
      <c r="A129" s="2871" t="str">
        <f>IF(项目基本情况!D5="房地产市场价值","——",MID(F114,3,LEN(F114)-2))</f>
        <v>——</v>
      </c>
      <c r="B129" s="2872"/>
      <c r="C129" s="2865"/>
      <c r="D129" s="2877" t="str">
        <f>I114</f>
        <v>——</v>
      </c>
      <c r="E129" s="2877"/>
      <c r="F129" s="2877"/>
      <c r="G129" s="2877"/>
      <c r="H129" s="2877"/>
      <c r="I129" s="2877"/>
    </row>
    <row r="130" spans="1:9" ht="15.75" hidden="1" thickTop="1" thickBot="1">
      <c r="A130" s="2882" t="s">
        <v>1959</v>
      </c>
      <c r="B130" s="2883"/>
      <c r="C130" s="2883"/>
      <c r="D130" s="2890">
        <f>H116</f>
        <v>0</v>
      </c>
      <c r="E130" s="2891"/>
      <c r="F130" s="2891"/>
      <c r="G130" s="2891"/>
      <c r="H130" s="2891"/>
      <c r="I130" s="2892"/>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852" t="str">
        <f>IF(B32="总价","（以上估价结果中楼面单价为总价除以建筑面积得出）","（以上估价结果中总价为楼面单价乘以建筑面积得出）")</f>
        <v>（以上估价结果中总价为楼面单价乘以建筑面积得出）</v>
      </c>
      <c r="B132" s="2852"/>
      <c r="C132" s="2852"/>
      <c r="D132" s="2852"/>
      <c r="E132" s="2852"/>
      <c r="F132" s="2852"/>
      <c r="G132" s="2852"/>
      <c r="H132" s="2852"/>
      <c r="I132" s="2852"/>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2878</v>
      </c>
      <c r="E134" s="2309">
        <f ca="1">G20-ROUND(F134*0.1,0)</f>
        <v>25968</v>
      </c>
      <c r="F134" s="2309">
        <f ca="1">G20</f>
        <v>28853</v>
      </c>
      <c r="G134" s="2309"/>
      <c r="H134" s="2310"/>
      <c r="I134" s="2311"/>
    </row>
    <row r="135" spans="1:9" ht="21.75" hidden="1" customHeight="1">
      <c r="A135" s="2312">
        <v>2</v>
      </c>
      <c r="B135" s="2313"/>
      <c r="C135" s="2313"/>
      <c r="D135" s="2309"/>
      <c r="E135" s="2309">
        <f>'数据-取费表'!B5-结果表!F135</f>
        <v>12.959999999999999</v>
      </c>
      <c r="F135" s="2309">
        <v>2.91</v>
      </c>
      <c r="G135" s="2739" t="s">
        <v>2879</v>
      </c>
      <c r="H135" s="2740" t="s">
        <v>2880</v>
      </c>
      <c r="I135" s="2311"/>
    </row>
    <row r="136" spans="1:9" ht="21.75" hidden="1" customHeight="1">
      <c r="A136" s="2312">
        <v>3</v>
      </c>
      <c r="B136" s="2313"/>
      <c r="C136" s="2313"/>
      <c r="D136" s="2309"/>
      <c r="E136" s="2309">
        <f ca="1">ROUND(E134*E135,0)</f>
        <v>336545</v>
      </c>
      <c r="F136" s="2309">
        <f ca="1">ROUND(F134*F135,0)</f>
        <v>83962</v>
      </c>
      <c r="G136" s="2741">
        <f ca="1">E136+F136</f>
        <v>420507</v>
      </c>
      <c r="H136" s="2741">
        <f ca="1">ROUND(G136/项目基本情况!C12,0)</f>
        <v>26497</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89" t="s">
        <v>1968</v>
      </c>
      <c r="B2" s="2989"/>
      <c r="C2" s="2989"/>
      <c r="D2" s="2989"/>
      <c r="E2" s="2989"/>
      <c r="F2" s="2989"/>
      <c r="G2" s="2989"/>
      <c r="H2" s="2989"/>
      <c r="I2" s="2989"/>
    </row>
    <row r="3" spans="1:12" ht="12.75">
      <c r="A3" s="2919" t="s">
        <v>1772</v>
      </c>
      <c r="B3" s="2920"/>
      <c r="C3" s="2920"/>
      <c r="D3" s="2920"/>
      <c r="E3" s="2920"/>
      <c r="F3" s="2920"/>
      <c r="G3" s="2920"/>
      <c r="H3" s="2920"/>
      <c r="I3" s="2920"/>
    </row>
    <row r="4" spans="1:12" ht="14.25">
      <c r="A4" s="2203" t="s">
        <v>1773</v>
      </c>
      <c r="B4" s="2204" t="s">
        <v>1774</v>
      </c>
      <c r="C4" s="2205"/>
      <c r="D4" s="2205"/>
      <c r="E4" s="2900" t="s">
        <v>1969</v>
      </c>
      <c r="F4" s="2901"/>
      <c r="G4" s="2901"/>
      <c r="H4" s="2901"/>
      <c r="I4" s="2911"/>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3" t="s">
        <v>1776</v>
      </c>
      <c r="B5" s="2855">
        <v>25</v>
      </c>
      <c r="C5" s="2904"/>
      <c r="D5" s="2918"/>
      <c r="E5" s="56" t="s">
        <v>1777</v>
      </c>
      <c r="F5" s="2206"/>
      <c r="G5" s="2206"/>
      <c r="H5" s="2206"/>
      <c r="I5" s="2207"/>
    </row>
    <row r="6" spans="1:12" ht="12.75">
      <c r="A6" s="2893"/>
      <c r="B6" s="2855"/>
      <c r="C6" s="2921"/>
      <c r="D6" s="2918"/>
      <c r="E6" s="56" t="s">
        <v>1778</v>
      </c>
      <c r="F6" s="2206"/>
      <c r="G6" s="2206"/>
      <c r="H6" s="2206"/>
      <c r="I6" s="2207"/>
    </row>
    <row r="7" spans="1:12" ht="12.75">
      <c r="A7" s="2893"/>
      <c r="B7" s="2855"/>
      <c r="C7" s="2905"/>
      <c r="D7" s="2918"/>
      <c r="E7" s="56" t="s">
        <v>1779</v>
      </c>
      <c r="F7" s="2206"/>
      <c r="G7" s="2206"/>
      <c r="H7" s="2206"/>
      <c r="I7" s="2207"/>
    </row>
    <row r="8" spans="1:12" ht="12.75">
      <c r="A8" s="2893" t="s">
        <v>1780</v>
      </c>
      <c r="B8" s="2855">
        <v>15</v>
      </c>
      <c r="C8" s="2904"/>
      <c r="D8" s="2918"/>
      <c r="E8" s="56" t="s">
        <v>1781</v>
      </c>
      <c r="F8" s="2206"/>
      <c r="G8" s="2206"/>
      <c r="H8" s="2206"/>
      <c r="I8" s="2207"/>
    </row>
    <row r="9" spans="1:12" ht="12.75">
      <c r="A9" s="2893"/>
      <c r="B9" s="2855"/>
      <c r="C9" s="2905"/>
      <c r="D9" s="2918"/>
      <c r="E9" s="56" t="s">
        <v>1782</v>
      </c>
      <c r="F9" s="2206"/>
      <c r="G9" s="2206"/>
      <c r="H9" s="2206"/>
      <c r="I9" s="2207"/>
    </row>
    <row r="10" spans="1:12" ht="12.75">
      <c r="A10" s="2893" t="s">
        <v>1783</v>
      </c>
      <c r="B10" s="2855">
        <v>15</v>
      </c>
      <c r="C10" s="2904"/>
      <c r="D10" s="2918"/>
      <c r="E10" s="56" t="s">
        <v>1784</v>
      </c>
      <c r="F10" s="2206"/>
      <c r="G10" s="2206"/>
      <c r="H10" s="2206"/>
      <c r="I10" s="2207"/>
    </row>
    <row r="11" spans="1:12" ht="12.75">
      <c r="A11" s="2893"/>
      <c r="B11" s="2855"/>
      <c r="C11" s="2905"/>
      <c r="D11" s="2918"/>
      <c r="E11" s="56" t="s">
        <v>1785</v>
      </c>
      <c r="F11" s="2206"/>
      <c r="G11" s="2206"/>
      <c r="H11" s="2206"/>
      <c r="I11" s="2207"/>
    </row>
    <row r="12" spans="1:12" ht="12.75">
      <c r="A12" s="2893" t="s">
        <v>1786</v>
      </c>
      <c r="B12" s="2855">
        <v>15</v>
      </c>
      <c r="C12" s="2904"/>
      <c r="D12" s="2918"/>
      <c r="E12" s="56" t="s">
        <v>1787</v>
      </c>
      <c r="F12" s="2206"/>
      <c r="G12" s="2206"/>
      <c r="H12" s="2206"/>
      <c r="I12" s="2207"/>
    </row>
    <row r="13" spans="1:12" ht="12.75">
      <c r="A13" s="2893"/>
      <c r="B13" s="2855"/>
      <c r="C13" s="2905"/>
      <c r="D13" s="2918"/>
      <c r="E13" s="56" t="s">
        <v>1788</v>
      </c>
      <c r="F13" s="2206"/>
      <c r="G13" s="2206"/>
      <c r="H13" s="2206"/>
      <c r="I13" s="2207"/>
    </row>
    <row r="14" spans="1:12" ht="12.75">
      <c r="A14" s="2893" t="s">
        <v>1789</v>
      </c>
      <c r="B14" s="2855">
        <v>30</v>
      </c>
      <c r="C14" s="2904"/>
      <c r="D14" s="2918"/>
      <c r="E14" s="56" t="s">
        <v>1790</v>
      </c>
      <c r="F14" s="2206"/>
      <c r="G14" s="2206"/>
      <c r="H14" s="2206"/>
      <c r="I14" s="2207"/>
    </row>
    <row r="15" spans="1:12" ht="12.75">
      <c r="A15" s="2893"/>
      <c r="B15" s="2855"/>
      <c r="C15" s="2921"/>
      <c r="D15" s="2918"/>
      <c r="E15" s="56" t="s">
        <v>1791</v>
      </c>
      <c r="F15" s="2206"/>
      <c r="G15" s="2206"/>
      <c r="H15" s="2206"/>
      <c r="I15" s="2207"/>
    </row>
    <row r="16" spans="1:12" ht="12.75">
      <c r="A16" s="2893"/>
      <c r="B16" s="2855"/>
      <c r="C16" s="2905"/>
      <c r="D16" s="2918"/>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24" t="s">
        <v>1801</v>
      </c>
      <c r="B24" s="2213" t="s">
        <v>1796</v>
      </c>
      <c r="C24" s="61">
        <f>D30</f>
        <v>0</v>
      </c>
      <c r="D24" s="995"/>
      <c r="E24" s="2201"/>
      <c r="F24" s="2201"/>
      <c r="G24" s="2201"/>
      <c r="H24" s="2201"/>
      <c r="I24" s="2201"/>
    </row>
    <row r="25" spans="1:35" ht="21.75" customHeight="1">
      <c r="A25" s="2925"/>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80" t="s">
        <v>1972</v>
      </c>
      <c r="B31" s="2980"/>
      <c r="C31" s="2980"/>
      <c r="D31" s="2980"/>
      <c r="E31" s="2980"/>
      <c r="F31" s="2980"/>
      <c r="G31" s="2980"/>
      <c r="H31" s="2980"/>
      <c r="I31" s="2980"/>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06" t="s">
        <v>1981</v>
      </c>
      <c r="B37" s="2243" t="s">
        <v>1982</v>
      </c>
      <c r="C37" s="70"/>
      <c r="D37" s="2244"/>
      <c r="E37" s="2245"/>
      <c r="F37" s="2245"/>
      <c r="G37" s="2201"/>
      <c r="H37" s="2201"/>
      <c r="I37" s="2201"/>
    </row>
    <row r="38" spans="1:16" ht="15.75" thickBot="1">
      <c r="A38" s="2907"/>
      <c r="B38" s="2246" t="s">
        <v>1983</v>
      </c>
      <c r="C38" s="72"/>
      <c r="D38" s="2211"/>
      <c r="E38" s="2211"/>
      <c r="F38" s="2245"/>
      <c r="G38" s="2211"/>
      <c r="H38" s="2211"/>
      <c r="I38" s="2211"/>
    </row>
    <row r="39" spans="1:16" ht="15.75" thickBot="1">
      <c r="A39" s="2908"/>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12" t="s">
        <v>1994</v>
      </c>
      <c r="B46" s="2913"/>
      <c r="C46" s="2914"/>
      <c r="D46" s="81">
        <f>ROUND(I103*F46,0)</f>
        <v>0</v>
      </c>
      <c r="E46" s="82" t="s">
        <v>1995</v>
      </c>
      <c r="F46" s="83">
        <v>1</v>
      </c>
      <c r="G46" s="84" t="s">
        <v>1996</v>
      </c>
      <c r="H46" s="2201"/>
      <c r="I46" s="2201"/>
      <c r="J46" s="2974" t="s">
        <v>1828</v>
      </c>
      <c r="K46" s="2974"/>
      <c r="L46" s="2974"/>
      <c r="M46" s="2974"/>
      <c r="N46" s="2974"/>
      <c r="O46" s="2974"/>
      <c r="P46" s="1851"/>
    </row>
    <row r="47" spans="1:16" ht="14.25" customHeight="1">
      <c r="A47" s="2897" t="s">
        <v>1829</v>
      </c>
      <c r="B47" s="2898"/>
      <c r="C47" s="2898"/>
      <c r="D47" s="2898"/>
      <c r="E47" s="2898"/>
      <c r="F47" s="2898"/>
      <c r="G47" s="2899"/>
      <c r="H47" s="2263"/>
      <c r="I47" s="1145"/>
      <c r="J47" s="1889">
        <v>1</v>
      </c>
      <c r="K47" s="2974" t="s">
        <v>1830</v>
      </c>
      <c r="L47" s="2974"/>
      <c r="M47" s="2990"/>
      <c r="N47" s="2990"/>
      <c r="O47" s="2990"/>
      <c r="P47" s="1851"/>
    </row>
    <row r="48" spans="1:16" ht="12" customHeight="1">
      <c r="A48" s="86" t="s">
        <v>1831</v>
      </c>
      <c r="B48" s="87"/>
      <c r="C48" s="88"/>
      <c r="D48" s="89" t="s">
        <v>1832</v>
      </c>
      <c r="E48" s="14" t="s">
        <v>1833</v>
      </c>
      <c r="F48" s="90" t="s">
        <v>1834</v>
      </c>
      <c r="G48" s="91" t="s">
        <v>1835</v>
      </c>
      <c r="H48" s="2263"/>
      <c r="I48" s="1145"/>
      <c r="J48" s="1889">
        <v>2</v>
      </c>
      <c r="K48" s="2974" t="s">
        <v>1836</v>
      </c>
      <c r="L48" s="2974"/>
      <c r="M48" s="2976">
        <f>'数据-取费表'!B2</f>
        <v>43062</v>
      </c>
      <c r="N48" s="2976"/>
      <c r="O48" s="2976"/>
      <c r="P48" s="1851"/>
    </row>
    <row r="49" spans="1:16" ht="25.5">
      <c r="A49" s="2909" t="s">
        <v>1837</v>
      </c>
      <c r="B49" s="2910"/>
      <c r="C49" s="2910"/>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974" t="s">
        <v>1840</v>
      </c>
      <c r="L49" s="2974"/>
      <c r="M49" s="2975">
        <f>I103</f>
        <v>0</v>
      </c>
      <c r="N49" s="2975"/>
      <c r="O49" s="2975"/>
      <c r="P49" s="1851"/>
    </row>
    <row r="50" spans="1:16" ht="25.5" customHeight="1">
      <c r="A50" s="93" t="s">
        <v>1841</v>
      </c>
      <c r="B50" s="2902" t="s">
        <v>1842</v>
      </c>
      <c r="C50" s="2902"/>
      <c r="D50" s="94">
        <v>0</v>
      </c>
      <c r="E50" s="13" t="s">
        <v>1843</v>
      </c>
      <c r="F50" s="18" t="s">
        <v>48</v>
      </c>
      <c r="G50" s="2967"/>
      <c r="H50" s="2201"/>
      <c r="I50" s="2266"/>
      <c r="J50" s="1889">
        <v>4</v>
      </c>
      <c r="K50" s="2974" t="str">
        <f>IF(项目基本情况!F5="房地产抵押价值","房地产抵押价值","抵押担保权已注销时的房地产抵押价值")</f>
        <v>抵押担保权已注销时的房地产抵押价值</v>
      </c>
      <c r="L50" s="2974"/>
      <c r="M50" s="2975" t="str">
        <f>IF(项目基本情况!E8="房地产抵押价值",I111,I113)</f>
        <v>——</v>
      </c>
      <c r="N50" s="2975"/>
      <c r="O50" s="2975"/>
      <c r="P50" s="1851"/>
    </row>
    <row r="51" spans="1:16" ht="25.5" customHeight="1">
      <c r="A51" s="95"/>
      <c r="B51" s="2902" t="s">
        <v>1844</v>
      </c>
      <c r="C51" s="2902"/>
      <c r="D51" s="96"/>
      <c r="E51" s="21"/>
      <c r="F51" s="97"/>
      <c r="G51" s="2968"/>
      <c r="H51" s="2201"/>
      <c r="I51" s="2266"/>
      <c r="J51" s="2974" t="s">
        <v>1845</v>
      </c>
      <c r="K51" s="2974"/>
      <c r="L51" s="2974"/>
      <c r="M51" s="2974"/>
      <c r="N51" s="2974"/>
      <c r="O51" s="2974"/>
      <c r="P51" s="1851"/>
    </row>
    <row r="52" spans="1:16" ht="12" customHeight="1">
      <c r="A52" s="98"/>
      <c r="B52" s="2902" t="s">
        <v>1846</v>
      </c>
      <c r="C52" s="2902"/>
      <c r="D52" s="99"/>
      <c r="E52" s="20"/>
      <c r="F52" s="97"/>
      <c r="G52" s="2969"/>
      <c r="H52" s="2201"/>
      <c r="I52" s="2266"/>
      <c r="J52" s="2267" t="s">
        <v>1847</v>
      </c>
      <c r="K52" s="2974" t="s">
        <v>1848</v>
      </c>
      <c r="L52" s="2974"/>
      <c r="M52" s="2267" t="s">
        <v>1849</v>
      </c>
      <c r="N52" s="2267" t="s">
        <v>1850</v>
      </c>
      <c r="O52" s="2267" t="s">
        <v>1851</v>
      </c>
      <c r="P52" s="1851"/>
    </row>
    <row r="53" spans="1:16" ht="24" customHeight="1">
      <c r="A53" s="100" t="s">
        <v>1852</v>
      </c>
      <c r="B53" s="2902" t="s">
        <v>1853</v>
      </c>
      <c r="C53" s="2902"/>
      <c r="D53" s="99">
        <f>ROUND(D46*'数据-取费表'!E29/(1+'数据-取费表'!F30),0)</f>
        <v>0</v>
      </c>
      <c r="E53" s="10" t="s">
        <v>1854</v>
      </c>
      <c r="F53" s="101">
        <f>'数据-取费表'!E29</f>
        <v>5.6000000000000001E-2</v>
      </c>
      <c r="G53" s="2268"/>
      <c r="H53" s="2201"/>
      <c r="I53" s="2266"/>
      <c r="J53" s="1889">
        <v>1</v>
      </c>
      <c r="K53" s="2934" t="s">
        <v>1855</v>
      </c>
      <c r="L53" s="2934"/>
      <c r="M53" s="779">
        <f>D49</f>
        <v>0</v>
      </c>
      <c r="N53" s="1889" t="str">
        <f>E49</f>
        <v>销售额×税（费）率</v>
      </c>
      <c r="O53" s="780">
        <f>F49</f>
        <v>5.6000000000000001E-2</v>
      </c>
      <c r="P53" s="1851"/>
    </row>
    <row r="54" spans="1:16" ht="12" customHeight="1">
      <c r="A54" s="100" t="s">
        <v>1856</v>
      </c>
      <c r="B54" s="2903" t="s">
        <v>1857</v>
      </c>
      <c r="C54" s="2831"/>
      <c r="D54" s="99">
        <f>ROUND(D46*'数据-取费表'!E29/(1+'数据-取费表'!F30),0)</f>
        <v>0</v>
      </c>
      <c r="E54" s="10" t="s">
        <v>1854</v>
      </c>
      <c r="F54" s="101">
        <f>'数据-取费表'!E29</f>
        <v>5.6000000000000001E-2</v>
      </c>
      <c r="G54" s="2268"/>
      <c r="H54" s="2201"/>
      <c r="I54" s="2266"/>
      <c r="J54" s="1889">
        <v>2</v>
      </c>
      <c r="K54" s="2934" t="s">
        <v>1858</v>
      </c>
      <c r="L54" s="2934"/>
      <c r="M54" s="779">
        <f t="shared" ref="M54:O55" si="1">D56</f>
        <v>0</v>
      </c>
      <c r="N54" s="1889" t="str">
        <f t="shared" si="1"/>
        <v>销售额×税（费）率</v>
      </c>
      <c r="O54" s="780">
        <f t="shared" si="1"/>
        <v>5.0000000000000001E-4</v>
      </c>
      <c r="P54" s="1851"/>
    </row>
    <row r="55" spans="1:16" ht="12" customHeight="1">
      <c r="A55" s="100" t="s">
        <v>1859</v>
      </c>
      <c r="B55" s="2903" t="s">
        <v>1860</v>
      </c>
      <c r="C55" s="2831"/>
      <c r="D55" s="99">
        <f>C69</f>
        <v>0</v>
      </c>
      <c r="E55" s="20" t="s">
        <v>1861</v>
      </c>
      <c r="F55" s="101">
        <f>'数据-取费表'!E29</f>
        <v>5.6000000000000001E-2</v>
      </c>
      <c r="G55" s="2268"/>
      <c r="H55" s="2269"/>
      <c r="I55" s="2266"/>
      <c r="J55" s="1889">
        <v>3</v>
      </c>
      <c r="K55" s="2934" t="s">
        <v>1862</v>
      </c>
      <c r="L55" s="2934"/>
      <c r="M55" s="779">
        <f t="shared" si="1"/>
        <v>0</v>
      </c>
      <c r="N55" s="1889" t="str">
        <f t="shared" si="1"/>
        <v>增值额×税（费）率</v>
      </c>
      <c r="O55" s="781" t="str">
        <f t="shared" si="1"/>
        <v>——</v>
      </c>
      <c r="P55" s="1851"/>
    </row>
    <row r="56" spans="1:16" ht="24" customHeight="1">
      <c r="A56" s="2823" t="s">
        <v>1863</v>
      </c>
      <c r="B56" s="2910"/>
      <c r="C56" s="2910"/>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934" t="str">
        <f>IF(H60="非个人房产","——","个人所得税")</f>
        <v>——</v>
      </c>
      <c r="L56" s="2934"/>
      <c r="M56" s="782" t="str">
        <f>D60</f>
        <v>——</v>
      </c>
      <c r="N56" s="1892" t="str">
        <f>E60</f>
        <v>——</v>
      </c>
      <c r="O56" s="783" t="str">
        <f>F60</f>
        <v>——</v>
      </c>
      <c r="P56" s="1851"/>
    </row>
    <row r="57" spans="1:16" ht="24.75">
      <c r="A57" s="2823" t="s">
        <v>1866</v>
      </c>
      <c r="B57" s="2910"/>
      <c r="C57" s="2910"/>
      <c r="D57" s="102">
        <f>IF(H57="个人住宅",D58,D59)</f>
        <v>0</v>
      </c>
      <c r="E57" s="10" t="s">
        <v>1867</v>
      </c>
      <c r="F57" s="101" t="str">
        <f>IF(H57="正常",F59,"免征")</f>
        <v>——</v>
      </c>
      <c r="G57" s="2270" t="s">
        <v>1868</v>
      </c>
      <c r="H57" s="2271" t="s">
        <v>1865</v>
      </c>
      <c r="I57" s="1023"/>
      <c r="J57" s="1889" t="str">
        <f>IF(项目基本情况!I6="上海银行",IF(J56="",4,J56+1),"")</f>
        <v/>
      </c>
      <c r="K57" s="2952" t="str">
        <f>IF(项目基本情况!I6="上海银行","其他处置费用","")</f>
        <v/>
      </c>
      <c r="L57" s="2953"/>
      <c r="M57" s="779" t="str">
        <f>IF(项目基本情况!I6="上海银行",M70,"")</f>
        <v/>
      </c>
      <c r="N57" s="2965" t="str">
        <f>IF(项目基本情况!I6="上海银行","包含处置中涉及的律师、诉讼、拍卖、评估等费用","")</f>
        <v/>
      </c>
      <c r="O57" s="2966"/>
      <c r="P57" s="1851"/>
    </row>
    <row r="58" spans="1:16" ht="12.75">
      <c r="A58" s="100" t="s">
        <v>1841</v>
      </c>
      <c r="B58" s="2900" t="s">
        <v>1869</v>
      </c>
      <c r="C58" s="2911"/>
      <c r="D58" s="104">
        <v>0</v>
      </c>
      <c r="E58" s="13" t="s">
        <v>1843</v>
      </c>
      <c r="F58" s="71"/>
      <c r="G58" s="2268"/>
      <c r="H58" s="1023"/>
      <c r="I58" s="1023"/>
      <c r="J58" s="2934">
        <f>IF(AND(J56="",J57=""),4,IF(项目基本情况!I6="上海银行",J57+1,J56+1))</f>
        <v>4</v>
      </c>
      <c r="K58" s="2934" t="s">
        <v>1870</v>
      </c>
      <c r="L58" s="2272" t="s">
        <v>1871</v>
      </c>
      <c r="M58" s="784"/>
      <c r="N58" s="785">
        <f>SUMIF(M53:M57,"&lt;9e307")</f>
        <v>0</v>
      </c>
      <c r="O58" s="2273"/>
      <c r="P58" s="1847" t="e">
        <f>N58/M50</f>
        <v>#VALUE!</v>
      </c>
    </row>
    <row r="59" spans="1:16" ht="24.75">
      <c r="A59" s="100" t="s">
        <v>1852</v>
      </c>
      <c r="B59" s="2900" t="s">
        <v>1872</v>
      </c>
      <c r="C59" s="2901"/>
      <c r="D59" s="102">
        <f>IF(H59="转让取得",C82,C98)</f>
        <v>0</v>
      </c>
      <c r="E59" s="10" t="s">
        <v>1867</v>
      </c>
      <c r="F59" s="14" t="s">
        <v>48</v>
      </c>
      <c r="G59" s="2268"/>
      <c r="H59" s="2271" t="s">
        <v>1873</v>
      </c>
      <c r="I59" s="1023"/>
      <c r="J59" s="2934"/>
      <c r="K59" s="2934"/>
      <c r="L59" s="2272" t="s">
        <v>1874</v>
      </c>
      <c r="M59" s="786"/>
      <c r="N59" s="2274" t="str">
        <f>IF(H19="元",NUMBERSTRING(INT(N58),2)&amp;"元整",NUMBERSTRING(INT(N58*10000),2)&amp;"元整")</f>
        <v>零元整</v>
      </c>
      <c r="O59" s="2275"/>
      <c r="P59" s="1851"/>
    </row>
    <row r="60" spans="1:16" ht="24.75" thickBot="1">
      <c r="A60" s="2824" t="s">
        <v>1875</v>
      </c>
      <c r="B60" s="2827"/>
      <c r="C60" s="2827"/>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32">
        <f>J58+1</f>
        <v>5</v>
      </c>
      <c r="K60" s="2934" t="s">
        <v>1877</v>
      </c>
      <c r="L60" s="1889" t="s">
        <v>1871</v>
      </c>
      <c r="M60" s="787"/>
      <c r="N60" s="788" t="e">
        <f>M50-N58</f>
        <v>#VALUE!</v>
      </c>
      <c r="O60" s="2277"/>
      <c r="P60" s="1851"/>
    </row>
    <row r="61" spans="1:16" ht="12" customHeight="1">
      <c r="A61" s="2074"/>
      <c r="B61" s="2201"/>
      <c r="C61" s="2201"/>
      <c r="D61" s="2201"/>
      <c r="E61" s="1023"/>
      <c r="F61" s="1023"/>
      <c r="G61" s="1023"/>
      <c r="H61" s="2254"/>
      <c r="I61" s="2201"/>
      <c r="J61" s="2933"/>
      <c r="K61" s="2934"/>
      <c r="L61" s="2272" t="s">
        <v>1874</v>
      </c>
      <c r="M61" s="786"/>
      <c r="N61" s="2274" t="e">
        <f>IF(H19="元",NUMBERSTRING(INT(N60),2)&amp;"元整",NUMBERSTRING(INT(N60*10000),2)&amp;"元整")</f>
        <v>#VALUE!</v>
      </c>
      <c r="O61" s="2275"/>
      <c r="P61" s="1851"/>
    </row>
    <row r="62" spans="1:16" ht="13.5" thickBot="1">
      <c r="A62" s="2915" t="s">
        <v>1878</v>
      </c>
      <c r="B62" s="2915"/>
      <c r="C62" s="2915"/>
      <c r="D62" s="2915"/>
      <c r="E62" s="2915"/>
      <c r="F62" s="1023"/>
      <c r="G62" s="1023"/>
      <c r="H62" s="2254"/>
      <c r="I62" s="2201"/>
      <c r="J62" s="1889">
        <f>J60+1</f>
        <v>6</v>
      </c>
      <c r="K62" s="2934" t="s">
        <v>1879</v>
      </c>
      <c r="L62" s="2934"/>
      <c r="M62" s="789"/>
      <c r="N62" s="790" t="e">
        <f>IF(H19="元",ROUND(N60/项目基本情况!C12,0),ROUND(N60*10000/项目基本情况!C12,0))</f>
        <v>#VALUE!</v>
      </c>
      <c r="O62" s="2278"/>
      <c r="P62" s="1851"/>
    </row>
    <row r="63" spans="1:16" ht="12.75">
      <c r="A63" s="2922" t="s">
        <v>1880</v>
      </c>
      <c r="B63" s="2923"/>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954"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954"/>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954"/>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954"/>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954"/>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954"/>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954"/>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926" t="s">
        <v>1900</v>
      </c>
      <c r="B71" s="2927"/>
      <c r="C71" s="2927"/>
      <c r="D71" s="2927"/>
      <c r="E71" s="2927"/>
      <c r="F71" s="2927"/>
      <c r="G71" s="2927"/>
      <c r="H71" s="2927"/>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922" t="s">
        <v>1880</v>
      </c>
      <c r="B72" s="2923"/>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03" t="s">
        <v>1910</v>
      </c>
      <c r="F77" s="2902"/>
      <c r="G77" s="2902"/>
      <c r="H77" s="2917"/>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94" t="s">
        <v>1915</v>
      </c>
      <c r="F79" s="2895"/>
      <c r="G79" s="2895"/>
      <c r="H79" s="2896"/>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926" t="s">
        <v>1919</v>
      </c>
      <c r="B84" s="2927"/>
      <c r="C84" s="2927"/>
      <c r="D84" s="2927"/>
      <c r="E84" s="2927"/>
      <c r="F84" s="2927"/>
      <c r="G84" s="2927"/>
      <c r="H84" s="2927"/>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922" t="s">
        <v>1880</v>
      </c>
      <c r="B85" s="2923"/>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94" t="s">
        <v>1927</v>
      </c>
      <c r="F92" s="2895"/>
      <c r="G92" s="2895"/>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94" t="s">
        <v>1930</v>
      </c>
      <c r="F93" s="2895"/>
      <c r="G93" s="2895"/>
      <c r="H93" s="2896"/>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94" t="s">
        <v>1915</v>
      </c>
      <c r="F94" s="2895"/>
      <c r="G94" s="2895"/>
      <c r="H94" s="2896"/>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94" t="s">
        <v>1932</v>
      </c>
      <c r="F95" s="2895"/>
      <c r="G95" s="2895"/>
      <c r="H95" s="289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949" t="s">
        <v>1934</v>
      </c>
      <c r="B100" s="2950"/>
      <c r="C100" s="2950"/>
      <c r="D100" s="2951"/>
      <c r="E100" s="2201"/>
      <c r="F100" s="2960" t="s">
        <v>1935</v>
      </c>
      <c r="G100" s="2961"/>
      <c r="H100" s="2961"/>
      <c r="I100" s="2962"/>
    </row>
    <row r="101" spans="1:35" ht="15.75">
      <c r="A101" s="2963" t="s">
        <v>1936</v>
      </c>
      <c r="B101" s="2964"/>
      <c r="C101" s="721">
        <f>C4</f>
        <v>0</v>
      </c>
      <c r="D101" s="722">
        <f>D4</f>
        <v>0</v>
      </c>
      <c r="E101" s="2201"/>
      <c r="F101" s="2859" t="s">
        <v>1937</v>
      </c>
      <c r="G101" s="2860"/>
      <c r="H101" s="2985" t="s">
        <v>1938</v>
      </c>
      <c r="I101" s="2858"/>
    </row>
    <row r="102" spans="1:35" ht="15.75">
      <c r="A102" s="2986" t="s">
        <v>1998</v>
      </c>
      <c r="B102" s="2296" t="str">
        <f>IF(H19="元","总价（元）","总价（万元）")</f>
        <v>总价（元）</v>
      </c>
      <c r="C102" s="721" t="e">
        <f ca="1">C19</f>
        <v>#REF!</v>
      </c>
      <c r="D102" s="722" t="e">
        <f ca="1">D19</f>
        <v>#REF!</v>
      </c>
      <c r="E102" s="2201"/>
      <c r="F102" s="2987"/>
      <c r="G102" s="2988"/>
      <c r="H102" s="2857">
        <f>典型户型修正!B25</f>
        <v>0</v>
      </c>
      <c r="I102" s="2858"/>
    </row>
    <row r="103" spans="1:35" ht="15.75">
      <c r="A103" s="2986"/>
      <c r="B103" s="2296" t="s">
        <v>1940</v>
      </c>
      <c r="C103" s="723" t="e">
        <f ca="1">C20</f>
        <v>#REF!</v>
      </c>
      <c r="D103" s="724" t="e">
        <f ca="1">D20</f>
        <v>#REF!</v>
      </c>
      <c r="E103" s="2201"/>
      <c r="F103" s="2886" t="s">
        <v>1941</v>
      </c>
      <c r="G103" s="2887"/>
      <c r="H103" s="2297" t="str">
        <f>C109</f>
        <v>总价（元）</v>
      </c>
      <c r="I103" s="1868">
        <f>H124</f>
        <v>0</v>
      </c>
    </row>
    <row r="104" spans="1:35" ht="15">
      <c r="A104" s="2986" t="s">
        <v>1999</v>
      </c>
      <c r="B104" s="2298" t="str">
        <f>B102</f>
        <v>总价（元）</v>
      </c>
      <c r="C104" s="1191" t="e">
        <f ca="1">ROUND(IF('数据-取费表'!B4="总价",G19,IF(H19="元",G20*'数据-取费表'!E5,G20*'数据-取费表'!E5/10000)),0)</f>
        <v>#REF!</v>
      </c>
      <c r="D104" s="726"/>
      <c r="E104" s="2201"/>
      <c r="F104" s="2886"/>
      <c r="G104" s="2887"/>
      <c r="H104" s="2297" t="s">
        <v>1940</v>
      </c>
      <c r="I104" s="1051" t="e">
        <f>I124</f>
        <v>#DIV/0!</v>
      </c>
    </row>
    <row r="105" spans="1:35" ht="15.75">
      <c r="A105" s="2986"/>
      <c r="B105" s="2296" t="s">
        <v>1940</v>
      </c>
      <c r="C105" s="1193" t="e">
        <f ca="1">ROUND(IF('数据-取费表'!B4="楼面单价",G20,IF(H19="元",G19/'数据-取费表'!E5,G19*10000/'数据-取费表'!E5)),0)</f>
        <v>#REF!</v>
      </c>
      <c r="D105" s="726"/>
      <c r="E105" s="2201"/>
      <c r="F105" s="2958"/>
      <c r="G105" s="2959"/>
      <c r="H105" s="2943"/>
      <c r="I105" s="2944"/>
    </row>
    <row r="106" spans="1:35" ht="15.75">
      <c r="A106" s="2979" t="s">
        <v>2000</v>
      </c>
      <c r="B106" s="2336" t="str">
        <f>B102</f>
        <v>总价（元）</v>
      </c>
      <c r="C106" s="725">
        <f>H124</f>
        <v>0</v>
      </c>
      <c r="D106" s="1190"/>
      <c r="E106" s="2201"/>
      <c r="F106" s="2947" t="s">
        <v>1944</v>
      </c>
      <c r="G106" s="2948"/>
      <c r="H106" s="2300" t="str">
        <f>C111</f>
        <v>总额（元）</v>
      </c>
      <c r="I106" s="1868">
        <f>SUMIF(I107:I109,"&lt;9E307")</f>
        <v>0</v>
      </c>
    </row>
    <row r="107" spans="1:35" ht="15.75" thickBot="1">
      <c r="A107" s="2942"/>
      <c r="B107" s="2299" t="s">
        <v>1940</v>
      </c>
      <c r="C107" s="727" t="e">
        <f>I124</f>
        <v>#DIV/0!</v>
      </c>
      <c r="D107" s="728"/>
      <c r="E107" s="2201"/>
      <c r="F107" s="2875" t="s">
        <v>1946</v>
      </c>
      <c r="G107" s="2876"/>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2" t="s">
        <v>1943</v>
      </c>
      <c r="B108" s="2983"/>
      <c r="C108" s="2983"/>
      <c r="D108" s="2984"/>
      <c r="E108" s="2201"/>
      <c r="F108" s="2875" t="s">
        <v>1947</v>
      </c>
      <c r="G108" s="2876"/>
      <c r="H108" s="2300" t="str">
        <f>C113</f>
        <v>总额（元）</v>
      </c>
      <c r="I108" s="1051">
        <f>C38</f>
        <v>0</v>
      </c>
      <c r="K108" s="2301"/>
    </row>
    <row r="109" spans="1:35" ht="15">
      <c r="A109" s="2873" t="s">
        <v>2001</v>
      </c>
      <c r="B109" s="2874"/>
      <c r="C109" s="2297" t="str">
        <f>B102</f>
        <v>总价（元）</v>
      </c>
      <c r="D109" s="1052">
        <f>H124</f>
        <v>0</v>
      </c>
      <c r="E109" s="2201"/>
      <c r="F109" s="2875" t="s">
        <v>1949</v>
      </c>
      <c r="G109" s="2876"/>
      <c r="H109" s="2300" t="str">
        <f>C114</f>
        <v>总额（元）</v>
      </c>
      <c r="I109" s="1051">
        <f>C39</f>
        <v>0</v>
      </c>
    </row>
    <row r="110" spans="1:35" ht="15.75">
      <c r="A110" s="2873"/>
      <c r="B110" s="2874"/>
      <c r="C110" s="2297" t="s">
        <v>1940</v>
      </c>
      <c r="D110" s="1053" t="e">
        <f>I124</f>
        <v>#DIV/0!</v>
      </c>
      <c r="E110" s="2201"/>
      <c r="F110" s="2958"/>
      <c r="G110" s="2959"/>
      <c r="H110" s="2945"/>
      <c r="I110" s="2946"/>
    </row>
    <row r="111" spans="1:35" ht="28.5" customHeight="1">
      <c r="A111" s="2880" t="s">
        <v>1948</v>
      </c>
      <c r="B111" s="2881"/>
      <c r="C111" s="2300" t="str">
        <f>IF(H19="元","总额（元）","总额（万元）")</f>
        <v>总额（元）</v>
      </c>
      <c r="D111" s="1052">
        <f>IF(D37="正常操作",I107+I108+I109,I108+I109)</f>
        <v>0</v>
      </c>
      <c r="E111" s="2201"/>
      <c r="F111" s="2861" t="str">
        <f>IF(项目基本情况!F5="已注销","——","3.房地产抵押价值")</f>
        <v>3.房地产抵押价值</v>
      </c>
      <c r="G111" s="2862"/>
      <c r="H111" s="2337" t="str">
        <f>C115</f>
        <v>总价（元）</v>
      </c>
      <c r="I111" s="1868">
        <f>IF(F111="——","——",I103-I106)</f>
        <v>0</v>
      </c>
    </row>
    <row r="112" spans="1:35" ht="15">
      <c r="A112" s="2875" t="s">
        <v>1946</v>
      </c>
      <c r="B112" s="2876"/>
      <c r="C112" s="2300" t="str">
        <f>C111</f>
        <v>总额（元）</v>
      </c>
      <c r="D112" s="638">
        <f>IF(D37="同一抵押权人同一抵押物续贷",C37&amp;"（未扣减，详见特别提示）",C37)</f>
        <v>0</v>
      </c>
      <c r="E112" s="2201"/>
      <c r="F112" s="2977"/>
      <c r="G112" s="2978"/>
      <c r="H112" s="2297" t="s">
        <v>1940</v>
      </c>
      <c r="I112" s="2303" t="e">
        <f>D116</f>
        <v>#DIV/0!</v>
      </c>
    </row>
    <row r="113" spans="1:26" ht="15.75">
      <c r="A113" s="2875" t="s">
        <v>1947</v>
      </c>
      <c r="B113" s="2876"/>
      <c r="C113" s="2300" t="str">
        <f>C111</f>
        <v>总额（元）</v>
      </c>
      <c r="D113" s="638">
        <f>C38</f>
        <v>0</v>
      </c>
      <c r="E113" s="2201"/>
      <c r="F113" s="2861" t="str">
        <f>IF(项目基本情况!F5="已注销及未注销","4.抵押担保权已注销时的房地产抵押价值",IF(项目基本情况!F5="已注销","3.抵押担保权已注销时的房地产抵押价值","——"))</f>
        <v>——</v>
      </c>
      <c r="G113" s="2862"/>
      <c r="H113" s="2337" t="str">
        <f>C117</f>
        <v>总价（元）</v>
      </c>
      <c r="I113" s="1868" t="str">
        <f>IF(F113="——","——",I103-I108-I109)</f>
        <v>——</v>
      </c>
    </row>
    <row r="114" spans="1:26" ht="15">
      <c r="A114" s="2875" t="s">
        <v>1949</v>
      </c>
      <c r="B114" s="2876"/>
      <c r="C114" s="2300" t="str">
        <f>C111</f>
        <v>总额（元）</v>
      </c>
      <c r="D114" s="638">
        <f>C39</f>
        <v>0</v>
      </c>
      <c r="E114" s="2201"/>
      <c r="F114" s="2977"/>
      <c r="G114" s="2978"/>
      <c r="H114" s="2297" t="s">
        <v>1940</v>
      </c>
      <c r="I114" s="1051" t="str">
        <f>D118</f>
        <v>——</v>
      </c>
    </row>
    <row r="115" spans="1:26" ht="15.75">
      <c r="A115" s="2873" t="str">
        <f>IF(项目基本情况!F5="已注销","——","3.房地产抵押价值")</f>
        <v>3.房地产抵押价值</v>
      </c>
      <c r="B115" s="2874"/>
      <c r="C115" s="2297" t="str">
        <f>B102</f>
        <v>总价（元）</v>
      </c>
      <c r="D115" s="1052">
        <f>IF(A115="——","——",D109-D111)</f>
        <v>0</v>
      </c>
      <c r="E115" s="2201"/>
      <c r="F115" s="2861" t="str">
        <f>IF(项目基本情况!G5="抵押净值",IF(OR(项目基本情况!F5="已注销",项目基本情况!F5="房地产抵押价值"),"4.抵押净值","5.抵押净值"),"——")</f>
        <v>——</v>
      </c>
      <c r="G115" s="2862"/>
      <c r="H115" s="2297" t="str">
        <f>C119</f>
        <v>总价（元）</v>
      </c>
      <c r="I115" s="1868" t="str">
        <f>IF(F115="——","——",N60)</f>
        <v>——</v>
      </c>
    </row>
    <row r="116" spans="1:26" ht="15.75" thickBot="1">
      <c r="A116" s="2873"/>
      <c r="B116" s="2874"/>
      <c r="C116" s="2297" t="s">
        <v>2002</v>
      </c>
      <c r="D116" s="1053" t="e">
        <f>ROUND(IF(D115=D109,D110,IF(H19="元",D115/B124,D115*10000/B124)),0)</f>
        <v>#DIV/0!</v>
      </c>
      <c r="E116" s="2201"/>
      <c r="F116" s="2863"/>
      <c r="G116" s="2864"/>
      <c r="H116" s="2305" t="s">
        <v>2002</v>
      </c>
      <c r="I116" s="1870" t="str">
        <f>D120</f>
        <v>——</v>
      </c>
    </row>
    <row r="117" spans="1:26" ht="15.75">
      <c r="A117" s="2873" t="str">
        <f>IF(项目基本情况!F5="已注销及未注销","4.抵押担保权已注销时的房地产抵押价值",IF(项目基本情况!F5="已注销","3.抵押担保权已注销时的房地产抵押价值","——"))</f>
        <v>——</v>
      </c>
      <c r="B117" s="2874"/>
      <c r="C117" s="2297" t="str">
        <f>B102</f>
        <v>总价（元）</v>
      </c>
      <c r="D117" s="1052" t="str">
        <f>IF(A117="——","——",D109-D113-D114)</f>
        <v>——</v>
      </c>
      <c r="E117" s="2201"/>
      <c r="F117" s="2973"/>
      <c r="G117" s="2973"/>
      <c r="H117" s="2929"/>
      <c r="I117" s="2929"/>
      <c r="N117" s="55"/>
      <c r="O117" s="55"/>
    </row>
    <row r="118" spans="1:26" s="1851" customFormat="1" ht="15">
      <c r="A118" s="2873"/>
      <c r="B118" s="2874"/>
      <c r="C118" s="2297" t="s">
        <v>2002</v>
      </c>
      <c r="D118" s="1053" t="str">
        <f>IF(A117="——","——",IF(H19="元",ROUND(D117/B124,0),ROUND(D117*10000/B124,0)))</f>
        <v>——</v>
      </c>
      <c r="E118" s="2201"/>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9"/>
      <c r="K118" s="799"/>
      <c r="L118" s="799"/>
      <c r="M118" s="799"/>
      <c r="N118" s="55"/>
      <c r="O118" s="55"/>
      <c r="P118" s="799"/>
      <c r="Q118" s="799"/>
      <c r="R118" s="799"/>
      <c r="S118" s="799"/>
      <c r="T118" s="799"/>
      <c r="U118" s="799"/>
      <c r="V118" s="799"/>
      <c r="W118" s="799"/>
      <c r="X118" s="799"/>
      <c r="Y118" s="799"/>
      <c r="Z118" s="799"/>
    </row>
    <row r="119" spans="1:26" s="1851" customFormat="1" ht="15">
      <c r="A119" s="2873" t="str">
        <f>IF(项目基本情况!G5="抵押净值",IF(OR(项目基本情况!F5="已注销",项目基本情况!F5="房地产抵押价值"),"4.抵押净值","5.抵押净值"),"——")</f>
        <v>——</v>
      </c>
      <c r="B119" s="2874"/>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78"/>
      <c r="B120" s="2879"/>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30" t="s">
        <v>2003</v>
      </c>
      <c r="B121" s="2931"/>
      <c r="C121" s="2931"/>
      <c r="D121" s="2931"/>
      <c r="E121" s="2931"/>
      <c r="F121" s="2931"/>
      <c r="G121" s="2931"/>
      <c r="H121" s="2931"/>
      <c r="I121" s="2931"/>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4" t="s">
        <v>1951</v>
      </c>
      <c r="B122" s="2884" t="s">
        <v>2004</v>
      </c>
      <c r="C122" s="2884" t="s">
        <v>2005</v>
      </c>
      <c r="D122" s="2956" t="s">
        <v>1954</v>
      </c>
      <c r="E122" s="2957"/>
      <c r="F122" s="2855" t="s">
        <v>2006</v>
      </c>
      <c r="G122" s="2855"/>
      <c r="H122" s="2855" t="s">
        <v>1955</v>
      </c>
      <c r="I122" s="2955"/>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4"/>
      <c r="B123" s="2885"/>
      <c r="C123" s="2885"/>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4" t="s">
        <v>1959</v>
      </c>
      <c r="B125" s="2855"/>
      <c r="C125" s="2855"/>
      <c r="D125" s="2888" t="str">
        <f>IF(H19="元",NUMBERSTRING(INT(D124),2)&amp;"元整",NUMBERSTRING(INT(D124*10000),2)&amp;"元整")</f>
        <v>零元整</v>
      </c>
      <c r="E125" s="2935"/>
      <c r="F125" s="2888" t="str">
        <f>IF(H19="元",NUMBERSTRING(INT(F124),2)&amp;"元整",NUMBERSTRING(INT(F124*10000),2)&amp;"元整")</f>
        <v>零元整</v>
      </c>
      <c r="G125" s="2935"/>
      <c r="H125" s="2888" t="str">
        <f>IF(H19="元",NUMBERSTRING(INT(H124),2)&amp;"元整",NUMBERSTRING(INT(H124*10000),2)&amp;"元整")</f>
        <v>零元整</v>
      </c>
      <c r="I125" s="2889"/>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36" t="str">
        <f>IF(项目基本情况!D5="房地产市场价值","——",MID(A111,3,LEN(A111)-2))</f>
        <v>——</v>
      </c>
      <c r="B126" s="2866"/>
      <c r="C126" s="2937"/>
      <c r="D126" s="2865">
        <f>I106</f>
        <v>0</v>
      </c>
      <c r="E126" s="2866"/>
      <c r="F126" s="2866"/>
      <c r="G126" s="2866"/>
      <c r="H126" s="2866"/>
      <c r="I126" s="2867"/>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38" t="s">
        <v>1959</v>
      </c>
      <c r="B127" s="2939"/>
      <c r="C127" s="2940"/>
      <c r="D127" s="2868">
        <f>H110</f>
        <v>0</v>
      </c>
      <c r="E127" s="2869"/>
      <c r="F127" s="2869"/>
      <c r="G127" s="2869"/>
      <c r="H127" s="2869"/>
      <c r="I127" s="2870"/>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1" t="str">
        <f>IF(项目基本情况!D5="房地产市场价值","——",MID(A115,3,LEN(A115)-2))</f>
        <v>——</v>
      </c>
      <c r="B128" s="2872"/>
      <c r="C128" s="2872"/>
      <c r="D128" s="2865">
        <f>I111</f>
        <v>0</v>
      </c>
      <c r="E128" s="2866"/>
      <c r="F128" s="2866"/>
      <c r="G128" s="2866"/>
      <c r="H128" s="2866"/>
      <c r="I128" s="2867"/>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4" t="s">
        <v>1959</v>
      </c>
      <c r="B129" s="2855"/>
      <c r="C129" s="2855"/>
      <c r="D129" s="2868" t="e">
        <f>I112</f>
        <v>#DIV/0!</v>
      </c>
      <c r="E129" s="2869"/>
      <c r="F129" s="2869"/>
      <c r="G129" s="2869"/>
      <c r="H129" s="2869"/>
      <c r="I129" s="2870"/>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1" t="str">
        <f>IF(项目基本情况!D5="房地产市场价值","——",MID(A117,3,LEN(A117)-2))</f>
        <v>——</v>
      </c>
      <c r="B130" s="2872"/>
      <c r="C130" s="2872"/>
      <c r="D130" s="2970" t="str">
        <f>I113</f>
        <v>——</v>
      </c>
      <c r="E130" s="2971"/>
      <c r="F130" s="2971"/>
      <c r="G130" s="2971"/>
      <c r="H130" s="2971"/>
      <c r="I130" s="2972"/>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4" t="s">
        <v>1959</v>
      </c>
      <c r="B131" s="2855"/>
      <c r="C131" s="2856"/>
      <c r="D131" s="2928" t="str">
        <f>I114</f>
        <v>——</v>
      </c>
      <c r="E131" s="2928"/>
      <c r="F131" s="2928"/>
      <c r="G131" s="2928"/>
      <c r="H131" s="2928"/>
      <c r="I131" s="2928"/>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1" t="str">
        <f>IF(项目基本情况!D5="房地产市场价值","——",MID(F115,3,LEN(F115)-2))</f>
        <v>——</v>
      </c>
      <c r="B132" s="2872"/>
      <c r="C132" s="2865"/>
      <c r="D132" s="2877" t="str">
        <f>I115</f>
        <v>——</v>
      </c>
      <c r="E132" s="2877"/>
      <c r="F132" s="2877"/>
      <c r="G132" s="2877"/>
      <c r="H132" s="2877"/>
      <c r="I132" s="2877"/>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82" t="s">
        <v>1959</v>
      </c>
      <c r="B133" s="2883"/>
      <c r="C133" s="2883"/>
      <c r="D133" s="2890">
        <f>H117</f>
        <v>0</v>
      </c>
      <c r="E133" s="2891"/>
      <c r="F133" s="2891"/>
      <c r="G133" s="2891"/>
      <c r="H133" s="2891"/>
      <c r="I133" s="2892"/>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52" t="str">
        <f>IF(B32="总价","（以上估价结果中楼面单价为总价除以建筑面积得出）","（以上估价结果中总价为楼面单价乘以建筑面积得出）")</f>
        <v>（以上估价结果中总价为楼面单价乘以建筑面积得出）</v>
      </c>
      <c r="B135" s="2852"/>
      <c r="C135" s="2852"/>
      <c r="D135" s="2852"/>
      <c r="E135" s="2852"/>
      <c r="F135" s="2852"/>
      <c r="G135" s="2852"/>
      <c r="H135" s="2852"/>
      <c r="I135" s="2852"/>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0.26</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0.03</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0.03</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0.20580000000000001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0.20580000000000001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90" zoomScaleNormal="90" zoomScaleSheetLayoutView="100" workbookViewId="0">
      <selection activeCell="J49" sqref="J49"/>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2812</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423602</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26692</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29400</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29400</v>
      </c>
      <c r="D6" s="81" t="s">
        <v>2803</v>
      </c>
      <c r="E6" s="320" t="s">
        <v>2110</v>
      </c>
      <c r="F6" s="321">
        <f>'数据-取费表'!B29</f>
        <v>3500</v>
      </c>
      <c r="G6" s="1240"/>
      <c r="H6" s="1386" t="s">
        <v>2108</v>
      </c>
      <c r="I6" s="2031" t="s">
        <v>2109</v>
      </c>
      <c r="J6" s="319">
        <f>ROUND(M6*M8*M7*(1-M9),0)</f>
        <v>0</v>
      </c>
      <c r="K6" s="81" t="s">
        <v>2803</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0.3</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0</v>
      </c>
      <c r="D10" s="2345" t="s">
        <v>2804</v>
      </c>
      <c r="E10" s="331" t="s">
        <v>2117</v>
      </c>
      <c r="F10" s="2346" t="s">
        <v>2930</v>
      </c>
      <c r="G10" s="1240"/>
      <c r="H10" s="1386" t="s">
        <v>2115</v>
      </c>
      <c r="I10" s="2344" t="s">
        <v>2116</v>
      </c>
      <c r="J10" s="1387">
        <f ca="1">ROUND(IF(M10="押一",M6*M8*M7/12*M11,IF(M10="押二",M6*M8*M7/12*2*M11,IF(M10="押三",M6*M8*M7/12*3*M11,J11*M11))),0)</f>
        <v>0</v>
      </c>
      <c r="K10" s="81" t="s">
        <v>2805</v>
      </c>
      <c r="L10" s="331" t="s">
        <v>2117</v>
      </c>
      <c r="M10" s="2346"/>
    </row>
    <row r="11" spans="1:37" s="342" customFormat="1" ht="18" customHeight="1">
      <c r="A11" s="349"/>
      <c r="B11" s="2347" t="s">
        <v>2118</v>
      </c>
      <c r="C11" s="1420"/>
      <c r="D11" s="325"/>
      <c r="E11" s="331" t="s">
        <v>2119</v>
      </c>
      <c r="F11" s="332">
        <f ca="1">'数据-取费表'!B30</f>
        <v>1.4999999999999999E-2</v>
      </c>
      <c r="G11" s="1241"/>
      <c r="H11" s="326"/>
      <c r="I11" s="2347" t="s">
        <v>2120</v>
      </c>
      <c r="J11" s="1420"/>
      <c r="K11" s="325"/>
      <c r="L11" s="331" t="s">
        <v>2119</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2121</v>
      </c>
      <c r="B12" s="2348" t="s">
        <v>2122</v>
      </c>
      <c r="C12" s="1427"/>
      <c r="D12" s="2349"/>
      <c r="E12" s="1433"/>
      <c r="F12" s="1428"/>
      <c r="G12" s="1240"/>
      <c r="H12" s="1426" t="s">
        <v>2121</v>
      </c>
      <c r="I12" s="2348" t="s">
        <v>2122</v>
      </c>
      <c r="J12" s="1427"/>
      <c r="K12" s="1443"/>
      <c r="L12" s="1433"/>
      <c r="M12" s="1444"/>
    </row>
    <row r="13" spans="1:37" s="342" customFormat="1" ht="18" customHeight="1" thickTop="1">
      <c r="A13" s="1422">
        <v>2</v>
      </c>
      <c r="B13" s="1423" t="s">
        <v>2123</v>
      </c>
      <c r="C13" s="328">
        <f ca="1">ROUND(C29*F13,0)</f>
        <v>64015</v>
      </c>
      <c r="D13" s="1424" t="s">
        <v>2124</v>
      </c>
      <c r="E13" s="1424" t="s">
        <v>2125</v>
      </c>
      <c r="F13" s="1425">
        <f>'数据-取费表'!E20</f>
        <v>0.74</v>
      </c>
      <c r="G13" s="1241"/>
      <c r="H13" s="1422">
        <v>2</v>
      </c>
      <c r="I13" s="1423" t="s">
        <v>2123</v>
      </c>
      <c r="J13" s="1388">
        <f ca="1">ROUND(J14*J15,0)</f>
        <v>0</v>
      </c>
      <c r="K13" s="1429" t="s">
        <v>2124</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2126</v>
      </c>
      <c r="B14" s="320" t="s">
        <v>2127</v>
      </c>
      <c r="C14" s="339">
        <f>IF(D1="仅计算典型户型",'数据-取费表'!F18,'数据-取费表'!E18)</f>
        <v>55545</v>
      </c>
      <c r="D14" s="1894" t="s">
        <v>2128</v>
      </c>
      <c r="E14" s="1895"/>
      <c r="F14" s="980"/>
      <c r="G14" s="1241"/>
      <c r="H14" s="338" t="s">
        <v>2108</v>
      </c>
      <c r="I14" s="320" t="s">
        <v>2129</v>
      </c>
      <c r="J14" s="14">
        <f ca="1">C29</f>
        <v>86507</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2130</v>
      </c>
      <c r="B15" s="320" t="s">
        <v>2131</v>
      </c>
      <c r="C15" s="14">
        <f>ROUND(C14*F15,0)</f>
        <v>1666</v>
      </c>
      <c r="D15" s="340" t="s">
        <v>2132</v>
      </c>
      <c r="E15" s="340" t="s">
        <v>2133</v>
      </c>
      <c r="F15" s="341">
        <f>'数据-取费表'!E21</f>
        <v>0.03</v>
      </c>
      <c r="G15" s="1240"/>
      <c r="H15" s="1432" t="s">
        <v>2134</v>
      </c>
      <c r="I15" s="1433" t="s">
        <v>2135</v>
      </c>
      <c r="J15" s="1445">
        <f>'数据-取费表'!B39</f>
        <v>0</v>
      </c>
      <c r="K15" s="1446"/>
      <c r="L15" s="1447"/>
      <c r="M15" s="1448"/>
    </row>
    <row r="16" spans="1:37" s="342" customFormat="1" ht="18" customHeight="1" thickTop="1">
      <c r="A16" s="338" t="s">
        <v>2136</v>
      </c>
      <c r="B16" s="320" t="s">
        <v>2137</v>
      </c>
      <c r="C16" s="14">
        <f>ROUND(C14*F16,0)</f>
        <v>0</v>
      </c>
      <c r="D16" s="320" t="s">
        <v>2132</v>
      </c>
      <c r="E16" s="320" t="s">
        <v>2133</v>
      </c>
      <c r="F16" s="343">
        <f>IF('数据-取费表'!B10="住宅",'数据-取费表'!E22,0)</f>
        <v>0</v>
      </c>
      <c r="G16" s="1241"/>
      <c r="H16" s="1422" t="s">
        <v>14</v>
      </c>
      <c r="I16" s="1423" t="s">
        <v>2138</v>
      </c>
      <c r="J16" s="328">
        <f ca="1">ROUND(J17+J22+J23+J24,0)</f>
        <v>1730</v>
      </c>
      <c r="K16" s="1429" t="s">
        <v>2139</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2140</v>
      </c>
      <c r="B17" s="320" t="s">
        <v>2141</v>
      </c>
      <c r="C17" s="14">
        <f>ROUND(F17*IF(D1="仅计算典型户型",'数据-取费表'!E5,'数据-取费表'!B5),0)</f>
        <v>3174</v>
      </c>
      <c r="D17" s="320" t="s">
        <v>2142</v>
      </c>
      <c r="E17" s="320" t="s">
        <v>2143</v>
      </c>
      <c r="F17" s="16">
        <f>'数据-取费表'!E23</f>
        <v>200</v>
      </c>
      <c r="G17" s="1241"/>
      <c r="H17" s="338" t="s">
        <v>2144</v>
      </c>
      <c r="I17" s="320" t="s">
        <v>2145</v>
      </c>
      <c r="J17" s="14">
        <f ca="1">ROUND(IF(项目基本情况!B7="自然人",J5*M17,J18+J19+J20),0)</f>
        <v>0</v>
      </c>
      <c r="K17" s="1894" t="s">
        <v>2146</v>
      </c>
      <c r="L17" s="1899" t="s">
        <v>2147</v>
      </c>
      <c r="M17" s="344">
        <f>IF(项目基本情况!B7="企业","",IF('数据-取费表'!B10="住宅",5%,IF(M6*M7*M8/12/(1+'数据-取费表'!F30)&gt;20000,12%,7%)))</f>
        <v>7.0000000000000007E-2</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2148</v>
      </c>
      <c r="B18" s="320" t="s">
        <v>2149</v>
      </c>
      <c r="C18" s="14">
        <f>ROUND(C14*F18,0)</f>
        <v>833</v>
      </c>
      <c r="D18" s="320" t="s">
        <v>2132</v>
      </c>
      <c r="E18" s="320" t="s">
        <v>2133</v>
      </c>
      <c r="F18" s="343">
        <f>'数据-取费表'!E24</f>
        <v>1.4999999999999999E-2</v>
      </c>
      <c r="G18" s="1240"/>
      <c r="H18" s="338" t="s">
        <v>2150</v>
      </c>
      <c r="I18" s="320" t="s">
        <v>2151</v>
      </c>
      <c r="J18" s="14" t="str">
        <f>IF(项目基本情况!B7="自然人","——",ROUND(J5*M18/(1+'数据-取费表'!F30),0))</f>
        <v>——</v>
      </c>
      <c r="K18" s="1899" t="s">
        <v>2152</v>
      </c>
      <c r="L18" s="320" t="s">
        <v>2133</v>
      </c>
      <c r="M18" s="343">
        <f>'数据-取费表'!E29</f>
        <v>5.6000000000000001E-2</v>
      </c>
    </row>
    <row r="19" spans="1:37" s="342" customFormat="1" ht="18" customHeight="1">
      <c r="A19" s="338" t="s">
        <v>2144</v>
      </c>
      <c r="B19" s="320" t="s">
        <v>2153</v>
      </c>
      <c r="C19" s="14">
        <f>SUM(C14:C18)</f>
        <v>61218</v>
      </c>
      <c r="D19" s="56" t="s">
        <v>2154</v>
      </c>
      <c r="E19" s="1904"/>
      <c r="F19" s="16"/>
      <c r="G19" s="1241"/>
      <c r="H19" s="338" t="s">
        <v>2130</v>
      </c>
      <c r="I19" s="320" t="s">
        <v>2155</v>
      </c>
      <c r="J19" s="14" t="str">
        <f>IF(项目基本情况!B7="自然人","——",IF(K19="按租金收入计税",ROUND(J5*M19,1),ROUND(C29*M19*0.7,1)))</f>
        <v>——</v>
      </c>
      <c r="K19" s="2020" t="s">
        <v>2156</v>
      </c>
      <c r="L19" s="320" t="s">
        <v>2133</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2157</v>
      </c>
      <c r="C20" s="14">
        <f>ROUND(C19*F20,0)</f>
        <v>1837</v>
      </c>
      <c r="D20" s="345" t="s">
        <v>2158</v>
      </c>
      <c r="E20" s="320" t="s">
        <v>2159</v>
      </c>
      <c r="F20" s="343">
        <f>'数据-取费表'!E25</f>
        <v>0.03</v>
      </c>
      <c r="G20" s="1241"/>
      <c r="H20" s="338" t="s">
        <v>2136</v>
      </c>
      <c r="I20" s="81" t="s">
        <v>2160</v>
      </c>
      <c r="J20" s="15" t="str">
        <f>IF(项目基本情况!B7="自然人","——",ROUND(M20*M21,0))</f>
        <v>——</v>
      </c>
      <c r="K20" s="347" t="s">
        <v>2161</v>
      </c>
      <c r="L20" s="320" t="s">
        <v>2162</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2163</v>
      </c>
      <c r="B21" s="320" t="s">
        <v>2164</v>
      </c>
      <c r="C21" s="704">
        <f>F21</f>
        <v>0.03</v>
      </c>
      <c r="D21" s="345" t="s">
        <v>2165</v>
      </c>
      <c r="E21" s="320" t="s">
        <v>2166</v>
      </c>
      <c r="F21" s="343">
        <f>'数据-取费表'!E26</f>
        <v>0.03</v>
      </c>
      <c r="G21" s="1240"/>
      <c r="H21" s="349"/>
      <c r="I21" s="329"/>
      <c r="J21" s="19"/>
      <c r="K21" s="350"/>
      <c r="L21" s="320" t="s">
        <v>2167</v>
      </c>
      <c r="M21" s="321">
        <f>IF(D1="仅计算典型户型",'数据-取费表'!E6,'数据-取费表'!B6)</f>
        <v>0</v>
      </c>
    </row>
    <row r="22" spans="1:37" ht="18" customHeight="1">
      <c r="A22" s="338" t="s">
        <v>2168</v>
      </c>
      <c r="B22" s="320" t="s">
        <v>2169</v>
      </c>
      <c r="C22" s="14"/>
      <c r="D22" s="56" t="str">
        <f>IF(F23&lt;=1,"单利计息。","复利计息。")&amp;"建造成本、管理费用、销售费用产生的利息。"</f>
        <v>复利计息。建造成本、管理费用、销售费用产生的利息。</v>
      </c>
      <c r="E22" s="1904"/>
      <c r="F22" s="16"/>
      <c r="G22" s="1240"/>
      <c r="H22" s="338" t="s">
        <v>2134</v>
      </c>
      <c r="I22" s="320" t="s">
        <v>2170</v>
      </c>
      <c r="J22" s="14">
        <f ca="1">ROUND(J14*M22,0)</f>
        <v>1730</v>
      </c>
      <c r="K22" s="1899" t="s">
        <v>2171</v>
      </c>
      <c r="L22" s="320" t="s">
        <v>2133</v>
      </c>
      <c r="M22" s="351">
        <f>'数据-取费表'!B44</f>
        <v>0.02</v>
      </c>
    </row>
    <row r="23" spans="1:37" ht="18" customHeight="1">
      <c r="A23" s="338" t="s">
        <v>2150</v>
      </c>
      <c r="B23" s="320" t="s">
        <v>2172</v>
      </c>
      <c r="C23" s="14">
        <f ca="1">IF('数据-取费表'!B23&lt;=1,ROUND(C19*F24*F23/2,0)+ROUND(C20*F24*F23/2,0),ROUND(C19*(POWER((1+F24),F23/2)-1),0)+ROUND(C20*(POWER((1+F24),F23/2)-1),0))</f>
        <v>2995</v>
      </c>
      <c r="D23" s="2014" t="str">
        <f>IF(F23&lt;=1,"(建造成本+管理费用)×利率×(建设周期÷2)","(建造成本+管理费用)×((1+利率)^(建设周期÷2)-1)")</f>
        <v>(建造成本+管理费用)×((1+利率)^(建设周期÷2)-1)</v>
      </c>
      <c r="E23" s="320" t="s">
        <v>2173</v>
      </c>
      <c r="F23" s="348">
        <f>'数据-取费表'!B21</f>
        <v>2</v>
      </c>
      <c r="G23" s="1240"/>
      <c r="H23" s="338" t="s">
        <v>2163</v>
      </c>
      <c r="I23" s="320" t="s">
        <v>2174</v>
      </c>
      <c r="J23" s="14">
        <f ca="1">ROUND(J13*M23,0)</f>
        <v>0</v>
      </c>
      <c r="K23" s="1899" t="s">
        <v>2175</v>
      </c>
      <c r="L23" s="320" t="s">
        <v>2176</v>
      </c>
      <c r="M23" s="352">
        <f>'数据-取费表'!B45</f>
        <v>2E-3</v>
      </c>
    </row>
    <row r="24" spans="1:37" s="342" customFormat="1" ht="18" customHeight="1" thickBot="1">
      <c r="A24" s="338" t="s">
        <v>2177</v>
      </c>
      <c r="B24" s="320" t="s">
        <v>2178</v>
      </c>
      <c r="C24" s="14">
        <f ca="1">ROUND(IF('数据-取费表'!B23&lt;=1,F21*F24*F23/2,F21*(POWER((1+F24),F23/2)-1)),4)</f>
        <v>1.4E-3</v>
      </c>
      <c r="D24" s="2014" t="str">
        <f>IF(F23&lt;=1,"销售费用×利率×(建设周期÷2)","销售费用×((1+利率)^(建设周期÷2)-1)")</f>
        <v>销售费用×((1+利率)^(建设周期÷2)-1)</v>
      </c>
      <c r="E24" s="320" t="s">
        <v>2179</v>
      </c>
      <c r="F24" s="353">
        <f ca="1">'数据-取费表'!E27</f>
        <v>4.7500000000000001E-2</v>
      </c>
      <c r="G24" s="1241"/>
      <c r="H24" s="1432" t="s">
        <v>2168</v>
      </c>
      <c r="I24" s="1433" t="s">
        <v>2157</v>
      </c>
      <c r="J24" s="1434">
        <f ca="1">ROUND(J5*M24,0)</f>
        <v>0</v>
      </c>
      <c r="K24" s="1435" t="s">
        <v>2180</v>
      </c>
      <c r="L24" s="1433" t="s">
        <v>2176</v>
      </c>
      <c r="M24" s="1428">
        <f>'数据-取费表'!B46</f>
        <v>0.02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2181</v>
      </c>
      <c r="B25" s="320" t="s">
        <v>2182</v>
      </c>
      <c r="C25" s="14"/>
      <c r="D25" s="56" t="s">
        <v>2183</v>
      </c>
      <c r="E25" s="1904"/>
      <c r="F25" s="16"/>
      <c r="G25" s="1241"/>
      <c r="H25" s="1422" t="s">
        <v>22</v>
      </c>
      <c r="I25" s="1437" t="s">
        <v>2184</v>
      </c>
      <c r="J25" s="328">
        <f ca="1">J5-J16</f>
        <v>-1730</v>
      </c>
      <c r="K25" s="1438" t="s">
        <v>2185</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2126</v>
      </c>
      <c r="B26" s="320" t="s">
        <v>2186</v>
      </c>
      <c r="C26" s="14">
        <f>ROUND((C19+C20)*F26,0)</f>
        <v>12611</v>
      </c>
      <c r="D26" s="345" t="s">
        <v>2187</v>
      </c>
      <c r="E26" s="331" t="s">
        <v>2188</v>
      </c>
      <c r="F26" s="330">
        <f>'数据-取费表'!E28</f>
        <v>0.2</v>
      </c>
      <c r="G26" s="792"/>
      <c r="H26" s="317" t="s">
        <v>23</v>
      </c>
      <c r="I26" s="318" t="s">
        <v>2189</v>
      </c>
      <c r="J26" s="319">
        <f ca="1">IF(J5&lt;&gt;0,ROUND(J25*(1-((1+M28)/(1+M26))^M27)/(M26-M28),0),0)</f>
        <v>0</v>
      </c>
      <c r="K26" s="347" t="s">
        <v>2190</v>
      </c>
      <c r="L26" s="320" t="s">
        <v>2191</v>
      </c>
      <c r="M26" s="330">
        <f>'数据-取费表'!B16</f>
        <v>6.5000000000000002E-2</v>
      </c>
    </row>
    <row r="27" spans="1:37" ht="18" customHeight="1">
      <c r="A27" s="338" t="s">
        <v>2192</v>
      </c>
      <c r="B27" s="320" t="s">
        <v>2193</v>
      </c>
      <c r="C27" s="14">
        <f>ROUND(F21*F26,4)</f>
        <v>6.0000000000000001E-3</v>
      </c>
      <c r="D27" s="345" t="s">
        <v>2194</v>
      </c>
      <c r="E27" s="340"/>
      <c r="F27" s="341"/>
      <c r="G27" s="792"/>
      <c r="H27" s="322"/>
      <c r="I27" s="323"/>
      <c r="J27" s="324"/>
      <c r="K27" s="355" t="s">
        <v>2195</v>
      </c>
      <c r="L27" s="320" t="s">
        <v>2196</v>
      </c>
      <c r="M27" s="356" t="str">
        <f>'数据-取费表'!B40</f>
        <v>——</v>
      </c>
    </row>
    <row r="28" spans="1:37" ht="18" customHeight="1">
      <c r="A28" s="338" t="s">
        <v>2197</v>
      </c>
      <c r="B28" s="320" t="s">
        <v>2198</v>
      </c>
      <c r="C28" s="14">
        <f>ROUND(F28/(1+'数据-取费表'!F30),4)</f>
        <v>5.33E-2</v>
      </c>
      <c r="D28" s="345" t="s">
        <v>2199</v>
      </c>
      <c r="E28" s="320" t="s">
        <v>2159</v>
      </c>
      <c r="F28" s="343">
        <f>'数据-取费表'!E29</f>
        <v>5.6000000000000001E-2</v>
      </c>
      <c r="G28" s="792"/>
      <c r="H28" s="326"/>
      <c r="I28" s="327"/>
      <c r="J28" s="328"/>
      <c r="K28" s="350"/>
      <c r="L28" s="320" t="s">
        <v>2200</v>
      </c>
      <c r="M28" s="330">
        <f>'数据-取费表'!B37</f>
        <v>0</v>
      </c>
    </row>
    <row r="29" spans="1:37" ht="18" customHeight="1" thickBot="1">
      <c r="A29" s="1432" t="s">
        <v>2201</v>
      </c>
      <c r="B29" s="1433" t="s">
        <v>2202</v>
      </c>
      <c r="C29" s="1434">
        <f ca="1">ROUND((C19+C20+C23+C26)/(1-F21-C24-C27-C28),0)</f>
        <v>86507</v>
      </c>
      <c r="D29" s="1435"/>
      <c r="E29" s="1433"/>
      <c r="F29" s="1436"/>
      <c r="G29" s="792"/>
      <c r="H29" s="357" t="s">
        <v>24</v>
      </c>
      <c r="I29" s="358" t="s">
        <v>2203</v>
      </c>
      <c r="J29" s="359">
        <f ca="1">ROUND(J26/(1+F40)^F41,0)</f>
        <v>0</v>
      </c>
      <c r="K29" s="360" t="s">
        <v>2204</v>
      </c>
      <c r="L29" s="361"/>
      <c r="M29" s="362">
        <f>IF(D1="仅计算典型户型",'数据-取费表'!E5,'数据-取费表'!B5)</f>
        <v>15.87</v>
      </c>
    </row>
    <row r="30" spans="1:37" ht="18" customHeight="1" thickTop="1">
      <c r="A30" s="1422" t="s">
        <v>14</v>
      </c>
      <c r="B30" s="1423" t="s">
        <v>2205</v>
      </c>
      <c r="C30" s="328">
        <f ca="1">ROUND(C31+C36+C37+C38,0)</f>
        <v>4504</v>
      </c>
      <c r="D30" s="1429" t="s">
        <v>2206</v>
      </c>
      <c r="E30" s="1430"/>
      <c r="F30" s="1431"/>
      <c r="G30" s="792"/>
      <c r="H30" s="1220"/>
      <c r="I30" s="1221"/>
      <c r="J30" s="1222"/>
      <c r="K30" s="1223"/>
      <c r="L30" s="1224"/>
      <c r="M30" s="1225"/>
    </row>
    <row r="31" spans="1:37" ht="18" customHeight="1">
      <c r="A31" s="338" t="s">
        <v>2108</v>
      </c>
      <c r="B31" s="320" t="s">
        <v>2145</v>
      </c>
      <c r="C31" s="14">
        <f ca="1">ROUND(IF(项目基本情况!B7="自然人",C5*F31,C32+C33+C34),1)</f>
        <v>2058</v>
      </c>
      <c r="D31" s="1894" t="s">
        <v>2207</v>
      </c>
      <c r="E31" s="1899" t="s">
        <v>2208</v>
      </c>
      <c r="F31" s="344">
        <f>IF(项目基本情况!B7="企业","",IF('数据-取费表'!B10="住宅",5%,IF(F6*F7*F8/12/(1+'数据-取费表'!F30)&gt;20000,12%,7%)))</f>
        <v>7.0000000000000007E-2</v>
      </c>
      <c r="G31" s="792"/>
      <c r="H31" s="1220"/>
      <c r="I31" s="1221"/>
      <c r="J31" s="1222"/>
      <c r="K31" s="1223"/>
      <c r="L31" s="1224"/>
      <c r="M31" s="1225"/>
    </row>
    <row r="32" spans="1:37" ht="18" customHeight="1">
      <c r="A32" s="338" t="s">
        <v>2126</v>
      </c>
      <c r="B32" s="320" t="s">
        <v>2209</v>
      </c>
      <c r="C32" s="14" t="str">
        <f>IF(项目基本情况!B7="自然人","——",ROUND(C5*F32/(1+'数据-取费表'!F30),0))</f>
        <v>——</v>
      </c>
      <c r="D32" s="1899" t="s">
        <v>2210</v>
      </c>
      <c r="E32" s="320" t="s">
        <v>2159</v>
      </c>
      <c r="F32" s="353">
        <f>'数据-取费表'!E29</f>
        <v>5.6000000000000001E-2</v>
      </c>
      <c r="G32" s="792"/>
      <c r="H32" s="1226"/>
      <c r="I32" s="1227"/>
      <c r="J32" s="1228"/>
      <c r="K32" s="1229"/>
      <c r="L32" s="1230"/>
      <c r="M32" s="1231"/>
    </row>
    <row r="33" spans="1:18" ht="18" customHeight="1">
      <c r="A33" s="338" t="s">
        <v>2130</v>
      </c>
      <c r="B33" s="320" t="s">
        <v>2155</v>
      </c>
      <c r="C33" s="14" t="str">
        <f>IF(项目基本情况!B7="自然人","——",IF(D33="按租金收入计税",ROUND(C5*F33,1),IF(D33="按房产原值计税",ROUND(C29*F33*0.7,1),'数据-取费表'!B43)))</f>
        <v>——</v>
      </c>
      <c r="D33" s="2020" t="s">
        <v>2156</v>
      </c>
      <c r="E33" s="320" t="s">
        <v>2133</v>
      </c>
      <c r="F33" s="343">
        <f>IF(D33="按票据","——",IF(D33="按租金收入计税",'数据-取费表'!E39,'数据-取费表'!E38))</f>
        <v>1.2E-2</v>
      </c>
      <c r="G33" s="792"/>
      <c r="H33" s="1232"/>
      <c r="I33" s="364" t="s">
        <v>2211</v>
      </c>
      <c r="J33" s="365"/>
      <c r="K33" s="1233"/>
      <c r="L33" s="1232"/>
      <c r="M33" s="1232"/>
    </row>
    <row r="34" spans="1:18" ht="18" customHeight="1">
      <c r="A34" s="1386" t="s">
        <v>2136</v>
      </c>
      <c r="B34" s="81" t="s">
        <v>2160</v>
      </c>
      <c r="C34" s="15" t="str">
        <f>IF(项目基本情况!B7="自然人","——",ROUND(F34*F35,0))</f>
        <v>——</v>
      </c>
      <c r="D34" s="347" t="s">
        <v>2161</v>
      </c>
      <c r="E34" s="320" t="s">
        <v>2162</v>
      </c>
      <c r="F34" s="348">
        <f>'数据-取费表'!E40</f>
        <v>0</v>
      </c>
      <c r="G34" s="792"/>
      <c r="H34" s="1220"/>
      <c r="I34" s="366" t="s">
        <v>2212</v>
      </c>
      <c r="J34" s="367">
        <f ca="1">ROUND(C13*J35,0)</f>
        <v>5121</v>
      </c>
      <c r="K34" s="1234"/>
      <c r="L34" s="1235"/>
      <c r="M34" s="1235"/>
    </row>
    <row r="35" spans="1:18" ht="24.6" customHeight="1">
      <c r="A35" s="1390"/>
      <c r="B35" s="329"/>
      <c r="C35" s="19"/>
      <c r="D35" s="350"/>
      <c r="E35" s="320" t="s">
        <v>2167</v>
      </c>
      <c r="F35" s="321">
        <f>IF(D1="仅计算典型户型",'数据-取费表'!E6,'数据-取费表'!B6)</f>
        <v>0</v>
      </c>
      <c r="G35" s="792"/>
      <c r="H35" s="1220"/>
      <c r="I35" s="368" t="s">
        <v>2213</v>
      </c>
      <c r="J35" s="369">
        <f>'数据-取费表'!B17</f>
        <v>0.08</v>
      </c>
      <c r="K35" s="1233"/>
      <c r="L35" s="1232"/>
      <c r="M35" s="1232"/>
    </row>
    <row r="36" spans="1:18" ht="18" customHeight="1">
      <c r="A36" s="1389" t="s">
        <v>2115</v>
      </c>
      <c r="B36" s="320" t="s">
        <v>2214</v>
      </c>
      <c r="C36" s="14">
        <f ca="1">ROUND(C29*F36,0)</f>
        <v>1730</v>
      </c>
      <c r="D36" s="1899" t="s">
        <v>2215</v>
      </c>
      <c r="E36" s="320" t="s">
        <v>2159</v>
      </c>
      <c r="F36" s="351">
        <f>'数据-取费表'!B44</f>
        <v>0.02</v>
      </c>
      <c r="G36" s="792"/>
      <c r="H36" s="1232"/>
      <c r="I36" s="370" t="s">
        <v>2216</v>
      </c>
      <c r="J36" s="371"/>
      <c r="K36" s="1236"/>
      <c r="L36" s="1232"/>
      <c r="M36" s="1232"/>
    </row>
    <row r="37" spans="1:18" ht="18" customHeight="1">
      <c r="A37" s="338" t="s">
        <v>2163</v>
      </c>
      <c r="B37" s="320" t="s">
        <v>2174</v>
      </c>
      <c r="C37" s="14">
        <f ca="1">ROUND(C13*F37,0)</f>
        <v>128</v>
      </c>
      <c r="D37" s="1899" t="s">
        <v>2175</v>
      </c>
      <c r="E37" s="320" t="s">
        <v>2176</v>
      </c>
      <c r="F37" s="352">
        <f>'数据-取费表'!B45</f>
        <v>2E-3</v>
      </c>
      <c r="G37" s="792"/>
      <c r="H37" s="1232"/>
      <c r="I37" s="217" t="s">
        <v>2217</v>
      </c>
      <c r="J37" s="372"/>
      <c r="K37" s="1236"/>
      <c r="L37" s="1232"/>
      <c r="M37" s="1232"/>
    </row>
    <row r="38" spans="1:18" ht="18" customHeight="1" thickBot="1">
      <c r="A38" s="1432" t="s">
        <v>2168</v>
      </c>
      <c r="B38" s="1433" t="s">
        <v>2157</v>
      </c>
      <c r="C38" s="1434">
        <f ca="1">ROUND(C5*F38,0)</f>
        <v>588</v>
      </c>
      <c r="D38" s="1435" t="s">
        <v>2180</v>
      </c>
      <c r="E38" s="1433" t="s">
        <v>2176</v>
      </c>
      <c r="F38" s="1428">
        <f>'数据-取费表'!B46</f>
        <v>0.02</v>
      </c>
      <c r="G38" s="792"/>
      <c r="H38" s="1232"/>
      <c r="I38" s="366" t="s">
        <v>2218</v>
      </c>
      <c r="J38" s="221">
        <f ca="1">ROUND(J34/C39,3)</f>
        <v>0.20599999999999999</v>
      </c>
      <c r="K38" s="1237"/>
      <c r="L38" s="1232"/>
      <c r="M38" s="1232"/>
    </row>
    <row r="39" spans="1:18" ht="18" customHeight="1" thickTop="1">
      <c r="A39" s="1422" t="s">
        <v>22</v>
      </c>
      <c r="B39" s="1437" t="s">
        <v>2219</v>
      </c>
      <c r="C39" s="328">
        <f ca="1">C5-C30</f>
        <v>24896</v>
      </c>
      <c r="D39" s="1438" t="s">
        <v>2220</v>
      </c>
      <c r="E39" s="1439"/>
      <c r="F39" s="1440"/>
      <c r="G39" s="792"/>
      <c r="H39" s="1232"/>
      <c r="I39" s="366" t="s">
        <v>2221</v>
      </c>
      <c r="J39" s="221">
        <f ca="1">1-J38</f>
        <v>0.79400000000000004</v>
      </c>
      <c r="K39" s="1237"/>
      <c r="L39" s="1232"/>
      <c r="M39" s="1232"/>
    </row>
    <row r="40" spans="1:18" s="792" customFormat="1" ht="18" customHeight="1">
      <c r="A40" s="317" t="s">
        <v>23</v>
      </c>
      <c r="B40" s="318" t="s">
        <v>2222</v>
      </c>
      <c r="C40" s="319">
        <f ca="1">ROUND(C39*(1-((1+F42)/(1+F40))^F41)/(F40-F42),0)</f>
        <v>423602</v>
      </c>
      <c r="D40" s="347" t="s">
        <v>2190</v>
      </c>
      <c r="E40" s="320" t="s">
        <v>2191</v>
      </c>
      <c r="F40" s="330">
        <f>'数据-取费表'!B16</f>
        <v>6.5000000000000002E-2</v>
      </c>
      <c r="H40" s="1238"/>
      <c r="I40" s="217" t="s">
        <v>2223</v>
      </c>
      <c r="J40" s="218"/>
      <c r="K40" s="1237"/>
      <c r="L40" s="1238"/>
      <c r="M40" s="1238"/>
      <c r="Q40" s="796"/>
    </row>
    <row r="41" spans="1:18" s="792" customFormat="1" ht="18" customHeight="1">
      <c r="A41" s="322"/>
      <c r="B41" s="323"/>
      <c r="C41" s="324"/>
      <c r="D41" s="355" t="s">
        <v>2224</v>
      </c>
      <c r="E41" s="1831" t="s">
        <v>2819</v>
      </c>
      <c r="F41" s="356">
        <f>IF('数据-取费表'!B28="租赁期内按合同租金",'数据-取费表'!B34,IF(E41="收益年期(n)",'数据-取费表'!B33,'数据-取费表'!B13))</f>
        <v>33.61</v>
      </c>
      <c r="H41" s="1239"/>
      <c r="I41" s="220" t="s">
        <v>2096</v>
      </c>
      <c r="J41" s="221">
        <f ca="1">ROUND(C13/C40,3)</f>
        <v>0.151</v>
      </c>
      <c r="K41" s="1236"/>
      <c r="L41" s="1239"/>
      <c r="M41" s="1239"/>
      <c r="Q41" s="796"/>
    </row>
    <row r="42" spans="1:18" s="792" customFormat="1" ht="18" customHeight="1">
      <c r="A42" s="326"/>
      <c r="B42" s="327"/>
      <c r="C42" s="328"/>
      <c r="D42" s="350"/>
      <c r="E42" s="320" t="s">
        <v>2200</v>
      </c>
      <c r="F42" s="330">
        <f>'数据-取费表'!B31</f>
        <v>0.02</v>
      </c>
      <c r="H42" s="1239"/>
      <c r="I42" s="220" t="s">
        <v>2097</v>
      </c>
      <c r="J42" s="222">
        <f ca="1">1-J41</f>
        <v>0.84899999999999998</v>
      </c>
      <c r="K42" s="1236"/>
      <c r="L42" s="1239"/>
      <c r="M42" s="1239"/>
      <c r="Q42" s="796"/>
    </row>
    <row r="43" spans="1:18" s="792" customFormat="1" ht="18" customHeight="1" thickBot="1">
      <c r="A43" s="357" t="s">
        <v>24</v>
      </c>
      <c r="B43" s="358" t="s">
        <v>2225</v>
      </c>
      <c r="C43" s="359">
        <f ca="1">ROUND(C40/F43,0)</f>
        <v>26692</v>
      </c>
      <c r="D43" s="360" t="s">
        <v>2226</v>
      </c>
      <c r="E43" s="361" t="s">
        <v>2227</v>
      </c>
      <c r="F43" s="362">
        <f>IF(D1="仅计算典型户型",'数据-取费表'!E5,'数据-取费表'!B5)</f>
        <v>15.87</v>
      </c>
      <c r="G43" s="794"/>
      <c r="H43" s="1239"/>
      <c r="I43" s="1239"/>
      <c r="J43" s="1239"/>
      <c r="K43" s="1236"/>
      <c r="L43" s="1239"/>
      <c r="M43" s="1239"/>
      <c r="O43" s="1363" t="s">
        <v>2228</v>
      </c>
      <c r="P43" s="1364"/>
      <c r="Q43" s="1360"/>
      <c r="R43" s="1364"/>
    </row>
    <row r="44" spans="1:18" s="792" customFormat="1" ht="18" customHeight="1" thickBot="1">
      <c r="A44" s="777"/>
      <c r="B44" s="777"/>
      <c r="C44" s="791"/>
      <c r="D44" s="777"/>
      <c r="E44" s="777"/>
      <c r="F44" s="777"/>
      <c r="G44" s="794"/>
      <c r="K44" s="793"/>
      <c r="O44" s="1365" t="s">
        <v>2229</v>
      </c>
      <c r="P44" s="1366" t="s">
        <v>2230</v>
      </c>
      <c r="Q44" s="1367" t="s">
        <v>2231</v>
      </c>
      <c r="R44" s="1368" t="s">
        <v>2232</v>
      </c>
    </row>
    <row r="45" spans="1:18" s="792" customFormat="1" ht="18" customHeight="1" thickBot="1">
      <c r="A45" s="777"/>
      <c r="B45" s="777"/>
      <c r="C45" s="791"/>
      <c r="D45" s="777"/>
      <c r="E45" s="777"/>
      <c r="F45" s="777"/>
      <c r="G45" s="795"/>
      <c r="K45" s="793"/>
      <c r="O45" s="1369" t="s">
        <v>958</v>
      </c>
      <c r="P45" s="1370" t="s">
        <v>2233</v>
      </c>
      <c r="Q45" s="1371">
        <f ca="1">C40+J29</f>
        <v>423602</v>
      </c>
      <c r="R45" s="1372" t="s">
        <v>2234</v>
      </c>
    </row>
    <row r="46" spans="1:18" s="792" customFormat="1" ht="18" customHeight="1" thickBot="1">
      <c r="A46" s="777"/>
      <c r="D46" s="777"/>
      <c r="E46" s="777"/>
      <c r="F46" s="777"/>
      <c r="K46" s="793"/>
      <c r="O46" s="1369" t="s">
        <v>959</v>
      </c>
      <c r="P46" s="1370" t="s">
        <v>2235</v>
      </c>
      <c r="Q46" s="1371" t="str">
        <f>J61</f>
        <v>0</v>
      </c>
      <c r="R46" s="1372" t="s">
        <v>2236</v>
      </c>
    </row>
    <row r="47" spans="1:18" s="792" customFormat="1" ht="21.75" thickBot="1">
      <c r="A47" s="2350" t="s">
        <v>2237</v>
      </c>
      <c r="C47" s="1305">
        <f ca="1">IF(C2="元",C69-C40,ROUND((C69-C40)/10000,0))</f>
        <v>-448744</v>
      </c>
      <c r="D47" s="2351" t="str">
        <f>C2</f>
        <v>元</v>
      </c>
      <c r="E47" s="777"/>
      <c r="F47" s="777"/>
      <c r="I47" s="2352" t="s">
        <v>2238</v>
      </c>
      <c r="J47" s="1345"/>
      <c r="K47" s="1346"/>
      <c r="L47" s="1359" t="str">
        <f>IF(M48="住宅",0,IF(L49&gt;J52,L61,J61))</f>
        <v>0</v>
      </c>
      <c r="O47" s="1373" t="s">
        <v>960</v>
      </c>
      <c r="P47" s="1370" t="s">
        <v>2239</v>
      </c>
      <c r="Q47" s="1371">
        <f ca="1">C29</f>
        <v>86507</v>
      </c>
      <c r="R47" s="1372" t="s">
        <v>2234</v>
      </c>
    </row>
    <row r="48" spans="1:18" s="792" customFormat="1" ht="15.75" thickBot="1">
      <c r="A48" s="313" t="s">
        <v>2240</v>
      </c>
      <c r="B48" s="314" t="s">
        <v>2241</v>
      </c>
      <c r="C48" s="314" t="s">
        <v>2242</v>
      </c>
      <c r="D48" s="314" t="s">
        <v>2243</v>
      </c>
      <c r="E48" s="1299" t="s">
        <v>2244</v>
      </c>
      <c r="F48" s="1300"/>
      <c r="I48" s="2353" t="s">
        <v>2245</v>
      </c>
      <c r="J48" s="2354" t="s">
        <v>2941</v>
      </c>
      <c r="K48" s="2355" t="s">
        <v>2246</v>
      </c>
      <c r="L48" s="1347">
        <f>'数据-取费表'!B11</f>
        <v>50</v>
      </c>
      <c r="M48" s="1360" t="str">
        <f>IF('数据-取费表'!B10="住宅","住宅","非住宅")</f>
        <v>非住宅</v>
      </c>
      <c r="O48" s="1373" t="s">
        <v>961</v>
      </c>
      <c r="P48" s="1370" t="s">
        <v>2247</v>
      </c>
      <c r="Q48" s="1374" t="e">
        <f>J59</f>
        <v>#VALUE!</v>
      </c>
      <c r="R48" s="1372"/>
    </row>
    <row r="49" spans="1:18" s="792" customFormat="1" ht="15.75" thickBot="1">
      <c r="A49" s="1459" t="s">
        <v>1031</v>
      </c>
      <c r="B49" s="318" t="s">
        <v>2248</v>
      </c>
      <c r="C49" s="1460">
        <f ca="1">C50+C54+C56</f>
        <v>0</v>
      </c>
      <c r="D49" s="1461"/>
      <c r="E49" s="102"/>
      <c r="F49" s="16"/>
      <c r="I49" s="2356" t="s">
        <v>2249</v>
      </c>
      <c r="J49" s="2357" t="s">
        <v>2942</v>
      </c>
      <c r="K49" s="2358" t="s">
        <v>2250</v>
      </c>
      <c r="L49" s="1129">
        <f>'数据-取费表'!B13</f>
        <v>33.61</v>
      </c>
      <c r="O49" s="1373" t="s">
        <v>962</v>
      </c>
      <c r="P49" s="1370" t="s">
        <v>2251</v>
      </c>
      <c r="Q49" s="1374">
        <f>J53</f>
        <v>0</v>
      </c>
      <c r="R49" s="1372"/>
    </row>
    <row r="50" spans="1:18" s="792" customFormat="1" ht="15.75" thickBot="1">
      <c r="A50" s="346" t="s">
        <v>2108</v>
      </c>
      <c r="B50" s="2031" t="s">
        <v>2252</v>
      </c>
      <c r="C50" s="319">
        <f>ROUND(F50*F52*F51*(1-F53),0)</f>
        <v>0</v>
      </c>
      <c r="D50" s="94" t="s">
        <v>2806</v>
      </c>
      <c r="E50" s="2359" t="s">
        <v>2253</v>
      </c>
      <c r="F50" s="1301"/>
      <c r="I50" s="2356" t="s">
        <v>2254</v>
      </c>
      <c r="J50" s="1129">
        <f>'数据-取费表'!B26</f>
        <v>2003</v>
      </c>
      <c r="K50" s="2360" t="s">
        <v>2255</v>
      </c>
      <c r="L50" s="1348"/>
      <c r="O50" s="1373" t="s">
        <v>963</v>
      </c>
      <c r="P50" s="1370" t="s">
        <v>2256</v>
      </c>
      <c r="Q50" s="1371">
        <f>J54</f>
        <v>33.61</v>
      </c>
      <c r="R50" s="1372" t="s">
        <v>2257</v>
      </c>
    </row>
    <row r="51" spans="1:18" s="792" customFormat="1" ht="15.75" thickBot="1">
      <c r="A51" s="322"/>
      <c r="B51" s="323"/>
      <c r="C51" s="324"/>
      <c r="D51" s="325"/>
      <c r="E51" s="340" t="s">
        <v>2111</v>
      </c>
      <c r="F51" s="1298">
        <f>F7</f>
        <v>1</v>
      </c>
      <c r="I51" s="2356" t="s">
        <v>2258</v>
      </c>
      <c r="J51" s="1349">
        <f>SUMPRODUCT((I64:I66=J48)*(J63:L63=J49)*(J64:L66))</f>
        <v>60</v>
      </c>
      <c r="K51" s="2360" t="s">
        <v>2259</v>
      </c>
      <c r="L51" s="1348"/>
      <c r="O51" s="1369" t="s">
        <v>964</v>
      </c>
      <c r="P51" s="1370" t="str">
        <f>IF(C2="元","收益价值(元)","收益价值(万元)")</f>
        <v>收益价值(元)</v>
      </c>
      <c r="Q51" s="1371">
        <f ca="1">ROUND(IF(C2="元",Q45+Q46,(Q45+Q46)/10000),0)</f>
        <v>423602</v>
      </c>
      <c r="R51" s="1372" t="s">
        <v>965</v>
      </c>
    </row>
    <row r="52" spans="1:18" s="792" customFormat="1" ht="16.5" thickBot="1">
      <c r="A52" s="322"/>
      <c r="B52" s="323"/>
      <c r="C52" s="324"/>
      <c r="D52" s="325"/>
      <c r="E52" s="320" t="s">
        <v>2113</v>
      </c>
      <c r="F52" s="321">
        <f>F8</f>
        <v>12</v>
      </c>
      <c r="I52" s="2361" t="s">
        <v>2260</v>
      </c>
      <c r="J52" s="1350">
        <f>IF(J50="",J51,J50+J51-YEAR('数据-取费表'!B2))</f>
        <v>46</v>
      </c>
      <c r="K52" s="2362" t="s">
        <v>2261</v>
      </c>
      <c r="L52" s="1351">
        <f ca="1">ROUND(-PV('数据-取费表'!B15,L49,(C40-C13*J35)),0)</f>
        <v>7662233</v>
      </c>
      <c r="O52" s="1363" t="s">
        <v>2262</v>
      </c>
      <c r="P52" s="1364"/>
      <c r="Q52" s="1360"/>
      <c r="R52" s="1364"/>
    </row>
    <row r="53" spans="1:18" s="792" customFormat="1" ht="15.75" thickBot="1">
      <c r="A53" s="326"/>
      <c r="B53" s="327"/>
      <c r="C53" s="328"/>
      <c r="D53" s="329"/>
      <c r="E53" s="320" t="s">
        <v>2114</v>
      </c>
      <c r="F53" s="1358"/>
      <c r="I53" s="2363" t="s">
        <v>2263</v>
      </c>
      <c r="J53" s="1352"/>
      <c r="K53" s="2363" t="s">
        <v>2264</v>
      </c>
      <c r="L53" s="1352"/>
      <c r="O53" s="1365" t="s">
        <v>2229</v>
      </c>
      <c r="P53" s="1366" t="s">
        <v>2230</v>
      </c>
      <c r="Q53" s="1367" t="s">
        <v>2231</v>
      </c>
      <c r="R53" s="1368" t="s">
        <v>2232</v>
      </c>
    </row>
    <row r="54" spans="1:18" s="792" customFormat="1" ht="29.25" customHeight="1" thickBot="1">
      <c r="A54" s="1386" t="s">
        <v>2115</v>
      </c>
      <c r="B54" s="2344" t="s">
        <v>2116</v>
      </c>
      <c r="C54" s="1387">
        <f ca="1">ROUND(IF(F54="押一",F50*F51*F52/12*F11,IF(F54="押二",F50*F51*F52/12*2*F11,IF(F54="押三",F50*F51*F52/12*3*F11,C55*F11))),0)</f>
        <v>0</v>
      </c>
      <c r="D54" s="2345" t="s">
        <v>2804</v>
      </c>
      <c r="E54" s="331" t="s">
        <v>2117</v>
      </c>
      <c r="F54" s="2346"/>
      <c r="I54" s="2364" t="s">
        <v>2265</v>
      </c>
      <c r="J54" s="1353">
        <f>IF(M48="住宅",J52,IF(E1="——",MIN(J52,L49),IF(E1="在建（套用方法）",MIN(J52,L49-'数据-取费表'!B25),IF(E1="土地（套用方法）",MIN(J52,L49-'数据-取费表'!B21)))))</f>
        <v>33.61</v>
      </c>
      <c r="K54" s="2991" t="s">
        <v>2802</v>
      </c>
      <c r="L54" s="2992"/>
      <c r="O54" s="1369" t="s">
        <v>958</v>
      </c>
      <c r="P54" s="1370" t="s">
        <v>2233</v>
      </c>
      <c r="Q54" s="1371">
        <f ca="1">C40+J29</f>
        <v>423602</v>
      </c>
      <c r="R54" s="1372" t="s">
        <v>2234</v>
      </c>
    </row>
    <row r="55" spans="1:18" s="792" customFormat="1" ht="20.25" thickBot="1">
      <c r="A55" s="1386"/>
      <c r="B55" s="2365" t="s">
        <v>2120</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7"/>
      <c r="K55" s="2367"/>
      <c r="L55" s="2367"/>
      <c r="O55" s="1369" t="s">
        <v>959</v>
      </c>
      <c r="P55" s="1370" t="s">
        <v>2266</v>
      </c>
      <c r="Q55" s="1371">
        <f>L61</f>
        <v>0</v>
      </c>
      <c r="R55" s="1372" t="s">
        <v>2267</v>
      </c>
    </row>
    <row r="56" spans="1:18" s="792" customFormat="1" ht="20.25" thickBot="1">
      <c r="A56" s="1426" t="s">
        <v>2121</v>
      </c>
      <c r="B56" s="2348" t="s">
        <v>2122</v>
      </c>
      <c r="C56" s="1427"/>
      <c r="D56" s="1443"/>
      <c r="E56" s="2368"/>
      <c r="F56" s="1503"/>
      <c r="I56" s="2369" t="s">
        <v>2268</v>
      </c>
      <c r="J56" s="1877" t="e">
        <f>ROUND(IF(J48="钢混",J58/J51,1-(1-2%)*(J51-J58)/J51),3)</f>
        <v>#VALUE!</v>
      </c>
      <c r="K56" s="2370" t="s">
        <v>2269</v>
      </c>
      <c r="L56" s="1354"/>
      <c r="O56" s="1373" t="s">
        <v>960</v>
      </c>
      <c r="P56" s="1370" t="s">
        <v>2270</v>
      </c>
      <c r="Q56" s="1371">
        <f>IF(L56="比较法",L50,IF(L56="基准地价",L51,0))</f>
        <v>0</v>
      </c>
      <c r="R56" s="1372" t="s">
        <v>2234</v>
      </c>
    </row>
    <row r="57" spans="1:18" s="792" customFormat="1" ht="44.25" thickTop="1" thickBot="1">
      <c r="A57" s="1422">
        <v>2</v>
      </c>
      <c r="B57" s="1423" t="s">
        <v>2123</v>
      </c>
      <c r="C57" s="1502">
        <f ca="1">C13</f>
        <v>64015</v>
      </c>
      <c r="D57" s="1296"/>
      <c r="E57" s="1297"/>
      <c r="F57" s="1304"/>
      <c r="I57" s="2371" t="s">
        <v>2271</v>
      </c>
      <c r="J57" s="1357" t="s">
        <v>2866</v>
      </c>
      <c r="K57" s="2356" t="s">
        <v>2272</v>
      </c>
      <c r="L57" s="1129" t="str">
        <f>IF(L49&lt;J52,"——",L49-J52)</f>
        <v>——</v>
      </c>
      <c r="O57" s="1373" t="s">
        <v>961</v>
      </c>
      <c r="P57" s="1370" t="s">
        <v>2273</v>
      </c>
      <c r="Q57" s="1374">
        <f>L53</f>
        <v>0</v>
      </c>
      <c r="R57" s="1372"/>
    </row>
    <row r="58" spans="1:18" s="792" customFormat="1" ht="29.25" thickBot="1">
      <c r="A58" s="1303"/>
      <c r="B58" s="320" t="s">
        <v>2202</v>
      </c>
      <c r="C58" s="189">
        <f ca="1">C29</f>
        <v>86507</v>
      </c>
      <c r="D58" s="1296"/>
      <c r="E58" s="1297"/>
      <c r="F58" s="1304"/>
      <c r="I58" s="2372" t="s">
        <v>2274</v>
      </c>
      <c r="J58" s="1356" t="str">
        <f>IF(OR(M48="住宅",J52&lt;L49,J57="是"),"——",J52-L49)</f>
        <v>——</v>
      </c>
      <c r="K58" s="2356" t="s">
        <v>2275</v>
      </c>
      <c r="L58" s="1129" t="str">
        <f>IF(L49&lt;J52,"——",IF(L56="比较法",L50,IF(L56="基准地价",L51,L52)))</f>
        <v>——</v>
      </c>
      <c r="O58" s="1373" t="s">
        <v>962</v>
      </c>
      <c r="P58" s="1370" t="s">
        <v>2276</v>
      </c>
      <c r="Q58" s="1371" t="e">
        <f>L59</f>
        <v>#DIV/0!</v>
      </c>
      <c r="R58" s="1372" t="s">
        <v>2277</v>
      </c>
    </row>
    <row r="59" spans="1:18" s="792" customFormat="1" ht="29.25" thickBot="1">
      <c r="A59" s="333" t="s">
        <v>14</v>
      </c>
      <c r="B59" s="334" t="s">
        <v>2205</v>
      </c>
      <c r="C59" s="335">
        <f ca="1">ROUND(C60+C65+C66+C67,0)</f>
        <v>1858</v>
      </c>
      <c r="D59" s="12" t="s">
        <v>2206</v>
      </c>
      <c r="E59" s="1904"/>
      <c r="F59" s="16"/>
      <c r="I59" s="2372" t="s">
        <v>2278</v>
      </c>
      <c r="J59" s="1876" t="e">
        <f>IF(J56&lt;0.4,0.4,J56)</f>
        <v>#VALUE!</v>
      </c>
      <c r="K59" s="2362" t="s">
        <v>2279</v>
      </c>
      <c r="L59" s="1129" t="e">
        <f>ROUND(POWER(1+L53,L48-L49)*(POWER(1+L53,L49)-1)/(POWER(1+L53,L48)-1),4)</f>
        <v>#DIV/0!</v>
      </c>
      <c r="O59" s="1373" t="s">
        <v>963</v>
      </c>
      <c r="P59" s="1370" t="str">
        <f>K60</f>
        <v>建筑物剩余耐用年限下的土地年期修正系数Kn</v>
      </c>
      <c r="Q59" s="1371" t="e">
        <f>L60</f>
        <v>#DIV/0!</v>
      </c>
      <c r="R59" s="1372" t="s">
        <v>2280</v>
      </c>
    </row>
    <row r="60" spans="1:18" s="792" customFormat="1" ht="29.25" thickBot="1">
      <c r="A60" s="338" t="s">
        <v>15</v>
      </c>
      <c r="B60" s="320" t="s">
        <v>2145</v>
      </c>
      <c r="C60" s="14">
        <f ca="1">ROUND(IF(项目基本情况!B7="自然人",C49*F60,C61+C62+C63),1)</f>
        <v>0</v>
      </c>
      <c r="D60" s="1894" t="s">
        <v>2207</v>
      </c>
      <c r="E60" s="1899" t="s">
        <v>2208</v>
      </c>
      <c r="F60" s="344">
        <f>IF(项目基本情况!B7="企业","",IF('数据-取费表'!B10="住宅",5%,IF(F50*F51*F52/12/(1+'数据-取费表'!F30)&gt;20000,12%,7%)))</f>
        <v>7.0000000000000007E-2</v>
      </c>
      <c r="I60" s="2372" t="s">
        <v>2281</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423602</v>
      </c>
      <c r="R60" s="1372" t="s">
        <v>965</v>
      </c>
    </row>
    <row r="61" spans="1:18" s="792" customFormat="1" ht="16.5" thickBot="1">
      <c r="A61" s="338" t="s">
        <v>16</v>
      </c>
      <c r="B61" s="320" t="s">
        <v>2209</v>
      </c>
      <c r="C61" s="14" t="str">
        <f>IF(项目基本情况!B7="自然人","——",ROUND(C49*F61/(1+'数据-取费表'!F30),0))</f>
        <v>——</v>
      </c>
      <c r="D61" s="1899" t="s">
        <v>2210</v>
      </c>
      <c r="E61" s="320" t="s">
        <v>2159</v>
      </c>
      <c r="F61" s="353">
        <f t="shared" ref="F61:F67" si="0">F32</f>
        <v>5.6000000000000001E-2</v>
      </c>
      <c r="I61" s="2373" t="s">
        <v>2282</v>
      </c>
      <c r="J61" s="1355" t="str">
        <f>IF(OR(M48="住宅",J52&lt;L49,J57="是"),"0",ROUND(J60/(1+J53)^J54,0))</f>
        <v>0</v>
      </c>
      <c r="K61" s="2374" t="s">
        <v>2283</v>
      </c>
      <c r="L61" s="1355">
        <f>IF(OR(M48="住宅",L49&lt;J52),0,ROUND(L58*(L59/L60-1),0))</f>
        <v>0</v>
      </c>
      <c r="O61" s="1363" t="s">
        <v>2284</v>
      </c>
      <c r="P61" s="1364"/>
      <c r="Q61" s="1360"/>
      <c r="R61" s="1364"/>
    </row>
    <row r="62" spans="1:18" s="792" customFormat="1" ht="15.75" thickBot="1">
      <c r="A62" s="338" t="s">
        <v>17</v>
      </c>
      <c r="B62" s="320" t="s">
        <v>2285</v>
      </c>
      <c r="C62" s="14" t="str">
        <f>IF(项目基本情况!B7="自然人","——",IF(D62="按租金收入计税",ROUND(C49*F62,1),IF(D62="按房产原值计税",ROUND(C58*F62*0.7,1),'数据-取费表'!B43)))</f>
        <v>——</v>
      </c>
      <c r="D62" s="2020" t="s">
        <v>2156</v>
      </c>
      <c r="E62" s="320" t="s">
        <v>2159</v>
      </c>
      <c r="F62" s="343">
        <f t="shared" si="0"/>
        <v>1.2E-2</v>
      </c>
      <c r="O62" s="1365" t="s">
        <v>2229</v>
      </c>
      <c r="P62" s="1366" t="s">
        <v>2230</v>
      </c>
      <c r="Q62" s="1367" t="s">
        <v>2231</v>
      </c>
      <c r="R62" s="1368" t="s">
        <v>2232</v>
      </c>
    </row>
    <row r="63" spans="1:18" s="792" customFormat="1" ht="15.75" thickBot="1">
      <c r="A63" s="346" t="s">
        <v>18</v>
      </c>
      <c r="B63" s="81" t="s">
        <v>2286</v>
      </c>
      <c r="C63" s="15" t="str">
        <f>IF(项目基本情况!B7="自然人","——",ROUND(F63*F64,0))</f>
        <v>——</v>
      </c>
      <c r="D63" s="347" t="s">
        <v>2287</v>
      </c>
      <c r="E63" s="320" t="s">
        <v>2288</v>
      </c>
      <c r="F63" s="348">
        <f t="shared" si="0"/>
        <v>0</v>
      </c>
      <c r="I63" s="2375" t="s">
        <v>2289</v>
      </c>
      <c r="J63" s="1880" t="s">
        <v>2290</v>
      </c>
      <c r="K63" s="1880" t="s">
        <v>2291</v>
      </c>
      <c r="L63" s="1880" t="s">
        <v>2292</v>
      </c>
      <c r="M63" s="1879" t="s">
        <v>2293</v>
      </c>
      <c r="O63" s="1369" t="s">
        <v>958</v>
      </c>
      <c r="P63" s="1370" t="s">
        <v>2233</v>
      </c>
      <c r="Q63" s="1371">
        <f ca="1">C40+J29</f>
        <v>423602</v>
      </c>
      <c r="R63" s="1372" t="s">
        <v>2234</v>
      </c>
    </row>
    <row r="64" spans="1:18" s="792" customFormat="1" ht="20.25" thickBot="1">
      <c r="A64" s="349"/>
      <c r="B64" s="329"/>
      <c r="C64" s="19"/>
      <c r="D64" s="350"/>
      <c r="E64" s="320" t="s">
        <v>2294</v>
      </c>
      <c r="F64" s="321">
        <f t="shared" si="0"/>
        <v>0</v>
      </c>
      <c r="I64" s="2375" t="s">
        <v>2295</v>
      </c>
      <c r="J64" s="1880">
        <v>70</v>
      </c>
      <c r="K64" s="1880">
        <v>50</v>
      </c>
      <c r="L64" s="1880">
        <v>80</v>
      </c>
      <c r="M64" s="1878">
        <v>0.02</v>
      </c>
      <c r="O64" s="1369" t="s">
        <v>959</v>
      </c>
      <c r="P64" s="1370" t="s">
        <v>2266</v>
      </c>
      <c r="Q64" s="1371">
        <f>L61</f>
        <v>0</v>
      </c>
      <c r="R64" s="1372" t="s">
        <v>2267</v>
      </c>
    </row>
    <row r="65" spans="1:18" s="792" customFormat="1" ht="23.25" thickBot="1">
      <c r="A65" s="338" t="s">
        <v>19</v>
      </c>
      <c r="B65" s="320" t="s">
        <v>2214</v>
      </c>
      <c r="C65" s="14">
        <f ca="1">ROUND(C58*F65,0)</f>
        <v>1730</v>
      </c>
      <c r="D65" s="1899" t="s">
        <v>2215</v>
      </c>
      <c r="E65" s="320" t="s">
        <v>2159</v>
      </c>
      <c r="F65" s="351">
        <f t="shared" si="0"/>
        <v>0.02</v>
      </c>
      <c r="I65" s="2375" t="s">
        <v>2296</v>
      </c>
      <c r="J65" s="1880">
        <v>50</v>
      </c>
      <c r="K65" s="1880">
        <v>35</v>
      </c>
      <c r="L65" s="1880">
        <v>60</v>
      </c>
      <c r="M65" s="1879">
        <v>0</v>
      </c>
      <c r="O65" s="1373" t="s">
        <v>960</v>
      </c>
      <c r="P65" s="1370" t="s">
        <v>2270</v>
      </c>
      <c r="Q65" s="1375">
        <f ca="1">L52</f>
        <v>7662233</v>
      </c>
      <c r="R65" s="1376" t="s">
        <v>2297</v>
      </c>
    </row>
    <row r="66" spans="1:18" s="792" customFormat="1" ht="20.25" thickBot="1">
      <c r="A66" s="338" t="s">
        <v>20</v>
      </c>
      <c r="B66" s="320" t="s">
        <v>2174</v>
      </c>
      <c r="C66" s="14">
        <f ca="1">ROUND(C57*F66,0)</f>
        <v>128</v>
      </c>
      <c r="D66" s="1899" t="s">
        <v>2175</v>
      </c>
      <c r="E66" s="320" t="s">
        <v>2176</v>
      </c>
      <c r="F66" s="352">
        <f t="shared" si="0"/>
        <v>2E-3</v>
      </c>
      <c r="I66" s="2375" t="s">
        <v>2298</v>
      </c>
      <c r="J66" s="1880">
        <v>40</v>
      </c>
      <c r="K66" s="1880">
        <v>30</v>
      </c>
      <c r="L66" s="1880">
        <v>50</v>
      </c>
      <c r="M66" s="1878">
        <v>0.02</v>
      </c>
      <c r="O66" s="1373" t="s">
        <v>961</v>
      </c>
      <c r="P66" s="1377" t="s">
        <v>2299</v>
      </c>
      <c r="Q66" s="1371">
        <f ca="1">ROUND(Q67-Q68*Q69,0)</f>
        <v>19775</v>
      </c>
      <c r="R66" s="1372"/>
    </row>
    <row r="67" spans="1:18" s="792" customFormat="1" ht="15.75" thickBot="1">
      <c r="A67" s="338" t="s">
        <v>21</v>
      </c>
      <c r="B67" s="320" t="s">
        <v>2157</v>
      </c>
      <c r="C67" s="14">
        <f ca="1">ROUND(C49*F67,0)</f>
        <v>0</v>
      </c>
      <c r="D67" s="1899" t="s">
        <v>2180</v>
      </c>
      <c r="E67" s="320" t="s">
        <v>2176</v>
      </c>
      <c r="F67" s="330">
        <f t="shared" si="0"/>
        <v>0.02</v>
      </c>
      <c r="O67" s="1373" t="s">
        <v>966</v>
      </c>
      <c r="P67" s="1377" t="s">
        <v>2300</v>
      </c>
      <c r="Q67" s="1371">
        <f ca="1">C39</f>
        <v>24896</v>
      </c>
      <c r="R67" s="1372" t="s">
        <v>2234</v>
      </c>
    </row>
    <row r="68" spans="1:18" ht="15.75" thickBot="1">
      <c r="A68" s="333" t="s">
        <v>22</v>
      </c>
      <c r="B68" s="90" t="s">
        <v>2184</v>
      </c>
      <c r="C68" s="335">
        <f ca="1">C49-C59</f>
        <v>-1858</v>
      </c>
      <c r="D68" s="1894" t="s">
        <v>2185</v>
      </c>
      <c r="E68" s="1898"/>
      <c r="F68" s="354"/>
      <c r="H68" s="792"/>
      <c r="I68" s="792"/>
      <c r="J68" s="792"/>
      <c r="K68" s="792"/>
      <c r="L68" s="792"/>
      <c r="M68" s="792"/>
      <c r="O68" s="1373" t="s">
        <v>967</v>
      </c>
      <c r="P68" s="1377" t="s">
        <v>2301</v>
      </c>
      <c r="Q68" s="1371">
        <f ca="1">C13</f>
        <v>64015</v>
      </c>
      <c r="R68" s="1372" t="s">
        <v>2234</v>
      </c>
    </row>
    <row r="69" spans="1:18" ht="15.75" thickBot="1">
      <c r="A69" s="317" t="s">
        <v>23</v>
      </c>
      <c r="B69" s="318" t="s">
        <v>2222</v>
      </c>
      <c r="C69" s="319">
        <f ca="1">ROUND(C68*(1-((1+F71)/(1+F69))^F70)/(F69-F71),0)</f>
        <v>-25142</v>
      </c>
      <c r="D69" s="347" t="s">
        <v>2190</v>
      </c>
      <c r="E69" s="320" t="s">
        <v>2191</v>
      </c>
      <c r="F69" s="330">
        <f>F40</f>
        <v>6.5000000000000002E-2</v>
      </c>
      <c r="H69" s="792"/>
      <c r="I69" s="792"/>
      <c r="J69" s="792"/>
      <c r="K69" s="792"/>
      <c r="L69" s="792"/>
      <c r="M69" s="792"/>
      <c r="O69" s="1373" t="s">
        <v>968</v>
      </c>
      <c r="P69" s="1377" t="s">
        <v>2302</v>
      </c>
      <c r="Q69" s="1374">
        <f>J35</f>
        <v>0.08</v>
      </c>
      <c r="R69" s="1372"/>
    </row>
    <row r="70" spans="1:18" ht="15.75" thickBot="1">
      <c r="A70" s="322"/>
      <c r="B70" s="323"/>
      <c r="C70" s="324"/>
      <c r="D70" s="355" t="s">
        <v>2224</v>
      </c>
      <c r="E70" s="320" t="s">
        <v>2196</v>
      </c>
      <c r="F70" s="356">
        <f>F41</f>
        <v>33.61</v>
      </c>
      <c r="H70" s="792"/>
      <c r="I70" s="792"/>
      <c r="J70" s="792"/>
      <c r="K70" s="792"/>
      <c r="L70" s="792"/>
      <c r="M70" s="792"/>
      <c r="O70" s="1373" t="s">
        <v>962</v>
      </c>
      <c r="P70" s="1370" t="s">
        <v>2273</v>
      </c>
      <c r="Q70" s="1374">
        <f>L53</f>
        <v>0</v>
      </c>
      <c r="R70" s="1372"/>
    </row>
    <row r="71" spans="1:18" ht="20.25" thickBot="1">
      <c r="A71" s="326"/>
      <c r="B71" s="327"/>
      <c r="C71" s="328"/>
      <c r="D71" s="350"/>
      <c r="E71" s="320" t="s">
        <v>2200</v>
      </c>
      <c r="F71" s="1358"/>
      <c r="H71" s="792"/>
      <c r="M71" s="792"/>
      <c r="O71" s="1373" t="s">
        <v>963</v>
      </c>
      <c r="P71" s="1370" t="s">
        <v>2276</v>
      </c>
      <c r="Q71" s="1371" t="e">
        <f>L59</f>
        <v>#DIV/0!</v>
      </c>
      <c r="R71" s="1372" t="s">
        <v>2277</v>
      </c>
    </row>
    <row r="72" spans="1:18" ht="15.75" thickBot="1">
      <c r="A72" s="357" t="s">
        <v>24</v>
      </c>
      <c r="B72" s="358" t="s">
        <v>2225</v>
      </c>
      <c r="C72" s="359">
        <f ca="1">ROUND(C69/F72,0)</f>
        <v>-1584</v>
      </c>
      <c r="D72" s="360" t="s">
        <v>2226</v>
      </c>
      <c r="E72" s="361" t="s">
        <v>2227</v>
      </c>
      <c r="F72" s="362">
        <f>F43</f>
        <v>15.87</v>
      </c>
      <c r="O72" s="1373" t="s">
        <v>969</v>
      </c>
      <c r="P72" s="1370" t="str">
        <f>K60</f>
        <v>建筑物剩余耐用年限下的土地年期修正系数Kn</v>
      </c>
      <c r="Q72" s="1371" t="e">
        <f>L60</f>
        <v>#DIV/0!</v>
      </c>
      <c r="R72" s="1372" t="s">
        <v>2280</v>
      </c>
    </row>
    <row r="73" spans="1:18" ht="15.75" thickBot="1">
      <c r="A73" s="792"/>
      <c r="B73" s="796"/>
      <c r="C73" s="796"/>
      <c r="D73" s="792"/>
      <c r="E73" s="792"/>
      <c r="F73" s="792"/>
      <c r="O73" s="1369" t="s">
        <v>964</v>
      </c>
      <c r="P73" s="1370" t="str">
        <f>IF(C2="元","收益价值(元)","收益价值(万元)")</f>
        <v>收益价值(元)</v>
      </c>
      <c r="Q73" s="1371">
        <f ca="1">ROUND(IF(C2="元",Q63+Q64,(Q63+Q64)/10000),0)</f>
        <v>423602</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09" t="s">
        <v>1025</v>
      </c>
      <c r="B1" s="3010"/>
      <c r="C1" s="3011"/>
      <c r="D1" s="3012">
        <f>SUM(I10,I15,I20,I21,I23)</f>
        <v>0</v>
      </c>
      <c r="E1" s="3012"/>
      <c r="F1" s="3012"/>
      <c r="G1" s="3012"/>
      <c r="H1" s="3012"/>
      <c r="I1" s="3013"/>
    </row>
    <row r="2" spans="1:9">
      <c r="A2" s="2999" t="s">
        <v>1026</v>
      </c>
      <c r="B2" s="3000" t="s">
        <v>975</v>
      </c>
      <c r="C2" s="3000"/>
      <c r="D2" s="1391" t="s">
        <v>976</v>
      </c>
      <c r="E2" s="1391" t="s">
        <v>977</v>
      </c>
      <c r="F2" s="1391" t="s">
        <v>978</v>
      </c>
      <c r="G2" s="1391" t="s">
        <v>979</v>
      </c>
      <c r="H2" s="1391" t="s">
        <v>980</v>
      </c>
      <c r="I2" s="1392" t="s">
        <v>981</v>
      </c>
    </row>
    <row r="3" spans="1:9">
      <c r="A3" s="2999"/>
      <c r="B3" s="3000" t="s">
        <v>982</v>
      </c>
      <c r="C3" s="3000"/>
      <c r="D3" s="1393"/>
      <c r="E3" s="1391"/>
      <c r="F3" s="1394"/>
      <c r="G3" s="1394"/>
      <c r="H3" s="1395"/>
      <c r="I3" s="1396">
        <f>ROUND(D3*E3*F3*G3*H3/10000,0)</f>
        <v>0</v>
      </c>
    </row>
    <row r="4" spans="1:9">
      <c r="A4" s="2999"/>
      <c r="B4" s="3000" t="s">
        <v>983</v>
      </c>
      <c r="C4" s="3000"/>
      <c r="D4" s="1393"/>
      <c r="E4" s="1391"/>
      <c r="F4" s="1394"/>
      <c r="G4" s="1394"/>
      <c r="H4" s="1395"/>
      <c r="I4" s="1396">
        <f t="shared" ref="I4:I9" si="0">ROUND(D4*E4*F4*G4*H4/10000,0)</f>
        <v>0</v>
      </c>
    </row>
    <row r="5" spans="1:9">
      <c r="A5" s="2999"/>
      <c r="B5" s="3000" t="s">
        <v>984</v>
      </c>
      <c r="C5" s="3000"/>
      <c r="D5" s="1393"/>
      <c r="E5" s="1391"/>
      <c r="F5" s="1394"/>
      <c r="G5" s="1394"/>
      <c r="H5" s="1395"/>
      <c r="I5" s="1396">
        <f t="shared" si="0"/>
        <v>0</v>
      </c>
    </row>
    <row r="6" spans="1:9">
      <c r="A6" s="2999"/>
      <c r="B6" s="3000" t="s">
        <v>985</v>
      </c>
      <c r="C6" s="3000"/>
      <c r="D6" s="1393"/>
      <c r="E6" s="1391"/>
      <c r="F6" s="1394"/>
      <c r="G6" s="1394"/>
      <c r="H6" s="1395"/>
      <c r="I6" s="1396">
        <f t="shared" si="0"/>
        <v>0</v>
      </c>
    </row>
    <row r="7" spans="1:9">
      <c r="A7" s="2999"/>
      <c r="B7" s="3000" t="s">
        <v>986</v>
      </c>
      <c r="C7" s="3000"/>
      <c r="D7" s="1393"/>
      <c r="E7" s="1391"/>
      <c r="F7" s="1394"/>
      <c r="G7" s="1394"/>
      <c r="H7" s="1395"/>
      <c r="I7" s="1396">
        <f t="shared" si="0"/>
        <v>0</v>
      </c>
    </row>
    <row r="8" spans="1:9">
      <c r="A8" s="2999"/>
      <c r="B8" s="3000" t="s">
        <v>987</v>
      </c>
      <c r="C8" s="3000"/>
      <c r="D8" s="1393"/>
      <c r="E8" s="1391"/>
      <c r="F8" s="1394"/>
      <c r="G8" s="1394"/>
      <c r="H8" s="1395"/>
      <c r="I8" s="1396">
        <f t="shared" si="0"/>
        <v>0</v>
      </c>
    </row>
    <row r="9" spans="1:9">
      <c r="A9" s="2999"/>
      <c r="B9" s="3000" t="s">
        <v>988</v>
      </c>
      <c r="C9" s="3000"/>
      <c r="D9" s="1393"/>
      <c r="E9" s="1391"/>
      <c r="F9" s="1394"/>
      <c r="G9" s="1394"/>
      <c r="H9" s="1395"/>
      <c r="I9" s="1396">
        <f t="shared" si="0"/>
        <v>0</v>
      </c>
    </row>
    <row r="10" spans="1:9">
      <c r="A10" s="2999"/>
      <c r="B10" s="3001" t="s">
        <v>989</v>
      </c>
      <c r="C10" s="3001"/>
      <c r="D10" s="1397">
        <v>527</v>
      </c>
      <c r="E10" s="1397" t="e">
        <f>ROUND(D1*10000/D10/H9,0)</f>
        <v>#DIV/0!</v>
      </c>
      <c r="F10" s="1398"/>
      <c r="G10" s="1398"/>
      <c r="H10" s="1399"/>
      <c r="I10" s="1400">
        <f>SUM(I3:I9)</f>
        <v>0</v>
      </c>
    </row>
    <row r="11" spans="1:9" ht="14.25">
      <c r="A11" s="2999" t="s">
        <v>1027</v>
      </c>
      <c r="B11" s="3000" t="s">
        <v>990</v>
      </c>
      <c r="C11" s="3000"/>
      <c r="D11" s="1393" t="s">
        <v>991</v>
      </c>
      <c r="E11" s="1393" t="s">
        <v>992</v>
      </c>
      <c r="F11" s="1394" t="s">
        <v>993</v>
      </c>
      <c r="G11" s="1394" t="s">
        <v>980</v>
      </c>
      <c r="H11" s="1401" t="s">
        <v>994</v>
      </c>
      <c r="I11" s="1392" t="s">
        <v>981</v>
      </c>
    </row>
    <row r="12" spans="1:9">
      <c r="A12" s="2999"/>
      <c r="B12" s="3000" t="s">
        <v>995</v>
      </c>
      <c r="C12" s="3000"/>
      <c r="D12" s="1393"/>
      <c r="E12" s="1393"/>
      <c r="F12" s="1394"/>
      <c r="G12" s="1395"/>
      <c r="H12" s="1402"/>
      <c r="I12" s="1392">
        <f>ROUND(D12*E12*F12*G12/10000,0)</f>
        <v>0</v>
      </c>
    </row>
    <row r="13" spans="1:9">
      <c r="A13" s="2999"/>
      <c r="B13" s="3000" t="s">
        <v>996</v>
      </c>
      <c r="C13" s="3000"/>
      <c r="D13" s="1393"/>
      <c r="E13" s="1393"/>
      <c r="F13" s="1394"/>
      <c r="G13" s="1395"/>
      <c r="H13" s="1402"/>
      <c r="I13" s="1392">
        <f>ROUND(D13*E13*F13*G13/10000,0)</f>
        <v>0</v>
      </c>
    </row>
    <row r="14" spans="1:9">
      <c r="A14" s="2999"/>
      <c r="B14" s="3000" t="s">
        <v>997</v>
      </c>
      <c r="C14" s="3000"/>
      <c r="D14" s="1393"/>
      <c r="E14" s="1393"/>
      <c r="F14" s="1394"/>
      <c r="G14" s="1395"/>
      <c r="H14" s="1402"/>
      <c r="I14" s="1392">
        <f>ROUND(D14*E14*F14*G14/10000,0)</f>
        <v>0</v>
      </c>
    </row>
    <row r="15" spans="1:9">
      <c r="A15" s="2999"/>
      <c r="B15" s="3001" t="s">
        <v>989</v>
      </c>
      <c r="C15" s="3001"/>
      <c r="D15" s="1397"/>
      <c r="E15" s="1397">
        <f>SUM(E12:E14)</f>
        <v>0</v>
      </c>
      <c r="F15" s="1398"/>
      <c r="G15" s="1395"/>
      <c r="H15" s="1402"/>
      <c r="I15" s="1403">
        <f>SUM(I12:I14)</f>
        <v>0</v>
      </c>
    </row>
    <row r="16" spans="1:9" ht="24">
      <c r="A16" s="2999" t="s">
        <v>1028</v>
      </c>
      <c r="B16" s="3000" t="s">
        <v>998</v>
      </c>
      <c r="C16" s="3000"/>
      <c r="D16" s="1393" t="s">
        <v>976</v>
      </c>
      <c r="E16" s="1404" t="s">
        <v>999</v>
      </c>
      <c r="F16" s="1394" t="s">
        <v>1000</v>
      </c>
      <c r="G16" s="1395" t="s">
        <v>980</v>
      </c>
      <c r="H16" s="1401" t="s">
        <v>994</v>
      </c>
      <c r="I16" s="1392" t="s">
        <v>981</v>
      </c>
    </row>
    <row r="17" spans="1:9" ht="14.25">
      <c r="A17" s="2999"/>
      <c r="B17" s="3000" t="s">
        <v>1001</v>
      </c>
      <c r="C17" s="3000"/>
      <c r="D17" s="1393"/>
      <c r="E17" s="1393"/>
      <c r="F17" s="1394"/>
      <c r="G17" s="1395"/>
      <c r="H17" s="1405"/>
      <c r="I17" s="1406">
        <f>ROUND(D17*E17*F17*G17/10000,0)</f>
        <v>0</v>
      </c>
    </row>
    <row r="18" spans="1:9" ht="14.25">
      <c r="A18" s="2999"/>
      <c r="B18" s="3000" t="s">
        <v>1002</v>
      </c>
      <c r="C18" s="3000"/>
      <c r="D18" s="1393"/>
      <c r="E18" s="1393"/>
      <c r="F18" s="1394"/>
      <c r="G18" s="1395"/>
      <c r="H18" s="1405"/>
      <c r="I18" s="1406">
        <f>ROUND(D18*E18*F18*G18/10000,0)</f>
        <v>0</v>
      </c>
    </row>
    <row r="19" spans="1:9" ht="14.25">
      <c r="A19" s="2999"/>
      <c r="B19" s="3000" t="s">
        <v>1003</v>
      </c>
      <c r="C19" s="3000"/>
      <c r="D19" s="1393"/>
      <c r="E19" s="1393"/>
      <c r="F19" s="1394"/>
      <c r="G19" s="1395"/>
      <c r="H19" s="1405"/>
      <c r="I19" s="1406">
        <f>ROUND(D19*E19*F19*G19/10000,0)</f>
        <v>0</v>
      </c>
    </row>
    <row r="20" spans="1:9">
      <c r="A20" s="2999"/>
      <c r="B20" s="3001" t="s">
        <v>989</v>
      </c>
      <c r="C20" s="3001"/>
      <c r="D20" s="1397">
        <f>SUM(D17:D19)</f>
        <v>0</v>
      </c>
      <c r="E20" s="1397"/>
      <c r="F20" s="1398"/>
      <c r="G20" s="1395"/>
      <c r="H20" s="1402"/>
      <c r="I20" s="1403">
        <f>SUM(I17:I19)</f>
        <v>0</v>
      </c>
    </row>
    <row r="21" spans="1:9">
      <c r="A21" s="2999" t="s">
        <v>1029</v>
      </c>
      <c r="B21" s="3002"/>
      <c r="C21" s="3002"/>
      <c r="D21" s="3002"/>
      <c r="E21" s="3002"/>
      <c r="F21" s="3002"/>
      <c r="G21" s="3002"/>
      <c r="H21" s="1407">
        <v>0.1</v>
      </c>
      <c r="I21" s="1400">
        <f>ROUND(I10*H21,0)</f>
        <v>0</v>
      </c>
    </row>
    <row r="22" spans="1:9" ht="14.25">
      <c r="A22" s="3003" t="s">
        <v>1030</v>
      </c>
      <c r="B22" s="3004"/>
      <c r="C22" s="3005"/>
      <c r="D22" s="1408" t="s">
        <v>1004</v>
      </c>
      <c r="E22" s="1408" t="s">
        <v>1005</v>
      </c>
      <c r="F22" s="1409" t="s">
        <v>980</v>
      </c>
      <c r="G22" s="1409" t="s">
        <v>1006</v>
      </c>
      <c r="H22" s="1401" t="s">
        <v>994</v>
      </c>
      <c r="I22" s="1392" t="s">
        <v>981</v>
      </c>
    </row>
    <row r="23" spans="1:9" ht="14.25" thickBot="1">
      <c r="A23" s="3006"/>
      <c r="B23" s="3007"/>
      <c r="C23" s="3008"/>
      <c r="D23" s="1410"/>
      <c r="E23" s="1410"/>
      <c r="F23" s="1410"/>
      <c r="G23" s="1411"/>
      <c r="H23" s="1412"/>
      <c r="I23" s="1413">
        <f>ROUND(E23*D23*F23*(1-G23)/10000,0)</f>
        <v>0</v>
      </c>
    </row>
    <row r="26" spans="1:9">
      <c r="A26" s="1414" t="s">
        <v>1007</v>
      </c>
      <c r="B26" s="1414"/>
      <c r="C26" s="1414"/>
      <c r="D26" s="1414"/>
      <c r="E26" s="2996">
        <f>C27-C30-C31-C32</f>
        <v>0</v>
      </c>
      <c r="F26" s="2996"/>
      <c r="G26" s="2996"/>
      <c r="H26" s="1835" t="s">
        <v>1223</v>
      </c>
    </row>
    <row r="27" spans="1:9">
      <c r="A27" s="1415">
        <v>1</v>
      </c>
      <c r="B27" s="1416" t="s">
        <v>1008</v>
      </c>
      <c r="C27" s="1416">
        <f>C28+C29</f>
        <v>0</v>
      </c>
      <c r="D27" s="1416"/>
      <c r="E27" s="2997"/>
      <c r="F27" s="2997"/>
      <c r="G27" s="2997"/>
    </row>
    <row r="28" spans="1:9">
      <c r="A28" s="1417" t="s">
        <v>1009</v>
      </c>
      <c r="B28" s="1416" t="s">
        <v>1010</v>
      </c>
      <c r="C28" s="1416"/>
      <c r="D28" s="1416"/>
      <c r="E28" s="2997"/>
      <c r="F28" s="2997"/>
      <c r="G28" s="2997"/>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98"/>
      <c r="F32" s="2998"/>
      <c r="G32" s="2998"/>
    </row>
    <row r="33" spans="1:7" hidden="1">
      <c r="A33" s="2993" t="s">
        <v>1019</v>
      </c>
      <c r="B33" s="2994"/>
      <c r="C33" s="2994"/>
      <c r="D33" s="2995"/>
      <c r="E33" s="2996"/>
      <c r="F33" s="2996"/>
      <c r="G33" s="2996"/>
    </row>
    <row r="34" spans="1:7" hidden="1">
      <c r="A34" s="1419">
        <v>1</v>
      </c>
      <c r="B34" s="1416" t="s">
        <v>1020</v>
      </c>
      <c r="C34" s="1416"/>
      <c r="D34" s="1416"/>
      <c r="E34" s="2997"/>
      <c r="F34" s="2997"/>
      <c r="G34" s="2997"/>
    </row>
    <row r="35" spans="1:7" hidden="1">
      <c r="A35" s="1419">
        <v>2</v>
      </c>
      <c r="B35" s="1416" t="s">
        <v>1021</v>
      </c>
      <c r="C35" s="1416"/>
      <c r="D35" s="1416"/>
      <c r="E35" s="2997"/>
      <c r="F35" s="2997"/>
      <c r="G35" s="2997"/>
    </row>
    <row r="36" spans="1:7" hidden="1">
      <c r="A36" s="1419">
        <v>3</v>
      </c>
      <c r="B36" s="1416" t="s">
        <v>1022</v>
      </c>
      <c r="C36" s="1416"/>
      <c r="D36" s="1416"/>
      <c r="E36" s="2997"/>
      <c r="F36" s="2997"/>
      <c r="G36" s="2997"/>
    </row>
    <row r="37" spans="1:7" hidden="1">
      <c r="A37" s="1419">
        <v>4</v>
      </c>
      <c r="B37" s="1416" t="s">
        <v>1023</v>
      </c>
      <c r="C37" s="1416"/>
      <c r="D37" s="1416"/>
      <c r="E37" s="2997"/>
      <c r="F37" s="2997"/>
      <c r="G37" s="2997"/>
    </row>
    <row r="38" spans="1:7" hidden="1">
      <c r="A38" s="2993" t="s">
        <v>1024</v>
      </c>
      <c r="B38" s="2994"/>
      <c r="C38" s="2994"/>
      <c r="D38" s="2995"/>
      <c r="E38" s="2996"/>
      <c r="F38" s="2996"/>
      <c r="G38" s="299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2303</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2304</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2305</v>
      </c>
      <c r="B3" s="335" t="e">
        <f>B24</f>
        <v>#DIV/0!</v>
      </c>
      <c r="C3" s="1184" t="s">
        <v>2306</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2307</v>
      </c>
      <c r="C4" s="3017" t="s">
        <v>2308</v>
      </c>
      <c r="D4" s="3018"/>
      <c r="E4" s="3018"/>
      <c r="F4" s="3018"/>
      <c r="G4" s="3018"/>
      <c r="H4" s="3018"/>
      <c r="I4" s="3018"/>
      <c r="J4" s="3018"/>
      <c r="K4" s="3018"/>
      <c r="L4" s="3018"/>
      <c r="M4" s="3018"/>
      <c r="N4" s="3018"/>
      <c r="O4" s="3018"/>
      <c r="P4" s="3018"/>
      <c r="Q4" s="3018"/>
      <c r="R4" s="3018"/>
      <c r="S4" s="3019"/>
      <c r="T4" s="679" t="s">
        <v>2309</v>
      </c>
      <c r="U4" s="1314"/>
      <c r="V4" s="1314"/>
      <c r="X4" s="1314"/>
      <c r="Y4" s="1314"/>
    </row>
    <row r="5" spans="1:44" s="693" customFormat="1">
      <c r="A5" s="1324"/>
      <c r="B5" s="688" t="s">
        <v>2310</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2311</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2312</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2313</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2314</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2315</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2316</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2317</v>
      </c>
      <c r="B20" s="2377" t="s">
        <v>2318</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2319</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2320</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2321</v>
      </c>
      <c r="B24" s="309" t="e">
        <f>R25</f>
        <v>#DIV/0!</v>
      </c>
      <c r="C24" s="1145"/>
      <c r="D24" s="85"/>
      <c r="E24" s="85"/>
      <c r="F24" s="85"/>
      <c r="G24" s="85"/>
      <c r="H24" s="85"/>
      <c r="I24" s="85"/>
      <c r="J24" s="85"/>
      <c r="K24" s="85"/>
      <c r="L24" s="85"/>
      <c r="M24" s="85"/>
      <c r="N24" s="85"/>
      <c r="O24" s="85"/>
      <c r="P24" s="85"/>
      <c r="Q24" s="85"/>
      <c r="R24" s="770"/>
      <c r="S24" s="14" t="s">
        <v>2322</v>
      </c>
      <c r="T24" s="1903" t="s">
        <v>2323</v>
      </c>
      <c r="U24" s="2382" t="s">
        <v>2324</v>
      </c>
      <c r="V24" s="1344"/>
      <c r="W24" s="2383" t="s">
        <v>2325</v>
      </c>
      <c r="X24" s="2382" t="s">
        <v>2326</v>
      </c>
      <c r="Y24" s="1344"/>
      <c r="Z24" s="2384" t="s">
        <v>2325</v>
      </c>
    </row>
    <row r="25" spans="1:45">
      <c r="A25" s="335" t="s">
        <v>2327</v>
      </c>
      <c r="B25" s="14">
        <f>SUM(B27:B10000)</f>
        <v>0</v>
      </c>
      <c r="C25" s="3014" t="s">
        <v>45</v>
      </c>
      <c r="D25" s="3015"/>
      <c r="E25" s="3015"/>
      <c r="F25" s="3015"/>
      <c r="G25" s="3015"/>
      <c r="H25" s="3015"/>
      <c r="I25" s="3015"/>
      <c r="J25" s="3015"/>
      <c r="K25" s="3015"/>
      <c r="L25" s="3015"/>
      <c r="M25" s="3015"/>
      <c r="N25" s="3015"/>
      <c r="O25" s="3015"/>
      <c r="P25" s="3015"/>
      <c r="Q25" s="3016"/>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5" t="s">
        <v>2331</v>
      </c>
      <c r="S26" s="10" t="s">
        <v>2332</v>
      </c>
      <c r="T26" s="10" t="s">
        <v>2332</v>
      </c>
      <c r="U26" s="1889" t="s">
        <v>2333</v>
      </c>
      <c r="V26" s="2386" t="s">
        <v>2334</v>
      </c>
      <c r="W26" s="2387" t="s">
        <v>2335</v>
      </c>
      <c r="X26" s="1889" t="s">
        <v>2333</v>
      </c>
      <c r="Y26" s="2386" t="s">
        <v>2334</v>
      </c>
      <c r="Z26" s="2387" t="s">
        <v>2335</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2336</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1" sqref="B1"/>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2338</v>
      </c>
      <c r="C1" s="1732" t="s">
        <v>2812</v>
      </c>
      <c r="D1" s="2388"/>
      <c r="E1" s="2389" t="s">
        <v>2864</v>
      </c>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836841</v>
      </c>
      <c r="C2" s="164" t="str">
        <f>'数据-取费表'!B3</f>
        <v>元</v>
      </c>
      <c r="D2" s="2391" t="s">
        <v>1257</v>
      </c>
      <c r="E2" s="1849">
        <f ca="1">SUMIF(INDIRECT("'"&amp;G2&amp;"'"&amp;"!A:A"),"承租人权益价值",INDIRECT("'"&amp;G2&amp;"'"&amp;"!c:c"))</f>
        <v>-448744</v>
      </c>
      <c r="F2" s="2392" t="str">
        <f>C2</f>
        <v>元</v>
      </c>
      <c r="G2" s="2718" t="s">
        <v>2820</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52731</v>
      </c>
      <c r="C3" s="380" t="s">
        <v>2340</v>
      </c>
      <c r="D3" s="379">
        <f>IF(C1="仅计算典型户型",'数据-取费表'!E5,'数据-取费表'!B5)</f>
        <v>15.87</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2341</v>
      </c>
      <c r="B4" s="382"/>
      <c r="C4" s="3053" t="s">
        <v>2342</v>
      </c>
      <c r="D4" s="3054"/>
      <c r="E4" s="3055" t="s">
        <v>2343</v>
      </c>
      <c r="F4" s="3056"/>
      <c r="G4" s="3053" t="s">
        <v>2344</v>
      </c>
      <c r="H4" s="3054"/>
      <c r="I4" s="3053" t="s">
        <v>2345</v>
      </c>
      <c r="J4" s="3054"/>
      <c r="K4" s="2402"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0" t="s">
        <v>2344</v>
      </c>
      <c r="AC4" s="3050" t="s">
        <v>2345</v>
      </c>
    </row>
    <row r="5" spans="1:29" ht="36" customHeight="1" thickBot="1">
      <c r="A5" s="384"/>
      <c r="B5" s="385"/>
      <c r="C5" s="3038" t="s">
        <v>2881</v>
      </c>
      <c r="D5" s="3039"/>
      <c r="E5" s="3064" t="s">
        <v>2882</v>
      </c>
      <c r="F5" s="3065"/>
      <c r="G5" s="3038" t="s">
        <v>2882</v>
      </c>
      <c r="H5" s="3039"/>
      <c r="I5" s="3038" t="s">
        <v>2882</v>
      </c>
      <c r="J5" s="3039"/>
      <c r="K5" s="2403"/>
      <c r="L5" s="1245"/>
      <c r="M5" s="1246"/>
      <c r="N5" s="1246"/>
      <c r="O5" s="1246"/>
      <c r="P5" s="3059"/>
      <c r="Q5" s="3060"/>
      <c r="R5" s="3044"/>
      <c r="S5" s="3045"/>
      <c r="T5" s="3044"/>
      <c r="U5" s="3045"/>
      <c r="V5" s="3063"/>
      <c r="W5" s="3063"/>
      <c r="X5" s="1906"/>
      <c r="Y5" s="3044"/>
      <c r="Z5" s="3045"/>
      <c r="AA5" s="3051"/>
      <c r="AB5" s="3051"/>
      <c r="AC5" s="3051"/>
    </row>
    <row r="6" spans="1:29" ht="15.75" hidden="1" thickBot="1">
      <c r="A6" s="386"/>
      <c r="B6" s="387"/>
      <c r="C6" s="3066"/>
      <c r="D6" s="3037"/>
      <c r="E6" s="3067" t="s">
        <v>2352</v>
      </c>
      <c r="F6" s="3068"/>
      <c r="G6" s="3036" t="s">
        <v>2352</v>
      </c>
      <c r="H6" s="3037"/>
      <c r="I6" s="3036" t="s">
        <v>2352</v>
      </c>
      <c r="J6" s="3037"/>
      <c r="K6" s="2403"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43062</v>
      </c>
      <c r="D7" s="391">
        <v>100</v>
      </c>
      <c r="E7" s="392">
        <v>42933</v>
      </c>
      <c r="F7" s="393">
        <f>SUMIF(58:58,YEAR(E7)&amp;"-"&amp;MONTH(E7),59:59)</f>
        <v>101</v>
      </c>
      <c r="G7" s="392">
        <v>42929</v>
      </c>
      <c r="H7" s="391">
        <f>SUMIF(58:58,YEAR(G7)&amp;"-"&amp;MONTH(G7),59:59)</f>
        <v>101</v>
      </c>
      <c r="I7" s="392">
        <v>42942</v>
      </c>
      <c r="J7" s="391">
        <f>SUMIF(58:58,YEAR(I7)&amp;"-"&amp;MONTH(I7),59:59)</f>
        <v>101</v>
      </c>
      <c r="K7" s="2404"/>
      <c r="L7" s="1247"/>
      <c r="M7" s="1248"/>
      <c r="N7" s="1248"/>
      <c r="O7" s="1248"/>
      <c r="P7" s="3040" t="s">
        <v>2355</v>
      </c>
      <c r="Q7" s="3048"/>
      <c r="R7" s="750" t="s">
        <v>34</v>
      </c>
      <c r="S7" s="751">
        <f t="shared" ref="S7:S15" si="0">F7</f>
        <v>101</v>
      </c>
      <c r="T7" s="750" t="s">
        <v>34</v>
      </c>
      <c r="U7" s="751">
        <f t="shared" ref="U7:U15" si="1">H7</f>
        <v>101</v>
      </c>
      <c r="V7" s="750" t="s">
        <v>34</v>
      </c>
      <c r="W7" s="751">
        <f t="shared" ref="W7:W15" si="2">J7</f>
        <v>101</v>
      </c>
      <c r="X7" s="752"/>
      <c r="Y7" s="3040" t="s">
        <v>2355</v>
      </c>
      <c r="Z7" s="3041"/>
      <c r="AA7" s="753">
        <f>D7/F7</f>
        <v>0.99009900990099009</v>
      </c>
      <c r="AB7" s="753">
        <f>D7/H7</f>
        <v>0.99009900990099009</v>
      </c>
      <c r="AC7" s="753">
        <f>D7/J7</f>
        <v>0.99009900990099009</v>
      </c>
    </row>
    <row r="8" spans="1:29" s="35" customFormat="1" ht="15.75" thickBot="1">
      <c r="A8" s="388" t="s">
        <v>2356</v>
      </c>
      <c r="B8" s="389"/>
      <c r="C8" s="395" t="s">
        <v>2357</v>
      </c>
      <c r="D8" s="391">
        <v>100</v>
      </c>
      <c r="E8" s="2405" t="s">
        <v>2821</v>
      </c>
      <c r="F8" s="393">
        <f>SUMIF(61:61,E8,62:62)-SUMIF(61:61,C8,62:62)+100</f>
        <v>100</v>
      </c>
      <c r="G8" s="395" t="s">
        <v>2821</v>
      </c>
      <c r="H8" s="391">
        <f>SUMIF(61:61,G8,62:62)-SUMIF(61:61,C8,62:62)+100</f>
        <v>100</v>
      </c>
      <c r="I8" s="2405" t="s">
        <v>2821</v>
      </c>
      <c r="J8" s="391">
        <f>SUMIF(61:61,I8,62:62)-SUMIF(61:61,C8,62:62)+100</f>
        <v>100</v>
      </c>
      <c r="K8" s="2404"/>
      <c r="L8" s="1247"/>
      <c r="M8" s="1248"/>
      <c r="N8" s="1248"/>
      <c r="O8" s="1248"/>
      <c r="P8" s="3040" t="s">
        <v>2358</v>
      </c>
      <c r="Q8" s="3041"/>
      <c r="R8" s="750" t="s">
        <v>34</v>
      </c>
      <c r="S8" s="751">
        <f t="shared" si="0"/>
        <v>100</v>
      </c>
      <c r="T8" s="750" t="s">
        <v>34</v>
      </c>
      <c r="U8" s="751">
        <f t="shared" si="1"/>
        <v>100</v>
      </c>
      <c r="V8" s="750" t="s">
        <v>34</v>
      </c>
      <c r="W8" s="751">
        <f t="shared" si="2"/>
        <v>100</v>
      </c>
      <c r="X8" s="752"/>
      <c r="Y8" s="3040" t="s">
        <v>2358</v>
      </c>
      <c r="Z8" s="3041"/>
      <c r="AA8" s="753">
        <f t="shared" ref="AA8:AA46" si="3">D8/F8</f>
        <v>1</v>
      </c>
      <c r="AB8" s="753">
        <f t="shared" ref="AB8:AB46" si="4">D8/H8</f>
        <v>1</v>
      </c>
      <c r="AC8" s="753">
        <f t="shared" ref="AC8:AC46" si="5">D8/J8</f>
        <v>1</v>
      </c>
    </row>
    <row r="9" spans="1:29" s="35" customFormat="1">
      <c r="A9" s="396" t="s">
        <v>2359</v>
      </c>
      <c r="B9" s="28" t="s">
        <v>2360</v>
      </c>
      <c r="C9" s="2719" t="s">
        <v>2822</v>
      </c>
      <c r="D9" s="51">
        <v>100</v>
      </c>
      <c r="E9" s="398" t="s">
        <v>2810</v>
      </c>
      <c r="F9" s="399">
        <f>SUMIF(63:63,E9,64:64)-SUMIF(63:63,C9,64:64)+100</f>
        <v>100</v>
      </c>
      <c r="G9" s="400" t="s">
        <v>2810</v>
      </c>
      <c r="H9" s="51">
        <f>SUMIF(63:63,G9,64:64)-SUMIF(63:63,C9,64:64)+100</f>
        <v>100</v>
      </c>
      <c r="I9" s="400" t="s">
        <v>2810</v>
      </c>
      <c r="J9" s="51">
        <f>SUMIF(63:63,I9,64:64)-SUMIF(63:63,C9,64:64)+100</f>
        <v>100</v>
      </c>
      <c r="K9" s="2404"/>
      <c r="L9" s="1247"/>
      <c r="M9" s="1248"/>
      <c r="N9" s="1248"/>
      <c r="O9" s="1248"/>
      <c r="P9" s="3049"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75" thickBot="1">
      <c r="A10" s="402"/>
      <c r="B10" s="403" t="s">
        <v>2363</v>
      </c>
      <c r="C10" s="404" t="s">
        <v>2872</v>
      </c>
      <c r="D10" s="52">
        <v>100</v>
      </c>
      <c r="E10" s="405" t="s">
        <v>2883</v>
      </c>
      <c r="F10" s="406">
        <f>SUMIF(65:65,E10,66:66)-SUMIF(65:65,C10,66:66)+100</f>
        <v>98</v>
      </c>
      <c r="G10" s="404" t="s">
        <v>2883</v>
      </c>
      <c r="H10" s="52">
        <f>SUMIF(65:65,G10,66:66)-SUMIF(65:65,C10,66:66)+100</f>
        <v>98</v>
      </c>
      <c r="I10" s="404" t="s">
        <v>2883</v>
      </c>
      <c r="J10" s="52">
        <f>SUMIF(65:65,I10,66:66)-SUMIF(65:65,C10,66:66)+100</f>
        <v>98</v>
      </c>
      <c r="K10" s="407">
        <v>1</v>
      </c>
      <c r="L10" s="1250"/>
      <c r="M10" s="1251"/>
      <c r="N10" s="1251"/>
      <c r="O10" s="1251"/>
      <c r="P10" s="3049"/>
      <c r="Q10" s="1893" t="str">
        <f t="shared" si="6"/>
        <v>土地使用年限（年）</v>
      </c>
      <c r="R10" s="750" t="s">
        <v>25</v>
      </c>
      <c r="S10" s="751">
        <f t="shared" si="0"/>
        <v>98</v>
      </c>
      <c r="T10" s="750" t="s">
        <v>25</v>
      </c>
      <c r="U10" s="751">
        <f t="shared" si="1"/>
        <v>98</v>
      </c>
      <c r="V10" s="750" t="s">
        <v>25</v>
      </c>
      <c r="W10" s="751">
        <f t="shared" si="2"/>
        <v>98</v>
      </c>
      <c r="X10" s="752"/>
      <c r="Y10" s="2855"/>
      <c r="Z10" s="23" t="str">
        <f t="shared" si="7"/>
        <v>土地使用年限（年）</v>
      </c>
      <c r="AA10" s="753">
        <f t="shared" si="3"/>
        <v>1.0204081632653061</v>
      </c>
      <c r="AB10" s="753">
        <f t="shared" si="4"/>
        <v>1.0204081632653061</v>
      </c>
      <c r="AC10" s="753">
        <f t="shared" si="5"/>
        <v>1.0204081632653061</v>
      </c>
    </row>
    <row r="11" spans="1:29" ht="15.75" hidden="1" thickBot="1">
      <c r="A11" s="409"/>
      <c r="B11" s="403" t="s">
        <v>2364</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49"/>
      <c r="Q11" s="1893" t="str">
        <f t="shared" si="6"/>
        <v>容积率</v>
      </c>
      <c r="R11" s="750" t="s">
        <v>28</v>
      </c>
      <c r="S11" s="751">
        <f t="shared" si="0"/>
        <v>100</v>
      </c>
      <c r="T11" s="750" t="s">
        <v>28</v>
      </c>
      <c r="U11" s="751">
        <f t="shared" si="1"/>
        <v>100</v>
      </c>
      <c r="V11" s="750" t="s">
        <v>28</v>
      </c>
      <c r="W11" s="751">
        <f t="shared" si="2"/>
        <v>100</v>
      </c>
      <c r="X11" s="752"/>
      <c r="Y11" s="2855"/>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49"/>
      <c r="Q12" s="1893">
        <f t="shared" si="6"/>
        <v>111</v>
      </c>
      <c r="R12" s="750" t="s">
        <v>28</v>
      </c>
      <c r="S12" s="751">
        <f t="shared" si="0"/>
        <v>100</v>
      </c>
      <c r="T12" s="750" t="s">
        <v>28</v>
      </c>
      <c r="U12" s="751">
        <f t="shared" si="1"/>
        <v>100</v>
      </c>
      <c r="V12" s="750" t="s">
        <v>28</v>
      </c>
      <c r="W12" s="751">
        <f t="shared" si="2"/>
        <v>100</v>
      </c>
      <c r="X12" s="752"/>
      <c r="Y12" s="2855"/>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49"/>
      <c r="Q13" s="1893">
        <f t="shared" si="6"/>
        <v>111</v>
      </c>
      <c r="R13" s="750" t="s">
        <v>28</v>
      </c>
      <c r="S13" s="751">
        <f t="shared" si="0"/>
        <v>100</v>
      </c>
      <c r="T13" s="750" t="s">
        <v>28</v>
      </c>
      <c r="U13" s="751">
        <f t="shared" si="1"/>
        <v>100</v>
      </c>
      <c r="V13" s="750" t="s">
        <v>28</v>
      </c>
      <c r="W13" s="751">
        <f t="shared" si="2"/>
        <v>100</v>
      </c>
      <c r="X13" s="752"/>
      <c r="Y13" s="2855"/>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49"/>
      <c r="Q14" s="1893">
        <f t="shared" si="6"/>
        <v>111</v>
      </c>
      <c r="R14" s="750" t="s">
        <v>28</v>
      </c>
      <c r="S14" s="751">
        <f t="shared" si="0"/>
        <v>100</v>
      </c>
      <c r="T14" s="750" t="s">
        <v>28</v>
      </c>
      <c r="U14" s="751">
        <f t="shared" si="1"/>
        <v>100</v>
      </c>
      <c r="V14" s="750" t="s">
        <v>28</v>
      </c>
      <c r="W14" s="751">
        <f t="shared" si="2"/>
        <v>100</v>
      </c>
      <c r="X14" s="752"/>
      <c r="Y14" s="2855"/>
      <c r="Z14" s="23">
        <f t="shared" si="7"/>
        <v>111</v>
      </c>
      <c r="AA14" s="753">
        <f t="shared" si="3"/>
        <v>1</v>
      </c>
      <c r="AB14" s="753">
        <f t="shared" si="4"/>
        <v>1</v>
      </c>
      <c r="AC14" s="753">
        <f t="shared" si="5"/>
        <v>1</v>
      </c>
    </row>
    <row r="15" spans="1:29" ht="133.5" customHeight="1">
      <c r="A15" s="420" t="s">
        <v>2365</v>
      </c>
      <c r="B15" s="26" t="s">
        <v>1742</v>
      </c>
      <c r="C15" s="2410">
        <f>估价对象房地状况!C3</f>
        <v>0</v>
      </c>
      <c r="D15" s="421">
        <v>100</v>
      </c>
      <c r="E15" s="2735" t="s">
        <v>2914</v>
      </c>
      <c r="F15" s="423">
        <f>SUMIF(76:76,E16,77:77)-SUMIF(76:76,C16,77:77)+100</f>
        <v>100</v>
      </c>
      <c r="G15" s="2735" t="s">
        <v>2914</v>
      </c>
      <c r="H15" s="421">
        <f>SUMIF(76:76,G16,77:77)-SUMIF(76:76,C16,77:77)+100</f>
        <v>100</v>
      </c>
      <c r="I15" s="2735" t="s">
        <v>2914</v>
      </c>
      <c r="J15" s="421">
        <f>SUMIF(76:76,I16,77:77)-SUMIF(76:76,C16,77:77)+100</f>
        <v>100</v>
      </c>
      <c r="K15" s="425">
        <v>1</v>
      </c>
      <c r="L15" s="1255"/>
      <c r="M15" s="1246"/>
      <c r="N15" s="1246"/>
      <c r="O15" s="1246"/>
      <c r="P15" s="3027" t="s">
        <v>2366</v>
      </c>
      <c r="Q15" s="1905" t="str">
        <f t="shared" si="6"/>
        <v>居住社区成熟度</v>
      </c>
      <c r="R15" s="754" t="s">
        <v>28</v>
      </c>
      <c r="S15" s="755">
        <f t="shared" si="0"/>
        <v>100</v>
      </c>
      <c r="T15" s="754" t="s">
        <v>28</v>
      </c>
      <c r="U15" s="755">
        <f t="shared" si="1"/>
        <v>100</v>
      </c>
      <c r="V15" s="754" t="s">
        <v>28</v>
      </c>
      <c r="W15" s="755">
        <f t="shared" si="2"/>
        <v>100</v>
      </c>
      <c r="X15" s="1906"/>
      <c r="Y15" s="3029" t="s">
        <v>2366</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28"/>
      <c r="Q16" s="1905"/>
      <c r="R16" s="754"/>
      <c r="S16" s="755"/>
      <c r="T16" s="754"/>
      <c r="U16" s="755"/>
      <c r="V16" s="754"/>
      <c r="W16" s="755"/>
      <c r="X16" s="1906"/>
      <c r="Y16" s="3030"/>
      <c r="Z16" s="1908"/>
      <c r="AA16" s="1909">
        <v>1</v>
      </c>
      <c r="AB16" s="1909">
        <v>1</v>
      </c>
      <c r="AC16" s="1909">
        <v>1</v>
      </c>
    </row>
    <row r="17" spans="1:29" ht="174" customHeight="1">
      <c r="A17" s="409"/>
      <c r="B17" s="432" t="s">
        <v>1751</v>
      </c>
      <c r="C17" s="2413"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2723" t="s">
        <v>2915</v>
      </c>
      <c r="F17" s="434">
        <f>SUMIF(78:78,E18,79:79)-SUMIF(78:78,C18,79:79)+100</f>
        <v>100</v>
      </c>
      <c r="G17" s="2724" t="s">
        <v>2915</v>
      </c>
      <c r="H17" s="436">
        <f>SUMIF(78:78,G18,79:79)-SUMIF(78:78,C18,79:79)+100</f>
        <v>100</v>
      </c>
      <c r="I17" s="2723" t="s">
        <v>2915</v>
      </c>
      <c r="J17" s="436">
        <f>SUMIF(78:78,I18,79:79)-SUMIF(78:78,C18,79:79)+100</f>
        <v>100</v>
      </c>
      <c r="K17" s="425">
        <v>1</v>
      </c>
      <c r="L17" s="1255"/>
      <c r="M17" s="1246"/>
      <c r="N17" s="1246"/>
      <c r="O17" s="1246"/>
      <c r="P17" s="3028"/>
      <c r="Q17" s="1905" t="str">
        <f>B17</f>
        <v>交通便捷度</v>
      </c>
      <c r="R17" s="754" t="s">
        <v>28</v>
      </c>
      <c r="S17" s="755">
        <f>F17</f>
        <v>100</v>
      </c>
      <c r="T17" s="754" t="s">
        <v>28</v>
      </c>
      <c r="U17" s="755">
        <f>H17</f>
        <v>100</v>
      </c>
      <c r="V17" s="754" t="s">
        <v>28</v>
      </c>
      <c r="W17" s="755">
        <f>J17</f>
        <v>100</v>
      </c>
      <c r="X17" s="1906"/>
      <c r="Y17" s="3030"/>
      <c r="Z17" s="1908" t="str">
        <f>Q17</f>
        <v>交通便捷度</v>
      </c>
      <c r="AA17" s="1909">
        <f t="shared" si="3"/>
        <v>1</v>
      </c>
      <c r="AB17" s="1909">
        <f t="shared" si="4"/>
        <v>1</v>
      </c>
      <c r="AC17" s="1909">
        <f t="shared" si="5"/>
        <v>1</v>
      </c>
    </row>
    <row r="18" spans="1:29" ht="15">
      <c r="A18" s="409"/>
      <c r="B18" s="437"/>
      <c r="C18" s="438" t="s">
        <v>30</v>
      </c>
      <c r="D18" s="431"/>
      <c r="E18" s="1470" t="s">
        <v>30</v>
      </c>
      <c r="F18" s="434"/>
      <c r="G18" s="2414" t="s">
        <v>30</v>
      </c>
      <c r="H18" s="428"/>
      <c r="I18" s="1470" t="s">
        <v>30</v>
      </c>
      <c r="J18" s="428"/>
      <c r="K18" s="2412"/>
      <c r="L18" s="1255"/>
      <c r="M18" s="1246"/>
      <c r="N18" s="1246"/>
      <c r="O18" s="1246"/>
      <c r="P18" s="3028"/>
      <c r="Q18" s="1905"/>
      <c r="R18" s="754"/>
      <c r="S18" s="755"/>
      <c r="T18" s="754"/>
      <c r="U18" s="755"/>
      <c r="V18" s="754"/>
      <c r="W18" s="755"/>
      <c r="X18" s="1906"/>
      <c r="Y18" s="3030"/>
      <c r="Z18" s="1908"/>
      <c r="AA18" s="1909">
        <v>1</v>
      </c>
      <c r="AB18" s="1909">
        <v>1</v>
      </c>
      <c r="AC18" s="1909">
        <v>1</v>
      </c>
    </row>
    <row r="19" spans="1:29" ht="42.75">
      <c r="A19" s="409"/>
      <c r="B19" s="432" t="s">
        <v>1749</v>
      </c>
      <c r="C19" s="2413" t="str">
        <f>估价对象房地状况!C7</f>
        <v>估价对象所在区域公共配套设施齐备情况好</v>
      </c>
      <c r="D19" s="436">
        <v>100</v>
      </c>
      <c r="E19" s="2725" t="s">
        <v>2873</v>
      </c>
      <c r="F19" s="440">
        <f>SUMIF(80:80,E20,81:81)-SUMIF(80:80,C20,81:81)+100</f>
        <v>100</v>
      </c>
      <c r="G19" s="2726" t="s">
        <v>2873</v>
      </c>
      <c r="H19" s="431">
        <f>SUMIF(80:80,G20,81:81)-SUMIF(80:80,C20,81:81)+100</f>
        <v>100</v>
      </c>
      <c r="I19" s="2725" t="s">
        <v>2873</v>
      </c>
      <c r="J19" s="431">
        <f>SUMIF(80:80,I20,81:81)-SUMIF(80:80,C20,81:81)+100</f>
        <v>100</v>
      </c>
      <c r="K19" s="425">
        <v>1</v>
      </c>
      <c r="L19" s="1255"/>
      <c r="M19" s="1246"/>
      <c r="N19" s="1246"/>
      <c r="O19" s="1246"/>
      <c r="P19" s="3028"/>
      <c r="Q19" s="1905" t="str">
        <f>B19</f>
        <v>公共配套设施</v>
      </c>
      <c r="R19" s="754" t="s">
        <v>28</v>
      </c>
      <c r="S19" s="755">
        <f>F19</f>
        <v>100</v>
      </c>
      <c r="T19" s="754" t="s">
        <v>28</v>
      </c>
      <c r="U19" s="755">
        <f>H19</f>
        <v>100</v>
      </c>
      <c r="V19" s="754" t="s">
        <v>28</v>
      </c>
      <c r="W19" s="755">
        <f>J19</f>
        <v>100</v>
      </c>
      <c r="X19" s="1906"/>
      <c r="Y19" s="3030"/>
      <c r="Z19" s="1908" t="str">
        <f>Q19</f>
        <v>公共配套设施</v>
      </c>
      <c r="AA19" s="1909">
        <f t="shared" si="3"/>
        <v>1</v>
      </c>
      <c r="AB19" s="1909">
        <f t="shared" si="4"/>
        <v>1</v>
      </c>
      <c r="AC19" s="1909">
        <f t="shared" si="5"/>
        <v>1</v>
      </c>
    </row>
    <row r="20" spans="1:29" ht="15">
      <c r="A20" s="409"/>
      <c r="B20" s="437"/>
      <c r="C20" s="427" t="s">
        <v>31</v>
      </c>
      <c r="D20" s="428"/>
      <c r="E20" s="429" t="s">
        <v>31</v>
      </c>
      <c r="F20" s="430"/>
      <c r="G20" s="2411" t="s">
        <v>31</v>
      </c>
      <c r="H20" s="428"/>
      <c r="I20" s="429" t="s">
        <v>31</v>
      </c>
      <c r="J20" s="428"/>
      <c r="K20" s="2412"/>
      <c r="L20" s="1255"/>
      <c r="M20" s="1246"/>
      <c r="N20" s="1246"/>
      <c r="O20" s="1246"/>
      <c r="P20" s="3028"/>
      <c r="Q20" s="1905"/>
      <c r="R20" s="754"/>
      <c r="S20" s="755"/>
      <c r="T20" s="754"/>
      <c r="U20" s="755"/>
      <c r="V20" s="754"/>
      <c r="W20" s="755"/>
      <c r="X20" s="1906"/>
      <c r="Y20" s="3030"/>
      <c r="Z20" s="1908"/>
      <c r="AA20" s="1909">
        <v>1</v>
      </c>
      <c r="AB20" s="1909">
        <v>1</v>
      </c>
      <c r="AC20" s="1909">
        <v>1</v>
      </c>
    </row>
    <row r="21" spans="1:29" ht="47.25" customHeight="1">
      <c r="A21" s="409"/>
      <c r="B21" s="2415" t="s">
        <v>1752</v>
      </c>
      <c r="C21" s="2413" t="str">
        <f>估价对象房地状况!C8</f>
        <v>估价对象所在区域基础设施水平——五通</v>
      </c>
      <c r="D21" s="436">
        <v>100</v>
      </c>
      <c r="E21" s="2725" t="s">
        <v>2916</v>
      </c>
      <c r="F21" s="440">
        <f>SUMIF(82:82,E22,83:83)-SUMIF(82:82,C22,83:83)+100</f>
        <v>100</v>
      </c>
      <c r="G21" s="2726" t="s">
        <v>2916</v>
      </c>
      <c r="H21" s="431">
        <f>SUMIF(82:82,G22,83:83)-SUMIF(82:82,C22,83:83)+100</f>
        <v>100</v>
      </c>
      <c r="I21" s="2725" t="s">
        <v>2916</v>
      </c>
      <c r="J21" s="431">
        <f>SUMIF(82:82,I22,83:83)-SUMIF(82:82,C22,83:83)+100</f>
        <v>100</v>
      </c>
      <c r="K21" s="425">
        <v>1</v>
      </c>
      <c r="L21" s="1255"/>
      <c r="M21" s="1246"/>
      <c r="N21" s="1246"/>
      <c r="O21" s="1246"/>
      <c r="P21" s="3028"/>
      <c r="Q21" s="1905" t="str">
        <f>B21</f>
        <v>基础设施水平</v>
      </c>
      <c r="R21" s="754" t="s">
        <v>28</v>
      </c>
      <c r="S21" s="755">
        <f>F21</f>
        <v>100</v>
      </c>
      <c r="T21" s="754" t="s">
        <v>28</v>
      </c>
      <c r="U21" s="755">
        <f>H21</f>
        <v>100</v>
      </c>
      <c r="V21" s="754" t="s">
        <v>28</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2415"/>
      <c r="C22" s="438" t="s">
        <v>2918</v>
      </c>
      <c r="D22" s="428"/>
      <c r="E22" s="427" t="s">
        <v>2918</v>
      </c>
      <c r="F22" s="430"/>
      <c r="G22" s="427" t="s">
        <v>2918</v>
      </c>
      <c r="H22" s="428"/>
      <c r="I22" s="427" t="s">
        <v>2918</v>
      </c>
      <c r="J22" s="428"/>
      <c r="K22" s="2416"/>
      <c r="L22" s="1255"/>
      <c r="M22" s="1246"/>
      <c r="N22" s="1246"/>
      <c r="O22" s="1246"/>
      <c r="P22" s="3028"/>
      <c r="Q22" s="1905"/>
      <c r="R22" s="754"/>
      <c r="S22" s="755"/>
      <c r="T22" s="754"/>
      <c r="U22" s="755"/>
      <c r="V22" s="754"/>
      <c r="W22" s="755"/>
      <c r="X22" s="1906"/>
      <c r="Y22" s="3030"/>
      <c r="Z22" s="1908"/>
      <c r="AA22" s="1909">
        <v>1</v>
      </c>
      <c r="AB22" s="1909">
        <v>1</v>
      </c>
      <c r="AC22" s="1909">
        <v>1</v>
      </c>
    </row>
    <row r="23" spans="1:29" ht="117.75" customHeight="1">
      <c r="A23" s="409"/>
      <c r="B23" s="432" t="s">
        <v>1756</v>
      </c>
      <c r="C23" s="2413" t="str">
        <f>估价对象房地状况!C9</f>
        <v>自然环境：海淀公园等；人文环境：北京大学等，综合评价环境状况较好</v>
      </c>
      <c r="D23" s="431">
        <v>100</v>
      </c>
      <c r="E23" s="2723" t="s">
        <v>2917</v>
      </c>
      <c r="F23" s="434">
        <f>SUMIF(84:84,E24,85:85)-SUMIF(84:84,C24,85:85)+100</f>
        <v>100</v>
      </c>
      <c r="G23" s="2724" t="s">
        <v>2917</v>
      </c>
      <c r="H23" s="431">
        <f>SUMIF(84:84,G24,85:85)-SUMIF(84:84,C24,85:85)+100</f>
        <v>100</v>
      </c>
      <c r="I23" s="2723" t="s">
        <v>2917</v>
      </c>
      <c r="J23" s="431">
        <f>SUMIF(84:84,I24,85:85)-SUMIF(84:84,C24,85:85)+100</f>
        <v>100</v>
      </c>
      <c r="K23" s="425">
        <v>1</v>
      </c>
      <c r="L23" s="1255"/>
      <c r="M23" s="1246"/>
      <c r="N23" s="1246"/>
      <c r="O23" s="1246"/>
      <c r="P23" s="3028"/>
      <c r="Q23" s="1905" t="str">
        <f>B23</f>
        <v>自然及人文环境</v>
      </c>
      <c r="R23" s="754" t="s">
        <v>28</v>
      </c>
      <c r="S23" s="755">
        <f>F23</f>
        <v>100</v>
      </c>
      <c r="T23" s="754" t="s">
        <v>28</v>
      </c>
      <c r="U23" s="755">
        <f>H23</f>
        <v>100</v>
      </c>
      <c r="V23" s="754" t="s">
        <v>28</v>
      </c>
      <c r="W23" s="755">
        <f>J23</f>
        <v>100</v>
      </c>
      <c r="X23" s="1906"/>
      <c r="Y23" s="3030"/>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28"/>
      <c r="Q24" s="1905"/>
      <c r="R24" s="754"/>
      <c r="S24" s="755"/>
      <c r="T24" s="754"/>
      <c r="U24" s="755"/>
      <c r="V24" s="754"/>
      <c r="W24" s="755"/>
      <c r="X24" s="1906"/>
      <c r="Y24" s="3030"/>
      <c r="Z24" s="1908"/>
      <c r="AA24" s="1909">
        <v>1</v>
      </c>
      <c r="AB24" s="1909">
        <v>1</v>
      </c>
      <c r="AC24" s="1909">
        <v>1</v>
      </c>
    </row>
    <row r="25" spans="1:29" ht="15" hidden="1">
      <c r="A25" s="409"/>
      <c r="B25" s="403" t="s">
        <v>2367</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28"/>
      <c r="Q25" s="1905" t="str">
        <f t="shared" ref="Q25:Q46" si="11">B25</f>
        <v>楼层-1</v>
      </c>
      <c r="R25" s="754" t="s">
        <v>28</v>
      </c>
      <c r="S25" s="755">
        <f>F25</f>
        <v>100</v>
      </c>
      <c r="T25" s="754" t="s">
        <v>28</v>
      </c>
      <c r="U25" s="755">
        <f>H25</f>
        <v>100</v>
      </c>
      <c r="V25" s="754" t="s">
        <v>28</v>
      </c>
      <c r="W25" s="755">
        <f>J25</f>
        <v>100</v>
      </c>
      <c r="X25" s="1906"/>
      <c r="Y25" s="3030"/>
      <c r="Z25" s="1908" t="str">
        <f>Q25</f>
        <v>楼层-1</v>
      </c>
      <c r="AA25" s="1909">
        <f t="shared" si="3"/>
        <v>1</v>
      </c>
      <c r="AB25" s="1909">
        <f t="shared" si="4"/>
        <v>1</v>
      </c>
      <c r="AC25" s="1909">
        <f t="shared" si="5"/>
        <v>1</v>
      </c>
    </row>
    <row r="26" spans="1:29" ht="15">
      <c r="A26" s="409"/>
      <c r="B26" s="403" t="s">
        <v>2368</v>
      </c>
      <c r="C26" s="442" t="s">
        <v>2874</v>
      </c>
      <c r="D26" s="416">
        <v>100</v>
      </c>
      <c r="E26" s="2417" t="s">
        <v>2884</v>
      </c>
      <c r="F26" s="443">
        <f>SUMIF(88:88,E26,89:89)-SUMIF(88:88,C26,89:89)+100</f>
        <v>96.5</v>
      </c>
      <c r="G26" s="2418" t="s">
        <v>2886</v>
      </c>
      <c r="H26" s="416">
        <f>SUMIF(88:88,G26,89:89)-SUMIF(88:88,C26,89:89)+100</f>
        <v>96</v>
      </c>
      <c r="I26" s="2417" t="s">
        <v>2874</v>
      </c>
      <c r="J26" s="416">
        <f>SUMIF(88:88,I26,89:89)-SUMIF(88:88,C26,89:89)+100</f>
        <v>100</v>
      </c>
      <c r="K26" s="407">
        <v>0.5</v>
      </c>
      <c r="L26" s="1255"/>
      <c r="M26" s="1246"/>
      <c r="N26" s="1246"/>
      <c r="O26" s="1246"/>
      <c r="P26" s="3028"/>
      <c r="Q26" s="1905" t="str">
        <f t="shared" si="11"/>
        <v>朝向</v>
      </c>
      <c r="R26" s="754" t="s">
        <v>28</v>
      </c>
      <c r="S26" s="755">
        <f>F26</f>
        <v>96.5</v>
      </c>
      <c r="T26" s="754" t="s">
        <v>28</v>
      </c>
      <c r="U26" s="755">
        <f>H26</f>
        <v>96</v>
      </c>
      <c r="V26" s="754" t="s">
        <v>28</v>
      </c>
      <c r="W26" s="755">
        <f>J26</f>
        <v>100</v>
      </c>
      <c r="X26" s="1906"/>
      <c r="Y26" s="3030"/>
      <c r="Z26" s="1908" t="str">
        <f>Q26</f>
        <v>朝向</v>
      </c>
      <c r="AA26" s="1909">
        <f t="shared" si="3"/>
        <v>1.0362694300518134</v>
      </c>
      <c r="AB26" s="1909">
        <f t="shared" si="4"/>
        <v>1.0416666666666667</v>
      </c>
      <c r="AC26" s="1909">
        <f t="shared" si="5"/>
        <v>1</v>
      </c>
    </row>
    <row r="27" spans="1:29" s="35" customFormat="1" ht="15">
      <c r="A27" s="412"/>
      <c r="B27" s="2406" t="s">
        <v>2369</v>
      </c>
      <c r="C27" s="2730" t="s">
        <v>2876</v>
      </c>
      <c r="D27" s="444">
        <v>100</v>
      </c>
      <c r="E27" s="2730" t="s">
        <v>2875</v>
      </c>
      <c r="F27" s="446">
        <f>SUMIF(90:90,E27,91:91)-SUMIF(90:90,C27,91:91)+100</f>
        <v>100</v>
      </c>
      <c r="G27" s="2730" t="s">
        <v>2875</v>
      </c>
      <c r="H27" s="444">
        <f>SUMIF(90:90,G27,91:91)-SUMIF(90:90,C27,91:91)+100</f>
        <v>100</v>
      </c>
      <c r="I27" s="2730" t="s">
        <v>2875</v>
      </c>
      <c r="J27" s="444">
        <f>SUMIF(90:90,I27,91:91)-SUMIF(90:90,C27,91:91)+100</f>
        <v>100</v>
      </c>
      <c r="K27" s="2407"/>
      <c r="L27" s="1247"/>
      <c r="M27" s="1248"/>
      <c r="N27" s="1248"/>
      <c r="O27" s="1248"/>
      <c r="P27" s="3028"/>
      <c r="Q27" s="1893" t="str">
        <f t="shared" si="11"/>
        <v>道路级别</v>
      </c>
      <c r="R27" s="750" t="s">
        <v>28</v>
      </c>
      <c r="S27" s="751">
        <f>F27</f>
        <v>100</v>
      </c>
      <c r="T27" s="750" t="s">
        <v>28</v>
      </c>
      <c r="U27" s="751">
        <f>H27</f>
        <v>100</v>
      </c>
      <c r="V27" s="750" t="s">
        <v>28</v>
      </c>
      <c r="W27" s="751">
        <f>J27</f>
        <v>100</v>
      </c>
      <c r="X27" s="752"/>
      <c r="Y27" s="3030"/>
      <c r="Z27" s="23" t="str">
        <f>Q27</f>
        <v>道路级别</v>
      </c>
      <c r="AA27" s="1909">
        <f>D27/F27</f>
        <v>1</v>
      </c>
      <c r="AB27" s="1909">
        <f>D27/H27</f>
        <v>1</v>
      </c>
      <c r="AC27" s="1909">
        <f>D27/J27</f>
        <v>1</v>
      </c>
    </row>
    <row r="28" spans="1:29" ht="15.75" thickBot="1">
      <c r="A28" s="409"/>
      <c r="B28" s="2720" t="s">
        <v>2824</v>
      </c>
      <c r="C28" s="415" t="s">
        <v>2893</v>
      </c>
      <c r="D28" s="416">
        <v>100</v>
      </c>
      <c r="E28" s="2731" t="s">
        <v>2894</v>
      </c>
      <c r="F28" s="443">
        <f>SUMIF(92:92,E28,93:93)-SUMIF(92:92,C28,93:93)+100</f>
        <v>102</v>
      </c>
      <c r="G28" s="2731" t="s">
        <v>2895</v>
      </c>
      <c r="H28" s="416">
        <f>SUMIF(92:92,G28,93:93)-SUMIF(92:92,C28,93:93)+100</f>
        <v>100</v>
      </c>
      <c r="I28" s="2731" t="s">
        <v>2891</v>
      </c>
      <c r="J28" s="416">
        <f>SUMIF(92:92,I28,93:93)-SUMIF(92:92,C28,93:93)+100</f>
        <v>101</v>
      </c>
      <c r="K28" s="2407"/>
      <c r="L28" s="1255"/>
      <c r="M28" s="1246"/>
      <c r="N28" s="1246"/>
      <c r="O28" s="1246"/>
      <c r="P28" s="3028"/>
      <c r="Q28" s="1905" t="str">
        <f t="shared" si="11"/>
        <v>楼层</v>
      </c>
      <c r="R28" s="754" t="s">
        <v>28</v>
      </c>
      <c r="S28" s="755">
        <f t="shared" ref="S28:S46" si="12">F28</f>
        <v>102</v>
      </c>
      <c r="T28" s="754" t="s">
        <v>28</v>
      </c>
      <c r="U28" s="755">
        <f t="shared" ref="U28:U46" si="13">H28</f>
        <v>100</v>
      </c>
      <c r="V28" s="754" t="s">
        <v>28</v>
      </c>
      <c r="W28" s="755">
        <f t="shared" ref="W28:W46" si="14">J28</f>
        <v>101</v>
      </c>
      <c r="X28" s="1906"/>
      <c r="Y28" s="3030"/>
      <c r="Z28" s="1908" t="str">
        <f t="shared" ref="Z28:Z46" si="15">Q28</f>
        <v>楼层</v>
      </c>
      <c r="AA28" s="1909">
        <f t="shared" si="3"/>
        <v>0.98039215686274506</v>
      </c>
      <c r="AB28" s="1909">
        <f t="shared" si="4"/>
        <v>1</v>
      </c>
      <c r="AC28" s="1909">
        <f t="shared" si="5"/>
        <v>0.99009900990099009</v>
      </c>
    </row>
    <row r="29" spans="1:29" ht="15" hidden="1">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2407"/>
      <c r="L29" s="1255"/>
      <c r="M29" s="1246"/>
      <c r="N29" s="1246"/>
      <c r="O29" s="1246"/>
      <c r="P29" s="3028"/>
      <c r="Q29" s="1905">
        <f t="shared" si="11"/>
        <v>111</v>
      </c>
      <c r="R29" s="754" t="s">
        <v>28</v>
      </c>
      <c r="S29" s="755">
        <f t="shared" si="12"/>
        <v>100</v>
      </c>
      <c r="T29" s="754" t="s">
        <v>28</v>
      </c>
      <c r="U29" s="755">
        <f t="shared" si="13"/>
        <v>100</v>
      </c>
      <c r="V29" s="754" t="s">
        <v>28</v>
      </c>
      <c r="W29" s="755">
        <f t="shared" si="14"/>
        <v>100</v>
      </c>
      <c r="X29" s="1906"/>
      <c r="Y29" s="3030"/>
      <c r="Z29" s="1908">
        <f t="shared" si="15"/>
        <v>111</v>
      </c>
      <c r="AA29" s="1909">
        <f t="shared" si="3"/>
        <v>1</v>
      </c>
      <c r="AB29" s="1909">
        <f t="shared" si="4"/>
        <v>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28"/>
      <c r="Q30" s="1905">
        <f t="shared" si="11"/>
        <v>111</v>
      </c>
      <c r="R30" s="754" t="s">
        <v>28</v>
      </c>
      <c r="S30" s="755">
        <f t="shared" si="12"/>
        <v>100</v>
      </c>
      <c r="T30" s="754" t="s">
        <v>28</v>
      </c>
      <c r="U30" s="755">
        <f t="shared" si="13"/>
        <v>100</v>
      </c>
      <c r="V30" s="754" t="s">
        <v>28</v>
      </c>
      <c r="W30" s="755">
        <f t="shared" si="14"/>
        <v>100</v>
      </c>
      <c r="X30" s="1906"/>
      <c r="Y30" s="3030"/>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28"/>
      <c r="Q31" s="1905">
        <f t="shared" si="11"/>
        <v>111</v>
      </c>
      <c r="R31" s="754" t="s">
        <v>28</v>
      </c>
      <c r="S31" s="755">
        <f t="shared" si="12"/>
        <v>100</v>
      </c>
      <c r="T31" s="754" t="s">
        <v>28</v>
      </c>
      <c r="U31" s="755">
        <f t="shared" si="13"/>
        <v>100</v>
      </c>
      <c r="V31" s="754" t="s">
        <v>28</v>
      </c>
      <c r="W31" s="755">
        <f t="shared" si="14"/>
        <v>100</v>
      </c>
      <c r="X31" s="1906"/>
      <c r="Y31" s="3030"/>
      <c r="Z31" s="1908">
        <f t="shared" si="15"/>
        <v>111</v>
      </c>
      <c r="AA31" s="1909">
        <f t="shared" si="3"/>
        <v>1</v>
      </c>
      <c r="AB31" s="1909">
        <f t="shared" si="4"/>
        <v>1</v>
      </c>
      <c r="AC31" s="1909">
        <f t="shared" si="5"/>
        <v>1</v>
      </c>
    </row>
    <row r="32" spans="1:29" ht="15">
      <c r="A32" s="420" t="s">
        <v>2370</v>
      </c>
      <c r="B32" s="28" t="s">
        <v>2371</v>
      </c>
      <c r="C32" s="2420" t="s">
        <v>2867</v>
      </c>
      <c r="D32" s="449">
        <v>100</v>
      </c>
      <c r="E32" s="2421" t="s">
        <v>2867</v>
      </c>
      <c r="F32" s="443">
        <f>SUMIF(100:100,E32,101:101)-SUMIF(100:100,C32,101:101)+100</f>
        <v>100</v>
      </c>
      <c r="G32" s="2420" t="s">
        <v>2867</v>
      </c>
      <c r="H32" s="449">
        <f>SUMIF(100:100,G32,101:101)-SUMIF(100:100,C32,101:101)+100</f>
        <v>100</v>
      </c>
      <c r="I32" s="2421" t="s">
        <v>2867</v>
      </c>
      <c r="J32" s="416">
        <f>SUMIF(100:100,I32,101:101)-SUMIF(100:100,C32,101:101)+100</f>
        <v>100</v>
      </c>
      <c r="K32" s="407">
        <v>2</v>
      </c>
      <c r="L32" s="1255"/>
      <c r="M32" s="1246"/>
      <c r="N32" s="1246"/>
      <c r="O32" s="1246"/>
      <c r="P32" s="3031" t="s">
        <v>2372</v>
      </c>
      <c r="Q32" s="1905" t="str">
        <f t="shared" si="11"/>
        <v>建筑类型</v>
      </c>
      <c r="R32" s="754" t="s">
        <v>28</v>
      </c>
      <c r="S32" s="755">
        <f t="shared" si="12"/>
        <v>100</v>
      </c>
      <c r="T32" s="754" t="s">
        <v>28</v>
      </c>
      <c r="U32" s="755">
        <f t="shared" si="13"/>
        <v>100</v>
      </c>
      <c r="V32" s="754" t="s">
        <v>28</v>
      </c>
      <c r="W32" s="755">
        <f t="shared" si="14"/>
        <v>100</v>
      </c>
      <c r="X32" s="1906"/>
      <c r="Y32" s="3034" t="s">
        <v>2372</v>
      </c>
      <c r="Z32" s="1908" t="str">
        <f t="shared" si="15"/>
        <v>建筑类型</v>
      </c>
      <c r="AA32" s="1909">
        <f t="shared" si="3"/>
        <v>1</v>
      </c>
      <c r="AB32" s="1909">
        <f t="shared" si="4"/>
        <v>1</v>
      </c>
      <c r="AC32" s="1909">
        <f t="shared" si="5"/>
        <v>1</v>
      </c>
    </row>
    <row r="33" spans="1:29" s="453" customFormat="1" ht="15">
      <c r="A33" s="450"/>
      <c r="B33" s="403" t="s">
        <v>2373</v>
      </c>
      <c r="C33" s="451">
        <v>51.99</v>
      </c>
      <c r="D33" s="52">
        <v>100</v>
      </c>
      <c r="E33" s="411">
        <v>52.06</v>
      </c>
      <c r="F33" s="406">
        <f>LOOKUP(E33,103:103,104:104)-LOOKUP(C33,103:103,104:104)+100</f>
        <v>100</v>
      </c>
      <c r="G33" s="411">
        <v>68.44</v>
      </c>
      <c r="H33" s="52">
        <f>LOOKUP(G33,103:103,104:104)-LOOKUP(C33,103:103,104:104)+100</f>
        <v>100</v>
      </c>
      <c r="I33" s="411">
        <v>84.79</v>
      </c>
      <c r="J33" s="52">
        <f>LOOKUP(I33,103:103,104:104)-LOOKUP(C33,103:103,104:104)+100</f>
        <v>98</v>
      </c>
      <c r="K33" s="2407"/>
      <c r="L33" s="1253"/>
      <c r="M33" s="1256"/>
      <c r="N33" s="1256"/>
      <c r="O33" s="1256"/>
      <c r="P33" s="3032"/>
      <c r="Q33" s="756" t="str">
        <f t="shared" si="11"/>
        <v>项目建筑规模</v>
      </c>
      <c r="R33" s="757" t="s">
        <v>28</v>
      </c>
      <c r="S33" s="758">
        <f t="shared" si="12"/>
        <v>100</v>
      </c>
      <c r="T33" s="757" t="s">
        <v>28</v>
      </c>
      <c r="U33" s="758">
        <f t="shared" si="13"/>
        <v>100</v>
      </c>
      <c r="V33" s="757" t="s">
        <v>28</v>
      </c>
      <c r="W33" s="758">
        <f t="shared" si="14"/>
        <v>98</v>
      </c>
      <c r="X33" s="759"/>
      <c r="Y33" s="3034"/>
      <c r="Z33" s="760" t="str">
        <f t="shared" si="15"/>
        <v>项目建筑规模</v>
      </c>
      <c r="AA33" s="1909">
        <f t="shared" si="3"/>
        <v>1</v>
      </c>
      <c r="AB33" s="1909">
        <f t="shared" si="4"/>
        <v>1</v>
      </c>
      <c r="AC33" s="1909">
        <f t="shared" si="5"/>
        <v>1.0204081632653061</v>
      </c>
    </row>
    <row r="34" spans="1:29" ht="15">
      <c r="A34" s="454"/>
      <c r="B34" s="403" t="s">
        <v>2374</v>
      </c>
      <c r="C34" s="2422" t="s">
        <v>2892</v>
      </c>
      <c r="D34" s="416">
        <v>100</v>
      </c>
      <c r="E34" s="2423" t="s">
        <v>2892</v>
      </c>
      <c r="F34" s="443">
        <f>SUMIF(105:105,E34,106:106)-SUMIF(105:105,C34,106:106)+100</f>
        <v>100</v>
      </c>
      <c r="G34" s="2422" t="s">
        <v>2892</v>
      </c>
      <c r="H34" s="416">
        <f>SUMIF(105:105,G34,106:106)-SUMIF(105:105,C34,106:106)+100</f>
        <v>100</v>
      </c>
      <c r="I34" s="2423" t="s">
        <v>2892</v>
      </c>
      <c r="J34" s="416">
        <f>SUMIF(105:105,I34,106:106)-SUMIF(105:105,C34,106:106)+100</f>
        <v>100</v>
      </c>
      <c r="K34" s="407">
        <v>2</v>
      </c>
      <c r="L34" s="1255"/>
      <c r="M34" s="1246"/>
      <c r="N34" s="1246"/>
      <c r="O34" s="1246"/>
      <c r="P34" s="3032"/>
      <c r="Q34" s="1905" t="str">
        <f t="shared" si="11"/>
        <v>建筑结构</v>
      </c>
      <c r="R34" s="754" t="s">
        <v>28</v>
      </c>
      <c r="S34" s="755">
        <f t="shared" si="12"/>
        <v>100</v>
      </c>
      <c r="T34" s="754" t="s">
        <v>28</v>
      </c>
      <c r="U34" s="755">
        <f t="shared" si="13"/>
        <v>100</v>
      </c>
      <c r="V34" s="754" t="s">
        <v>28</v>
      </c>
      <c r="W34" s="755">
        <f t="shared" si="14"/>
        <v>100</v>
      </c>
      <c r="X34" s="1906"/>
      <c r="Y34" s="3034"/>
      <c r="Z34" s="1908" t="str">
        <f t="shared" si="15"/>
        <v>建筑结构</v>
      </c>
      <c r="AA34" s="1909">
        <f t="shared" si="3"/>
        <v>1</v>
      </c>
      <c r="AB34" s="1909">
        <f t="shared" si="4"/>
        <v>1</v>
      </c>
      <c r="AC34" s="1909">
        <f t="shared" si="5"/>
        <v>1</v>
      </c>
    </row>
    <row r="35" spans="1:29" ht="15" hidden="1">
      <c r="A35" s="454"/>
      <c r="B35" s="403" t="s">
        <v>2375</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32"/>
      <c r="Q35" s="1905" t="str">
        <f t="shared" si="11"/>
        <v>建筑品质</v>
      </c>
      <c r="R35" s="754" t="s">
        <v>28</v>
      </c>
      <c r="S35" s="755">
        <f t="shared" si="12"/>
        <v>100</v>
      </c>
      <c r="T35" s="754" t="s">
        <v>28</v>
      </c>
      <c r="U35" s="755">
        <f t="shared" si="13"/>
        <v>100</v>
      </c>
      <c r="V35" s="754" t="s">
        <v>28</v>
      </c>
      <c r="W35" s="755">
        <f t="shared" si="14"/>
        <v>100</v>
      </c>
      <c r="X35" s="1906"/>
      <c r="Y35" s="3034"/>
      <c r="Z35" s="1908" t="str">
        <f t="shared" si="15"/>
        <v>建筑品质</v>
      </c>
      <c r="AA35" s="1909">
        <f t="shared" si="3"/>
        <v>1</v>
      </c>
      <c r="AB35" s="1909">
        <f t="shared" si="4"/>
        <v>1</v>
      </c>
      <c r="AC35" s="1909">
        <f t="shared" si="5"/>
        <v>1</v>
      </c>
    </row>
    <row r="36" spans="1:29" ht="15">
      <c r="A36" s="454"/>
      <c r="B36" s="403" t="s">
        <v>2376</v>
      </c>
      <c r="C36" s="2418" t="s">
        <v>2871</v>
      </c>
      <c r="D36" s="416">
        <v>100</v>
      </c>
      <c r="E36" s="2417" t="s">
        <v>2871</v>
      </c>
      <c r="F36" s="443">
        <f>SUMIF(109:109,E36,110:110)-SUMIF(109:109,C36,110:110)+100</f>
        <v>100</v>
      </c>
      <c r="G36" s="2418" t="s">
        <v>2871</v>
      </c>
      <c r="H36" s="416">
        <f>SUMIF(109:109,G36,110:110)-SUMIF(109:109,C36,110:110)+100</f>
        <v>100</v>
      </c>
      <c r="I36" s="2417" t="s">
        <v>2871</v>
      </c>
      <c r="J36" s="416">
        <f>SUMIF(109:109,I36,110:110)-SUMIF(109:109,C36,110:110)+100</f>
        <v>100</v>
      </c>
      <c r="K36" s="407">
        <v>3</v>
      </c>
      <c r="L36" s="1255"/>
      <c r="M36" s="1246"/>
      <c r="N36" s="1246"/>
      <c r="O36" s="1246"/>
      <c r="P36" s="3032"/>
      <c r="Q36" s="1905" t="str">
        <f t="shared" si="11"/>
        <v>公共部分装修</v>
      </c>
      <c r="R36" s="754" t="s">
        <v>28</v>
      </c>
      <c r="S36" s="755">
        <f t="shared" si="12"/>
        <v>100</v>
      </c>
      <c r="T36" s="754" t="s">
        <v>28</v>
      </c>
      <c r="U36" s="755">
        <f t="shared" si="13"/>
        <v>100</v>
      </c>
      <c r="V36" s="754" t="s">
        <v>28</v>
      </c>
      <c r="W36" s="755">
        <f t="shared" si="14"/>
        <v>100</v>
      </c>
      <c r="X36" s="1906"/>
      <c r="Y36" s="3034"/>
      <c r="Z36" s="1908" t="str">
        <f t="shared" si="15"/>
        <v>公共部分装修</v>
      </c>
      <c r="AA36" s="1909">
        <f t="shared" si="3"/>
        <v>1</v>
      </c>
      <c r="AB36" s="1909">
        <f t="shared" si="4"/>
        <v>1</v>
      </c>
      <c r="AC36" s="1909">
        <f t="shared" si="5"/>
        <v>1</v>
      </c>
    </row>
    <row r="37" spans="1:29" s="35" customFormat="1" ht="15" hidden="1">
      <c r="A37" s="455"/>
      <c r="B37" s="403" t="s">
        <v>2377</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32"/>
      <c r="Q37" s="1893" t="str">
        <f t="shared" si="11"/>
        <v>成新度</v>
      </c>
      <c r="R37" s="750" t="s">
        <v>28</v>
      </c>
      <c r="S37" s="751">
        <f t="shared" si="12"/>
        <v>100</v>
      </c>
      <c r="T37" s="750" t="s">
        <v>28</v>
      </c>
      <c r="U37" s="751">
        <f t="shared" si="13"/>
        <v>100</v>
      </c>
      <c r="V37" s="750" t="s">
        <v>28</v>
      </c>
      <c r="W37" s="751">
        <f t="shared" si="14"/>
        <v>100</v>
      </c>
      <c r="X37" s="752"/>
      <c r="Y37" s="3034"/>
      <c r="Z37" s="23" t="str">
        <f t="shared" si="15"/>
        <v>成新度</v>
      </c>
      <c r="AA37" s="753">
        <f t="shared" si="3"/>
        <v>1</v>
      </c>
      <c r="AB37" s="753">
        <f t="shared" si="4"/>
        <v>1</v>
      </c>
      <c r="AC37" s="753">
        <f t="shared" si="5"/>
        <v>1</v>
      </c>
    </row>
    <row r="38" spans="1:29" ht="15">
      <c r="A38" s="454"/>
      <c r="B38" s="403" t="s">
        <v>2378</v>
      </c>
      <c r="C38" s="2418" t="s">
        <v>2855</v>
      </c>
      <c r="D38" s="416">
        <v>100</v>
      </c>
      <c r="E38" s="2417" t="s">
        <v>2855</v>
      </c>
      <c r="F38" s="443">
        <f>SUMIF(114:114,E38,115:115)-SUMIF(114:114,C38,115:115)+100</f>
        <v>100</v>
      </c>
      <c r="G38" s="2418" t="s">
        <v>2855</v>
      </c>
      <c r="H38" s="416">
        <f>SUMIF(114:114,G38,115:115)-SUMIF(114:114,C38,115:115)+100</f>
        <v>100</v>
      </c>
      <c r="I38" s="2417" t="s">
        <v>2855</v>
      </c>
      <c r="J38" s="416">
        <f>SUMIF(114:114,I38,115:115)-SUMIF(114:114,C38,115:115)+100</f>
        <v>100</v>
      </c>
      <c r="K38" s="407">
        <v>2</v>
      </c>
      <c r="L38" s="1255"/>
      <c r="M38" s="1246"/>
      <c r="N38" s="1246"/>
      <c r="O38" s="1246"/>
      <c r="P38" s="3032" t="s">
        <v>2372</v>
      </c>
      <c r="Q38" s="1905" t="str">
        <f t="shared" si="11"/>
        <v>物业管理</v>
      </c>
      <c r="R38" s="754" t="s">
        <v>28</v>
      </c>
      <c r="S38" s="755">
        <f t="shared" si="12"/>
        <v>100</v>
      </c>
      <c r="T38" s="754" t="s">
        <v>28</v>
      </c>
      <c r="U38" s="755">
        <f t="shared" si="13"/>
        <v>100</v>
      </c>
      <c r="V38" s="754" t="s">
        <v>28</v>
      </c>
      <c r="W38" s="755">
        <f t="shared" si="14"/>
        <v>100</v>
      </c>
      <c r="X38" s="1906"/>
      <c r="Y38" s="3034" t="s">
        <v>2372</v>
      </c>
      <c r="Z38" s="1908" t="str">
        <f t="shared" si="15"/>
        <v>物业管理</v>
      </c>
      <c r="AA38" s="1909">
        <f t="shared" si="3"/>
        <v>1</v>
      </c>
      <c r="AB38" s="1909">
        <f t="shared" si="4"/>
        <v>1</v>
      </c>
      <c r="AC38" s="1909">
        <f t="shared" si="5"/>
        <v>1</v>
      </c>
    </row>
    <row r="39" spans="1:29" ht="15">
      <c r="A39" s="454"/>
      <c r="B39" s="403" t="s">
        <v>2379</v>
      </c>
      <c r="C39" s="2418" t="s">
        <v>2868</v>
      </c>
      <c r="D39" s="416">
        <v>100</v>
      </c>
      <c r="E39" s="2417" t="s">
        <v>2868</v>
      </c>
      <c r="F39" s="443">
        <f>SUMIF(116:116,E39,117:117)-SUMIF(116:116,C39,117:117)+100</f>
        <v>100</v>
      </c>
      <c r="G39" s="2418" t="s">
        <v>2868</v>
      </c>
      <c r="H39" s="416">
        <f>SUMIF(116:116,G39,117:117)-SUMIF(116:116,C39,117:117)+100</f>
        <v>100</v>
      </c>
      <c r="I39" s="2417" t="s">
        <v>2868</v>
      </c>
      <c r="J39" s="416">
        <f>SUMIF(116:116,I39,117:117)-SUMIF(116:116,C39,117:117)+100</f>
        <v>100</v>
      </c>
      <c r="K39" s="407">
        <v>2</v>
      </c>
      <c r="L39" s="1255"/>
      <c r="M39" s="1246"/>
      <c r="N39" s="1246"/>
      <c r="O39" s="1246"/>
      <c r="P39" s="3032"/>
      <c r="Q39" s="1905" t="str">
        <f t="shared" si="11"/>
        <v>市政基础设施</v>
      </c>
      <c r="R39" s="754" t="s">
        <v>28</v>
      </c>
      <c r="S39" s="755">
        <f t="shared" si="12"/>
        <v>100</v>
      </c>
      <c r="T39" s="754" t="s">
        <v>28</v>
      </c>
      <c r="U39" s="755">
        <f t="shared" si="13"/>
        <v>100</v>
      </c>
      <c r="V39" s="754" t="s">
        <v>28</v>
      </c>
      <c r="W39" s="755">
        <f t="shared" si="14"/>
        <v>100</v>
      </c>
      <c r="X39" s="1906"/>
      <c r="Y39" s="3034"/>
      <c r="Z39" s="1908" t="str">
        <f t="shared" si="15"/>
        <v>市政基础设施</v>
      </c>
      <c r="AA39" s="1909">
        <f t="shared" si="3"/>
        <v>1</v>
      </c>
      <c r="AB39" s="1909">
        <f t="shared" si="4"/>
        <v>1</v>
      </c>
      <c r="AC39" s="1909">
        <f t="shared" si="5"/>
        <v>1</v>
      </c>
    </row>
    <row r="40" spans="1:29" ht="15">
      <c r="A40" s="454"/>
      <c r="B40" s="403" t="s">
        <v>2380</v>
      </c>
      <c r="C40" s="2418" t="s">
        <v>2870</v>
      </c>
      <c r="D40" s="416">
        <v>100</v>
      </c>
      <c r="E40" s="2417" t="s">
        <v>2870</v>
      </c>
      <c r="F40" s="443">
        <f>SUMIF(118:118,E40,119:119)-SUMIF(118:118,C40,119:119)+100</f>
        <v>100</v>
      </c>
      <c r="G40" s="2418" t="s">
        <v>2870</v>
      </c>
      <c r="H40" s="416">
        <f>SUMIF(118:118,G40,119:119)-SUMIF(118:118,C40,119:119)+100</f>
        <v>100</v>
      </c>
      <c r="I40" s="2417" t="s">
        <v>2870</v>
      </c>
      <c r="J40" s="416">
        <f>SUMIF(118:118,I40,119:119)-SUMIF(118:118,C40,119:119)+100</f>
        <v>100</v>
      </c>
      <c r="K40" s="407">
        <v>5</v>
      </c>
      <c r="L40" s="1255"/>
      <c r="M40" s="1246"/>
      <c r="N40" s="1246"/>
      <c r="O40" s="1246"/>
      <c r="P40" s="3032"/>
      <c r="Q40" s="1905" t="str">
        <f t="shared" si="11"/>
        <v>房型</v>
      </c>
      <c r="R40" s="754" t="s">
        <v>28</v>
      </c>
      <c r="S40" s="755">
        <f t="shared" si="12"/>
        <v>100</v>
      </c>
      <c r="T40" s="754" t="s">
        <v>28</v>
      </c>
      <c r="U40" s="755">
        <f t="shared" si="13"/>
        <v>100</v>
      </c>
      <c r="V40" s="754" t="s">
        <v>28</v>
      </c>
      <c r="W40" s="755">
        <f t="shared" si="14"/>
        <v>100</v>
      </c>
      <c r="X40" s="1906"/>
      <c r="Y40" s="3034"/>
      <c r="Z40" s="1908" t="str">
        <f t="shared" si="15"/>
        <v>房型</v>
      </c>
      <c r="AA40" s="1909">
        <f t="shared" si="3"/>
        <v>1</v>
      </c>
      <c r="AB40" s="1909">
        <f t="shared" si="4"/>
        <v>1</v>
      </c>
      <c r="AC40" s="1909">
        <f t="shared" si="5"/>
        <v>1</v>
      </c>
    </row>
    <row r="41" spans="1:29" s="453" customFormat="1" ht="28.5" hidden="1">
      <c r="A41" s="450"/>
      <c r="B41" s="403" t="s">
        <v>2381</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32"/>
      <c r="Q41" s="756" t="str">
        <f t="shared" si="11"/>
        <v>单套/主力户型建筑面积</v>
      </c>
      <c r="R41" s="757" t="s">
        <v>28</v>
      </c>
      <c r="S41" s="758">
        <f t="shared" si="12"/>
        <v>100</v>
      </c>
      <c r="T41" s="757" t="s">
        <v>28</v>
      </c>
      <c r="U41" s="758">
        <f t="shared" si="13"/>
        <v>100</v>
      </c>
      <c r="V41" s="757" t="s">
        <v>28</v>
      </c>
      <c r="W41" s="758">
        <f t="shared" si="14"/>
        <v>100</v>
      </c>
      <c r="X41" s="759"/>
      <c r="Y41" s="3034"/>
      <c r="Z41" s="760" t="str">
        <f t="shared" si="15"/>
        <v>单套/主力户型建筑面积</v>
      </c>
      <c r="AA41" s="1909">
        <f t="shared" si="3"/>
        <v>1</v>
      </c>
      <c r="AB41" s="1909">
        <f t="shared" si="4"/>
        <v>1</v>
      </c>
      <c r="AC41" s="1909">
        <f t="shared" si="5"/>
        <v>1</v>
      </c>
    </row>
    <row r="42" spans="1:29" ht="15">
      <c r="A42" s="454"/>
      <c r="B42" s="403" t="s">
        <v>2382</v>
      </c>
      <c r="C42" s="2418" t="s">
        <v>2871</v>
      </c>
      <c r="D42" s="416">
        <v>100</v>
      </c>
      <c r="E42" s="2417" t="s">
        <v>2852</v>
      </c>
      <c r="F42" s="443">
        <f>SUMIF(122:122,E42,123:123)-SUMIF(122:122,C42,123:123)+100</f>
        <v>102</v>
      </c>
      <c r="G42" s="2418" t="s">
        <v>2852</v>
      </c>
      <c r="H42" s="416">
        <f>SUMIF(122:122,G42,123:123)-SUMIF(122:122,C42,123:123)+100</f>
        <v>102</v>
      </c>
      <c r="I42" s="2417" t="s">
        <v>2852</v>
      </c>
      <c r="J42" s="416">
        <f>SUMIF(122:122,I42,123:123)-SUMIF(122:122,C42,123:123)+100</f>
        <v>102</v>
      </c>
      <c r="K42" s="407">
        <v>2</v>
      </c>
      <c r="L42" s="1255"/>
      <c r="M42" s="1246"/>
      <c r="N42" s="1246"/>
      <c r="O42" s="1246"/>
      <c r="P42" s="3032"/>
      <c r="Q42" s="1905" t="str">
        <f t="shared" si="11"/>
        <v>内部装修</v>
      </c>
      <c r="R42" s="754" t="s">
        <v>28</v>
      </c>
      <c r="S42" s="755">
        <f t="shared" si="12"/>
        <v>102</v>
      </c>
      <c r="T42" s="754" t="s">
        <v>28</v>
      </c>
      <c r="U42" s="755">
        <f t="shared" si="13"/>
        <v>102</v>
      </c>
      <c r="V42" s="754" t="s">
        <v>28</v>
      </c>
      <c r="W42" s="755">
        <f t="shared" si="14"/>
        <v>102</v>
      </c>
      <c r="X42" s="1906"/>
      <c r="Y42" s="3034"/>
      <c r="Z42" s="1908" t="str">
        <f t="shared" si="15"/>
        <v>内部装修</v>
      </c>
      <c r="AA42" s="1909">
        <f t="shared" si="3"/>
        <v>0.98039215686274506</v>
      </c>
      <c r="AB42" s="1909">
        <f t="shared" si="4"/>
        <v>0.98039215686274506</v>
      </c>
      <c r="AC42" s="1909">
        <f t="shared" si="5"/>
        <v>0.98039215686274506</v>
      </c>
    </row>
    <row r="43" spans="1:29" ht="15">
      <c r="A43" s="454"/>
      <c r="B43" s="403" t="s">
        <v>2383</v>
      </c>
      <c r="C43" s="2418" t="s">
        <v>31</v>
      </c>
      <c r="D43" s="416">
        <v>100</v>
      </c>
      <c r="E43" s="2417" t="s">
        <v>30</v>
      </c>
      <c r="F43" s="443">
        <f>SUMIF(124:124,E43,125:125)-SUMIF(124:124,C43,125:125)+100</f>
        <v>102</v>
      </c>
      <c r="G43" s="2418" t="s">
        <v>30</v>
      </c>
      <c r="H43" s="416">
        <f>SUMIF(124:124,G43,125:125)-SUMIF(124:124,C43,125:125)+100</f>
        <v>102</v>
      </c>
      <c r="I43" s="2417" t="s">
        <v>30</v>
      </c>
      <c r="J43" s="416">
        <f>SUMIF(124:124,I43,125:125)-SUMIF(124:124,C43,125:125)+100</f>
        <v>102</v>
      </c>
      <c r="K43" s="407">
        <v>2</v>
      </c>
      <c r="L43" s="1255"/>
      <c r="M43" s="1246"/>
      <c r="N43" s="1246"/>
      <c r="O43" s="1246"/>
      <c r="P43" s="3032"/>
      <c r="Q43" s="1905" t="str">
        <f t="shared" si="11"/>
        <v>内部装修维护情况</v>
      </c>
      <c r="R43" s="754" t="s">
        <v>28</v>
      </c>
      <c r="S43" s="755">
        <f t="shared" si="12"/>
        <v>102</v>
      </c>
      <c r="T43" s="754" t="s">
        <v>28</v>
      </c>
      <c r="U43" s="755">
        <f t="shared" si="13"/>
        <v>102</v>
      </c>
      <c r="V43" s="754" t="s">
        <v>28</v>
      </c>
      <c r="W43" s="755">
        <f t="shared" si="14"/>
        <v>102</v>
      </c>
      <c r="X43" s="1906"/>
      <c r="Y43" s="3034"/>
      <c r="Z43" s="1908" t="str">
        <f t="shared" si="15"/>
        <v>内部装修维护情况</v>
      </c>
      <c r="AA43" s="1909">
        <f t="shared" si="3"/>
        <v>0.98039215686274506</v>
      </c>
      <c r="AB43" s="1909">
        <f t="shared" si="4"/>
        <v>0.98039215686274506</v>
      </c>
      <c r="AC43" s="1909">
        <f t="shared" si="5"/>
        <v>0.98039215686274506</v>
      </c>
    </row>
    <row r="44" spans="1:29" s="35" customFormat="1" ht="15.75" thickBot="1">
      <c r="A44" s="455"/>
      <c r="B44" s="2720" t="s">
        <v>2823</v>
      </c>
      <c r="C44" s="451">
        <v>1998</v>
      </c>
      <c r="D44" s="52">
        <v>100</v>
      </c>
      <c r="E44" s="451">
        <v>1998</v>
      </c>
      <c r="F44" s="406">
        <f>SUMIF(126:126,E44,127:127)-SUMIF(126:126,C44,127:127)+100</f>
        <v>100</v>
      </c>
      <c r="G44" s="451">
        <v>1998</v>
      </c>
      <c r="H44" s="52">
        <f>SUMIF(126:126,G44,127:127)-SUMIF(126:126,C44,127:127)+100</f>
        <v>100</v>
      </c>
      <c r="I44" s="451">
        <v>1998</v>
      </c>
      <c r="J44" s="52">
        <f>SUMIF(126:126,I44,127:127)-SUMIF(126:126,C44,127:127)+100</f>
        <v>100</v>
      </c>
      <c r="K44" s="2407"/>
      <c r="L44" s="1247"/>
      <c r="M44" s="1248"/>
      <c r="N44" s="1248"/>
      <c r="O44" s="1248"/>
      <c r="P44" s="3032"/>
      <c r="Q44" s="1893" t="str">
        <f t="shared" si="11"/>
        <v>建成年代</v>
      </c>
      <c r="R44" s="750" t="s">
        <v>28</v>
      </c>
      <c r="S44" s="751">
        <f t="shared" si="12"/>
        <v>100</v>
      </c>
      <c r="T44" s="750" t="s">
        <v>28</v>
      </c>
      <c r="U44" s="751">
        <f t="shared" si="13"/>
        <v>100</v>
      </c>
      <c r="V44" s="750" t="s">
        <v>28</v>
      </c>
      <c r="W44" s="751">
        <f t="shared" si="14"/>
        <v>100</v>
      </c>
      <c r="X44" s="752"/>
      <c r="Y44" s="3034"/>
      <c r="Z44" s="23" t="str">
        <f t="shared" si="15"/>
        <v>建成年代</v>
      </c>
      <c r="AA44" s="753">
        <f t="shared" si="3"/>
        <v>1</v>
      </c>
      <c r="AB44" s="753">
        <f t="shared" si="4"/>
        <v>1</v>
      </c>
      <c r="AC44" s="753">
        <f t="shared" si="5"/>
        <v>1</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32"/>
      <c r="Q45" s="1905">
        <f t="shared" si="11"/>
        <v>111</v>
      </c>
      <c r="R45" s="754" t="s">
        <v>28</v>
      </c>
      <c r="S45" s="755">
        <f t="shared" si="12"/>
        <v>100</v>
      </c>
      <c r="T45" s="754" t="s">
        <v>28</v>
      </c>
      <c r="U45" s="755">
        <f t="shared" si="13"/>
        <v>100</v>
      </c>
      <c r="V45" s="754" t="s">
        <v>28</v>
      </c>
      <c r="W45" s="755">
        <f t="shared" si="14"/>
        <v>100</v>
      </c>
      <c r="X45" s="1906"/>
      <c r="Y45" s="3034"/>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33"/>
      <c r="Q46" s="1905">
        <f t="shared" si="11"/>
        <v>111</v>
      </c>
      <c r="R46" s="754" t="s">
        <v>27</v>
      </c>
      <c r="S46" s="755">
        <f t="shared" si="12"/>
        <v>100</v>
      </c>
      <c r="T46" s="754" t="s">
        <v>27</v>
      </c>
      <c r="U46" s="755">
        <f t="shared" si="13"/>
        <v>100</v>
      </c>
      <c r="V46" s="754" t="s">
        <v>27</v>
      </c>
      <c r="W46" s="755">
        <f t="shared" si="14"/>
        <v>100</v>
      </c>
      <c r="X46" s="1906"/>
      <c r="Y46" s="3035"/>
      <c r="Z46" s="1908">
        <f t="shared" si="15"/>
        <v>111</v>
      </c>
      <c r="AA46" s="1909">
        <f t="shared" si="3"/>
        <v>1</v>
      </c>
      <c r="AB46" s="1909">
        <f t="shared" si="4"/>
        <v>1</v>
      </c>
      <c r="AC46" s="1909">
        <f t="shared" si="5"/>
        <v>1</v>
      </c>
    </row>
    <row r="47" spans="1:29" ht="15">
      <c r="A47" s="461" t="s">
        <v>2384</v>
      </c>
      <c r="B47" s="462"/>
      <c r="C47" s="1504" t="s">
        <v>26</v>
      </c>
      <c r="D47" s="1505"/>
      <c r="E47" s="1506">
        <v>54457</v>
      </c>
      <c r="F47" s="1507"/>
      <c r="G47" s="1508">
        <v>52601</v>
      </c>
      <c r="H47" s="1509"/>
      <c r="I47" s="1506">
        <v>52247</v>
      </c>
      <c r="J47" s="1509"/>
      <c r="K47" s="2424"/>
      <c r="L47" s="1258"/>
      <c r="M47" s="1259"/>
      <c r="N47" s="1246"/>
      <c r="O47" s="1259"/>
      <c r="P47" s="3026" t="str">
        <f>A47</f>
        <v>成交单价（元/平方米）</v>
      </c>
      <c r="Q47" s="3026"/>
      <c r="R47" s="3022">
        <f>E47</f>
        <v>54457</v>
      </c>
      <c r="S47" s="3022"/>
      <c r="T47" s="3022">
        <f>G47</f>
        <v>52601</v>
      </c>
      <c r="U47" s="3022"/>
      <c r="V47" s="3022">
        <f>I47</f>
        <v>52247</v>
      </c>
      <c r="W47" s="3022"/>
      <c r="X47" s="739"/>
      <c r="Y47" s="761"/>
      <c r="Z47" s="739"/>
      <c r="AA47" s="739"/>
      <c r="AB47" s="739"/>
      <c r="AC47" s="739"/>
    </row>
    <row r="48" spans="1:29" ht="15.75" thickBot="1">
      <c r="A48" s="468" t="s">
        <v>2385</v>
      </c>
      <c r="B48" s="469"/>
      <c r="C48" s="1510">
        <f>R49</f>
        <v>52731</v>
      </c>
      <c r="D48" s="1511"/>
      <c r="E48" s="1512">
        <f>R48</f>
        <v>53725</v>
      </c>
      <c r="F48" s="1512"/>
      <c r="G48" s="1510">
        <f>T48</f>
        <v>53208</v>
      </c>
      <c r="H48" s="1511"/>
      <c r="I48" s="1512">
        <f>V48</f>
        <v>51259</v>
      </c>
      <c r="J48" s="1511"/>
      <c r="K48" s="2425"/>
      <c r="L48" s="1258"/>
      <c r="M48" s="1259"/>
      <c r="N48" s="1259"/>
      <c r="O48" s="1259"/>
      <c r="P48" s="3026" t="str">
        <f>A48</f>
        <v>比较价值（元/平方米）</v>
      </c>
      <c r="Q48" s="3026"/>
      <c r="R48" s="3022">
        <f>IF(E1="售价",ROUND(PRODUCT(R47,AA7:AA46),0),ROUND(PRODUCT(R47,AA7:AA46),1))</f>
        <v>53725</v>
      </c>
      <c r="S48" s="3022"/>
      <c r="T48" s="3020">
        <f>IF(E1="售价",ROUND(PRODUCT(T47,AB7:AB46),0),ROUND(PRODUCT(T47,AB7:AB46),1))</f>
        <v>53208</v>
      </c>
      <c r="U48" s="3021"/>
      <c r="V48" s="3022">
        <f>IF(E1="售价",ROUND(PRODUCT(V47,AC7:AC46),0),ROUND(PRODUCT(V47,AC7:AC46),1))</f>
        <v>51259</v>
      </c>
      <c r="W48" s="3022"/>
      <c r="X48" s="739"/>
      <c r="Y48" s="739"/>
      <c r="Z48" s="739"/>
      <c r="AA48" s="739"/>
      <c r="AB48" s="739"/>
      <c r="AC48" s="739"/>
    </row>
    <row r="49" spans="1:29" ht="15.75" thickBot="1">
      <c r="A49" s="474" t="s">
        <v>2386</v>
      </c>
      <c r="B49" s="475"/>
      <c r="C49" s="1513">
        <f>R49</f>
        <v>52731</v>
      </c>
      <c r="D49" s="1514"/>
      <c r="E49" s="1514"/>
      <c r="F49" s="1514"/>
      <c r="G49" s="1514"/>
      <c r="H49" s="1514"/>
      <c r="I49" s="1514"/>
      <c r="J49" s="1514"/>
      <c r="K49" s="2426"/>
      <c r="L49" s="1258"/>
      <c r="M49" s="1259"/>
      <c r="N49" s="1259"/>
      <c r="O49" s="1259"/>
      <c r="P49" s="3023" t="str">
        <f>A49</f>
        <v>估价对象XX用房的比较价值（楼面单价，元/平方米）</v>
      </c>
      <c r="Q49" s="3024"/>
      <c r="R49" s="3025">
        <f>IF(E1="售价",ROUND(AVERAGE(R48:V48),0),ROUND(AVERAGE(R48:V48),1))</f>
        <v>52731</v>
      </c>
      <c r="S49" s="3025"/>
      <c r="T49" s="3025"/>
      <c r="U49" s="3025"/>
      <c r="V49" s="3025"/>
      <c r="W49" s="302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2387</v>
      </c>
      <c r="D52" s="480"/>
      <c r="E52" s="481">
        <f>IF(E47&lt;E48,E48/E47-1,E47/E48-1)</f>
        <v>1.3624941833410897E-2</v>
      </c>
      <c r="F52" s="482" t="str">
        <f>IF(OR(E52&gt;=0.3,E52&lt;=-0.3),"超过30%","")</f>
        <v/>
      </c>
      <c r="G52" s="481">
        <f>IF(G47&lt;G48,G48/G47-1,G47/G48-1)</f>
        <v>1.1539704568354292E-2</v>
      </c>
      <c r="H52" s="482" t="str">
        <f>IF(OR(G52&gt;=0.3,G52&lt;=-0.3),"超过30%","")</f>
        <v/>
      </c>
      <c r="I52" s="481">
        <f>IF(I47&lt;I48,I48/I47-1,I47/I48-1)</f>
        <v>1.9274663961450722E-2</v>
      </c>
      <c r="J52" s="482" t="str">
        <f>IF(OR(I52&gt;=0.3,I52&lt;=-0.3),"超过30%","")</f>
        <v/>
      </c>
      <c r="K52" s="1264"/>
      <c r="L52" s="1260"/>
      <c r="M52" s="1259"/>
      <c r="N52" s="1259"/>
      <c r="O52" s="1259"/>
    </row>
    <row r="53" spans="1:29" ht="13.5" customHeight="1">
      <c r="A53" s="1259"/>
      <c r="B53" s="1259"/>
      <c r="C53" s="479" t="s">
        <v>2388</v>
      </c>
      <c r="D53" s="483"/>
      <c r="E53" s="481">
        <f>IF(E48&lt;G48,G48/E48-1,E48/G48-1)</f>
        <v>9.7165839723349912E-3</v>
      </c>
      <c r="F53" s="482" t="str">
        <f>IF(OR(E53&gt;=0.2,E53&lt;=-0.2),"超过20%","")</f>
        <v/>
      </c>
      <c r="G53" s="481">
        <f>IF(G48&lt;I48,I48/G48-1,G48/I48-1)</f>
        <v>3.8022591154724061E-2</v>
      </c>
      <c r="H53" s="482" t="str">
        <f>IF(OR(G53&gt;=0.2,G53&lt;=-0.2),"超过20%","")</f>
        <v/>
      </c>
      <c r="I53" s="481">
        <f>IF(I48&lt;E48,E48/I48-1,I48/E48-1)</f>
        <v>4.8108624826859625E-2</v>
      </c>
      <c r="J53" s="482" t="str">
        <f>IF(OR(I53&gt;=0.2,I53&lt;=-0.2),"超过20%","")</f>
        <v/>
      </c>
      <c r="K53" s="1264"/>
      <c r="L53" s="1260"/>
      <c r="M53" s="1259"/>
      <c r="N53" s="1259"/>
      <c r="O53" s="1259"/>
    </row>
    <row r="54" spans="1:29" s="484" customFormat="1" ht="13.5" customHeight="1">
      <c r="A54" s="1261"/>
      <c r="B54" s="1261"/>
      <c r="C54" s="479" t="s">
        <v>2389</v>
      </c>
      <c r="D54" s="483"/>
      <c r="E54" s="481">
        <f>IF(E47&lt;G47,G47/E47-1,E47/G47-1)</f>
        <v>3.5284500294671117E-2</v>
      </c>
      <c r="F54" s="482" t="str">
        <f>IF(OR(E54&gt;=0.3,E54&lt;=-0.3),"超过30%","")</f>
        <v/>
      </c>
      <c r="G54" s="481">
        <f>IF(G47&lt;I47,I47/G47-1,G47/I47-1)</f>
        <v>6.7755086416445565E-3</v>
      </c>
      <c r="H54" s="482" t="str">
        <f>IF(OR(G54&gt;=0.3,G54&lt;=-0.3),"超过30%","")</f>
        <v/>
      </c>
      <c r="I54" s="481">
        <f>IF(I47&lt;E47,E47/I47-1,I47/E47-1)</f>
        <v>4.2299079372978277E-2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2390</v>
      </c>
      <c r="B57" s="739"/>
      <c r="C57" s="744"/>
      <c r="D57" s="744"/>
      <c r="E57" s="744"/>
      <c r="F57" s="745"/>
      <c r="G57" s="745"/>
      <c r="H57" s="744"/>
      <c r="I57" s="744"/>
      <c r="J57" s="744"/>
      <c r="K57" s="746"/>
      <c r="L57" s="747"/>
      <c r="M57" s="744"/>
      <c r="N57" s="744"/>
      <c r="O57" s="744"/>
      <c r="P57" s="2429"/>
      <c r="Q57" s="486"/>
    </row>
    <row r="58" spans="1:29" s="490" customFormat="1" ht="15">
      <c r="A58" s="487" t="s">
        <v>2391</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v>100</v>
      </c>
      <c r="E59" s="494">
        <v>101</v>
      </c>
      <c r="F59" s="494">
        <v>101</v>
      </c>
      <c r="G59" s="494">
        <v>101</v>
      </c>
      <c r="H59" s="494">
        <v>102</v>
      </c>
      <c r="I59" s="494">
        <v>102</v>
      </c>
      <c r="J59" s="494">
        <v>102</v>
      </c>
      <c r="K59" s="494">
        <v>103</v>
      </c>
      <c r="L59" s="494">
        <v>103</v>
      </c>
      <c r="M59" s="495">
        <v>103</v>
      </c>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2393</v>
      </c>
      <c r="B61" s="492"/>
      <c r="C61" s="504" t="s">
        <v>2394</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2364</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2417</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2418</v>
      </c>
      <c r="C88" s="2728" t="s">
        <v>2825</v>
      </c>
      <c r="D88" s="2728" t="s">
        <v>2826</v>
      </c>
      <c r="E88" s="2728" t="s">
        <v>2827</v>
      </c>
      <c r="F88" s="2728" t="s">
        <v>2828</v>
      </c>
      <c r="G88" s="2728" t="s">
        <v>2829</v>
      </c>
      <c r="H88" s="2728" t="s">
        <v>2830</v>
      </c>
      <c r="I88" s="2728" t="s">
        <v>2831</v>
      </c>
      <c r="J88" s="2728" t="s">
        <v>2832</v>
      </c>
      <c r="K88" s="2728" t="s">
        <v>2833</v>
      </c>
      <c r="L88" s="2729" t="s">
        <v>2885</v>
      </c>
      <c r="M88" s="2744" t="s">
        <v>2887</v>
      </c>
      <c r="N88" s="1268"/>
      <c r="O88" s="1268"/>
      <c r="P88" s="2433"/>
      <c r="Q88" s="486"/>
    </row>
    <row r="89" spans="1:17" s="35" customFormat="1" ht="15.75" thickBot="1">
      <c r="A89" s="564"/>
      <c r="B89" s="527"/>
      <c r="C89" s="567">
        <v>100</v>
      </c>
      <c r="D89" s="528">
        <f t="shared" ref="D89:M89" si="21">C89-$K26</f>
        <v>99.5</v>
      </c>
      <c r="E89" s="528">
        <f t="shared" si="21"/>
        <v>99</v>
      </c>
      <c r="F89" s="528">
        <f t="shared" si="21"/>
        <v>98.5</v>
      </c>
      <c r="G89" s="528">
        <f t="shared" si="21"/>
        <v>98</v>
      </c>
      <c r="H89" s="528">
        <f t="shared" si="21"/>
        <v>97.5</v>
      </c>
      <c r="I89" s="528">
        <f t="shared" si="21"/>
        <v>97</v>
      </c>
      <c r="J89" s="528">
        <f t="shared" si="21"/>
        <v>96.5</v>
      </c>
      <c r="K89" s="528">
        <f t="shared" si="21"/>
        <v>96</v>
      </c>
      <c r="L89" s="528">
        <f t="shared" si="21"/>
        <v>95.5</v>
      </c>
      <c r="M89" s="528">
        <f t="shared" si="21"/>
        <v>95</v>
      </c>
      <c r="N89" s="1270"/>
      <c r="O89" s="1270"/>
      <c r="P89" s="2433"/>
      <c r="Q89" s="486"/>
    </row>
    <row r="90" spans="1:17" s="453" customFormat="1" ht="15.75" thickTop="1">
      <c r="A90" s="537"/>
      <c r="B90" s="522" t="str">
        <f>B27</f>
        <v>道路级别</v>
      </c>
      <c r="C90" s="2728" t="s">
        <v>2834</v>
      </c>
      <c r="D90" s="2728" t="s">
        <v>2835</v>
      </c>
      <c r="E90" s="2728" t="s">
        <v>2836</v>
      </c>
      <c r="F90" s="2728" t="s">
        <v>2837</v>
      </c>
      <c r="G90" s="2728" t="s">
        <v>2838</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thickTop="1">
      <c r="A92" s="517"/>
      <c r="B92" s="522" t="str">
        <f>B28</f>
        <v>楼层</v>
      </c>
      <c r="C92" s="415" t="s">
        <v>2888</v>
      </c>
      <c r="D92" s="2731" t="s">
        <v>2877</v>
      </c>
      <c r="E92" s="2731" t="s">
        <v>2889</v>
      </c>
      <c r="F92" s="2731" t="s">
        <v>2890</v>
      </c>
      <c r="G92" s="568"/>
      <c r="H92" s="568"/>
      <c r="I92" s="568"/>
      <c r="J92" s="568"/>
      <c r="K92" s="569"/>
      <c r="L92" s="570"/>
      <c r="M92" s="571"/>
      <c r="N92" s="1269"/>
      <c r="O92" s="1269"/>
      <c r="P92" s="2433"/>
      <c r="Q92" s="486"/>
    </row>
    <row r="93" spans="1:17" ht="15.75" thickBot="1">
      <c r="A93" s="517"/>
      <c r="B93" s="527"/>
      <c r="C93" s="545">
        <v>100</v>
      </c>
      <c r="D93" s="519">
        <v>102</v>
      </c>
      <c r="E93" s="519">
        <v>100</v>
      </c>
      <c r="F93" s="519">
        <v>101</v>
      </c>
      <c r="G93" s="519"/>
      <c r="H93" s="519"/>
      <c r="I93" s="519"/>
      <c r="J93" s="519"/>
      <c r="K93" s="519"/>
      <c r="L93" s="519"/>
      <c r="M93" s="520"/>
      <c r="N93" s="1270"/>
      <c r="O93" s="1270"/>
      <c r="P93" s="2433"/>
      <c r="Q93" s="486"/>
    </row>
    <row r="94" spans="1:17" ht="15.75" hidden="1" thickTop="1">
      <c r="A94" s="517"/>
      <c r="B94" s="522">
        <f>B29</f>
        <v>111</v>
      </c>
      <c r="C94" s="538"/>
      <c r="D94" s="538"/>
      <c r="E94" s="538"/>
      <c r="F94" s="538"/>
      <c r="G94" s="568"/>
      <c r="H94" s="568"/>
      <c r="I94" s="568"/>
      <c r="J94" s="568"/>
      <c r="K94" s="569"/>
      <c r="L94" s="570"/>
      <c r="M94" s="571"/>
      <c r="N94" s="1269"/>
      <c r="O94" s="1269"/>
      <c r="P94" s="2433"/>
      <c r="Q94" s="486"/>
    </row>
    <row r="95" spans="1:17" ht="15.75" hidden="1" thickBot="1">
      <c r="A95" s="517"/>
      <c r="B95" s="527"/>
      <c r="C95" s="545"/>
      <c r="D95" s="545"/>
      <c r="E95" s="545"/>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2370</v>
      </c>
      <c r="B100" s="510" t="s">
        <v>2419</v>
      </c>
      <c r="C100" s="2732" t="s">
        <v>2839</v>
      </c>
      <c r="D100" s="2732" t="s">
        <v>2840</v>
      </c>
      <c r="E100" s="2733" t="s">
        <v>2843</v>
      </c>
      <c r="F100" s="2732" t="s">
        <v>2841</v>
      </c>
      <c r="G100" s="2732" t="s">
        <v>2842</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2420</v>
      </c>
      <c r="C102" s="563" t="str">
        <f>C103&amp;"(含)"&amp;"-"&amp;D103</f>
        <v>0(含)-40</v>
      </c>
      <c r="D102" s="563" t="str">
        <f t="shared" ref="D102:L102" si="23">D103&amp;"(含)"&amp;"-"&amp;E103</f>
        <v>40(含)-80</v>
      </c>
      <c r="E102" s="563" t="str">
        <f t="shared" si="23"/>
        <v>80(含)-120</v>
      </c>
      <c r="F102" s="563" t="str">
        <f t="shared" si="23"/>
        <v>120(含)-160</v>
      </c>
      <c r="G102" s="563" t="str">
        <f t="shared" si="23"/>
        <v>160(含)-200</v>
      </c>
      <c r="H102" s="563" t="str">
        <f t="shared" si="23"/>
        <v>200(含)-240</v>
      </c>
      <c r="I102" s="563" t="str">
        <f t="shared" si="23"/>
        <v>240(含)-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40</v>
      </c>
      <c r="E103" s="580">
        <v>80</v>
      </c>
      <c r="F103" s="580">
        <v>120</v>
      </c>
      <c r="G103" s="580">
        <v>160</v>
      </c>
      <c r="H103" s="580">
        <v>200</v>
      </c>
      <c r="I103" s="580">
        <v>240</v>
      </c>
      <c r="J103" s="581"/>
      <c r="K103" s="581"/>
      <c r="L103" s="582"/>
      <c r="M103" s="583"/>
      <c r="N103" s="1271"/>
      <c r="O103" s="1271"/>
      <c r="P103" s="2434"/>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4"/>
      <c r="Q104" s="544"/>
    </row>
    <row r="105" spans="1:17" ht="15" thickTop="1">
      <c r="A105" s="584"/>
      <c r="B105" s="522" t="s">
        <v>2421</v>
      </c>
      <c r="C105" s="2728" t="s">
        <v>2844</v>
      </c>
      <c r="D105" s="2728" t="s">
        <v>2845</v>
      </c>
      <c r="E105" s="2734" t="s">
        <v>2846</v>
      </c>
      <c r="F105" s="2734" t="s">
        <v>2847</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2422</v>
      </c>
      <c r="C107" s="2728" t="s">
        <v>2848</v>
      </c>
      <c r="D107" s="2728" t="s">
        <v>2849</v>
      </c>
      <c r="E107" s="2728" t="s">
        <v>2850</v>
      </c>
      <c r="F107" s="2734" t="s">
        <v>2851</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2423</v>
      </c>
      <c r="C109" s="2728" t="s">
        <v>2848</v>
      </c>
      <c r="D109" s="2728" t="s">
        <v>2849</v>
      </c>
      <c r="E109" s="2728" t="s">
        <v>2850</v>
      </c>
      <c r="F109" s="2734" t="s">
        <v>2851</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2424</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2425</v>
      </c>
      <c r="C114" s="2728" t="s">
        <v>2853</v>
      </c>
      <c r="D114" s="2728" t="s">
        <v>2854</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2426</v>
      </c>
      <c r="C116" s="2728" t="s">
        <v>2856</v>
      </c>
      <c r="D116" s="2728" t="s">
        <v>2857</v>
      </c>
      <c r="E116" s="2728" t="s">
        <v>2858</v>
      </c>
      <c r="F116" s="2728" t="s">
        <v>2859</v>
      </c>
      <c r="G116" s="2728" t="s">
        <v>2860</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2427</v>
      </c>
      <c r="C118" s="2734" t="s">
        <v>2861</v>
      </c>
      <c r="D118" s="2734" t="s">
        <v>2862</v>
      </c>
      <c r="E118" s="2736" t="s">
        <v>2869</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2381</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2428</v>
      </c>
      <c r="C122" s="2728" t="s">
        <v>2848</v>
      </c>
      <c r="D122" s="2728" t="s">
        <v>2849</v>
      </c>
      <c r="E122" s="2728" t="s">
        <v>2850</v>
      </c>
      <c r="F122" s="2734" t="s">
        <v>2851</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1998</v>
      </c>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v>100</v>
      </c>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2430</v>
      </c>
    </row>
    <row r="137" spans="1:17" ht="15">
      <c r="B137" s="2441" t="s">
        <v>2431</v>
      </c>
      <c r="C137" s="2442"/>
      <c r="D137" s="2442"/>
      <c r="E137" s="2442"/>
      <c r="F137" s="2442"/>
      <c r="G137" s="2443"/>
      <c r="H137" s="2444"/>
      <c r="I137" s="2445" t="s">
        <v>2432</v>
      </c>
      <c r="J137" s="2442"/>
      <c r="K137" s="2446"/>
    </row>
    <row r="138" spans="1:17" ht="15">
      <c r="B138" s="2447"/>
      <c r="C138" s="62" t="s">
        <v>2433</v>
      </c>
      <c r="D138" s="62" t="s">
        <v>2434</v>
      </c>
      <c r="E138" s="2448" t="s">
        <v>2435</v>
      </c>
      <c r="F138" s="2449" t="s">
        <v>2436</v>
      </c>
      <c r="G138" s="62" t="s">
        <v>2434</v>
      </c>
      <c r="H138" s="63" t="s">
        <v>2435</v>
      </c>
      <c r="I138" s="2450"/>
      <c r="J138" s="62" t="s">
        <v>2437</v>
      </c>
      <c r="K138" s="63" t="s">
        <v>2438</v>
      </c>
    </row>
    <row r="139" spans="1:17" ht="15">
      <c r="B139" s="1126">
        <v>6</v>
      </c>
      <c r="C139" s="1134">
        <v>96</v>
      </c>
      <c r="D139" s="2451" t="s">
        <v>2439</v>
      </c>
      <c r="E139" s="1135">
        <v>100</v>
      </c>
      <c r="F139" s="1136">
        <v>102.5</v>
      </c>
      <c r="G139" s="2451" t="s">
        <v>2439</v>
      </c>
      <c r="H139" s="1137">
        <v>105</v>
      </c>
      <c r="I139" s="2452" t="s">
        <v>2440</v>
      </c>
      <c r="J139" s="1134">
        <v>20</v>
      </c>
      <c r="K139" s="1128">
        <f>C145/(J139-2)</f>
        <v>4.0555555555555553E-3</v>
      </c>
    </row>
    <row r="140" spans="1:17" ht="15">
      <c r="B140" s="1127">
        <v>5</v>
      </c>
      <c r="C140" s="1138">
        <v>100</v>
      </c>
      <c r="D140" s="1138"/>
      <c r="E140" s="1139"/>
      <c r="F140" s="1140">
        <v>102</v>
      </c>
      <c r="G140" s="1138"/>
      <c r="H140" s="1141"/>
      <c r="I140" s="2453" t="s">
        <v>2441</v>
      </c>
      <c r="J140" s="218">
        <f>ROUNDUP((J139-1)/2,0)</f>
        <v>10</v>
      </c>
      <c r="K140" s="1129">
        <v>100</v>
      </c>
    </row>
    <row r="141" spans="1:17" ht="15">
      <c r="B141" s="1127">
        <v>4</v>
      </c>
      <c r="C141" s="1138">
        <v>102</v>
      </c>
      <c r="D141" s="1138"/>
      <c r="E141" s="1139"/>
      <c r="F141" s="1140">
        <v>101.5</v>
      </c>
      <c r="G141" s="1138"/>
      <c r="H141" s="1141"/>
      <c r="I141" s="2453" t="s">
        <v>2442</v>
      </c>
      <c r="J141" s="218">
        <v>1</v>
      </c>
      <c r="K141" s="1130">
        <f>ROUND(100+(J141-J140)*K139*100,1)</f>
        <v>96.4</v>
      </c>
    </row>
    <row r="142" spans="1:17" ht="15">
      <c r="B142" s="1127">
        <v>3</v>
      </c>
      <c r="C142" s="1138">
        <v>103</v>
      </c>
      <c r="D142" s="1138"/>
      <c r="E142" s="1139"/>
      <c r="F142" s="1140">
        <v>101</v>
      </c>
      <c r="G142" s="1138"/>
      <c r="H142" s="1141"/>
      <c r="I142" s="2453" t="s">
        <v>2443</v>
      </c>
      <c r="J142" s="218">
        <f>J139</f>
        <v>20</v>
      </c>
      <c r="K142" s="1143">
        <v>95</v>
      </c>
    </row>
    <row r="143" spans="1:17" ht="15">
      <c r="B143" s="1127">
        <v>2</v>
      </c>
      <c r="C143" s="1138">
        <v>100</v>
      </c>
      <c r="D143" s="1138"/>
      <c r="E143" s="1139"/>
      <c r="F143" s="1140">
        <v>100.5</v>
      </c>
      <c r="G143" s="1138"/>
      <c r="H143" s="1141"/>
      <c r="I143" s="2453" t="s">
        <v>2444</v>
      </c>
      <c r="J143" s="1138">
        <v>15</v>
      </c>
      <c r="K143" s="1130">
        <f>ROUND(100+(J143-J140)*K139*100,1)</f>
        <v>102</v>
      </c>
    </row>
    <row r="144" spans="1:17" ht="15">
      <c r="B144" s="1127">
        <v>1</v>
      </c>
      <c r="C144" s="1138">
        <v>98</v>
      </c>
      <c r="D144" s="2454" t="s">
        <v>2445</v>
      </c>
      <c r="E144" s="1139">
        <v>102</v>
      </c>
      <c r="F144" s="1142">
        <v>100</v>
      </c>
      <c r="G144" s="2454" t="s">
        <v>2445</v>
      </c>
      <c r="H144" s="1141">
        <v>105</v>
      </c>
      <c r="I144" s="2453" t="s">
        <v>2444</v>
      </c>
      <c r="J144" s="1138">
        <v>18</v>
      </c>
      <c r="K144" s="1130">
        <f>ROUND(100+(J144-J140)*K139*100,1)</f>
        <v>103.2</v>
      </c>
    </row>
    <row r="145" spans="2:11" ht="15.75" thickBot="1">
      <c r="B145" s="2455" t="s">
        <v>2446</v>
      </c>
      <c r="C145" s="1132">
        <f>ROUND(MAX(C139:C144)/MIN(C139:C144)-1,3)</f>
        <v>7.2999999999999995E-2</v>
      </c>
      <c r="D145" s="1133"/>
      <c r="E145" s="1133"/>
      <c r="F145" s="2456" t="s">
        <v>2447</v>
      </c>
      <c r="G145" s="2457"/>
      <c r="H145" s="2458"/>
      <c r="I145" s="2459" t="s">
        <v>2444</v>
      </c>
      <c r="J145" s="1144">
        <v>8</v>
      </c>
      <c r="K145" s="1131">
        <f>ROUND(100+(J145-J140)*K139*100,1)</f>
        <v>99.2</v>
      </c>
    </row>
    <row r="147" spans="2:11">
      <c r="B147" s="2440" t="s">
        <v>2448</v>
      </c>
    </row>
    <row r="148" spans="2:11">
      <c r="B148" s="2440"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G17" sqref="G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2450</v>
      </c>
      <c r="C1" s="1732"/>
      <c r="D1" s="2460"/>
      <c r="E1" s="2389"/>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2340</v>
      </c>
      <c r="D3" s="379">
        <f>IF(C1="仅计算典型户型",'数据-取费表'!E5,'数据-取费表'!B5)</f>
        <v>15.87</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63"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63"/>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63"/>
      <c r="AC6" s="3052"/>
    </row>
    <row r="7" spans="1:29" s="35" customFormat="1" ht="15.75" thickBot="1">
      <c r="A7" s="388" t="s">
        <v>2354</v>
      </c>
      <c r="B7" s="389"/>
      <c r="C7" s="390">
        <f>'数据-取费表'!B2</f>
        <v>43062</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46" si="3">D8/F8</f>
        <v>#DIV/0!</v>
      </c>
      <c r="AB8" s="753" t="e">
        <f t="shared" ref="AB8:AB46" si="4">D8/H8</f>
        <v>#DIV/0!</v>
      </c>
      <c r="AC8" s="753" t="e">
        <f t="shared" ref="AC8:AC46" si="5">D8/J8</f>
        <v>#DIV/0!</v>
      </c>
    </row>
    <row r="9" spans="1:29" s="35" customFormat="1">
      <c r="A9" s="396" t="s">
        <v>2359</v>
      </c>
      <c r="B9" s="28" t="s">
        <v>2360</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49"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49"/>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403" t="s">
        <v>2364</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49"/>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49"/>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49"/>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49"/>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15">
      <c r="A15" s="420" t="s">
        <v>2365</v>
      </c>
      <c r="B15" s="26" t="s">
        <v>2451</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27" t="s">
        <v>2366</v>
      </c>
      <c r="Q15" s="1905" t="str">
        <f t="shared" si="6"/>
        <v>商业繁华度</v>
      </c>
      <c r="R15" s="754" t="s">
        <v>25</v>
      </c>
      <c r="S15" s="755">
        <f t="shared" si="0"/>
        <v>100</v>
      </c>
      <c r="T15" s="754" t="s">
        <v>25</v>
      </c>
      <c r="U15" s="755">
        <f t="shared" si="1"/>
        <v>100</v>
      </c>
      <c r="V15" s="754" t="s">
        <v>25</v>
      </c>
      <c r="W15" s="755">
        <f t="shared" si="2"/>
        <v>100</v>
      </c>
      <c r="X15" s="1906"/>
      <c r="Y15" s="3029" t="s">
        <v>2366</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28"/>
      <c r="Q16" s="1905"/>
      <c r="R16" s="754"/>
      <c r="S16" s="755"/>
      <c r="T16" s="754"/>
      <c r="U16" s="755"/>
      <c r="V16" s="754"/>
      <c r="W16" s="755"/>
      <c r="X16" s="1906"/>
      <c r="Y16" s="3030"/>
      <c r="Z16" s="1908"/>
      <c r="AA16" s="1909">
        <v>1</v>
      </c>
      <c r="AB16" s="1909">
        <v>1</v>
      </c>
      <c r="AC16" s="1909">
        <v>1</v>
      </c>
    </row>
    <row r="17" spans="1:29" ht="185.25">
      <c r="A17" s="409"/>
      <c r="B17" s="432" t="s">
        <v>1751</v>
      </c>
      <c r="C17" s="2413"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28"/>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28"/>
      <c r="Q18" s="1905"/>
      <c r="R18" s="754"/>
      <c r="S18" s="755"/>
      <c r="T18" s="754"/>
      <c r="U18" s="755"/>
      <c r="V18" s="754"/>
      <c r="W18" s="755"/>
      <c r="X18" s="1906"/>
      <c r="Y18" s="3030"/>
      <c r="Z18" s="1908"/>
      <c r="AA18" s="1909">
        <v>1</v>
      </c>
      <c r="AB18" s="1909">
        <v>1</v>
      </c>
      <c r="AC18" s="1909">
        <v>1</v>
      </c>
    </row>
    <row r="19" spans="1:29" ht="42.75">
      <c r="A19" s="409"/>
      <c r="B19" s="432" t="s">
        <v>2452</v>
      </c>
      <c r="C19" s="2413" t="str">
        <f>估价对象房地状况!C7</f>
        <v>估价对象所在区域公共配套设施齐备情况好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28"/>
      <c r="Q19" s="1905" t="str">
        <f>B19</f>
        <v>公共配套设施</v>
      </c>
      <c r="R19" s="754" t="s">
        <v>25</v>
      </c>
      <c r="S19" s="755">
        <f>F19</f>
        <v>100</v>
      </c>
      <c r="T19" s="754" t="s">
        <v>25</v>
      </c>
      <c r="U19" s="755">
        <f>H19</f>
        <v>100</v>
      </c>
      <c r="V19" s="754" t="s">
        <v>25</v>
      </c>
      <c r="W19" s="755">
        <f>J19</f>
        <v>100</v>
      </c>
      <c r="X19" s="1906"/>
      <c r="Y19" s="3030"/>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28"/>
      <c r="Q20" s="1905"/>
      <c r="R20" s="754"/>
      <c r="S20" s="755"/>
      <c r="T20" s="754"/>
      <c r="U20" s="755"/>
      <c r="V20" s="754"/>
      <c r="W20" s="755"/>
      <c r="X20" s="1906"/>
      <c r="Y20" s="3030"/>
      <c r="Z20" s="1908"/>
      <c r="AA20" s="1909">
        <v>1</v>
      </c>
      <c r="AB20" s="1909">
        <v>1</v>
      </c>
      <c r="AC20" s="1909">
        <v>1</v>
      </c>
    </row>
    <row r="21" spans="1:29" ht="42.75">
      <c r="A21" s="409"/>
      <c r="B21" s="2415" t="s">
        <v>2453</v>
      </c>
      <c r="C21" s="2413" t="str">
        <f>估价对象房地状况!C8</f>
        <v>估价对象所在区域基础设施水平——五通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28"/>
      <c r="Q21" s="1905" t="str">
        <f>B21</f>
        <v>基础设施水平</v>
      </c>
      <c r="R21" s="754" t="s">
        <v>25</v>
      </c>
      <c r="S21" s="755">
        <f>F21</f>
        <v>100</v>
      </c>
      <c r="T21" s="754" t="s">
        <v>25</v>
      </c>
      <c r="U21" s="755">
        <f>H21</f>
        <v>100</v>
      </c>
      <c r="V21" s="754" t="s">
        <v>25</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28"/>
      <c r="Q22" s="1905"/>
      <c r="R22" s="754"/>
      <c r="S22" s="755"/>
      <c r="T22" s="754"/>
      <c r="U22" s="755"/>
      <c r="V22" s="754"/>
      <c r="W22" s="755"/>
      <c r="X22" s="1906"/>
      <c r="Y22" s="3030"/>
      <c r="Z22" s="1908"/>
      <c r="AA22" s="1909">
        <v>1</v>
      </c>
      <c r="AB22" s="1909">
        <v>1</v>
      </c>
      <c r="AC22" s="1909">
        <v>1</v>
      </c>
    </row>
    <row r="23" spans="1:29" ht="71.25">
      <c r="A23" s="409"/>
      <c r="B23" s="432" t="s">
        <v>1756</v>
      </c>
      <c r="C23" s="2464" t="str">
        <f>估价对象房地状况!C9</f>
        <v>自然环境：海淀公园等；人文环境：北京大学等，综合评价环境状况较好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28"/>
      <c r="Q23" s="1905" t="str">
        <f>B23</f>
        <v>自然及人文环境</v>
      </c>
      <c r="R23" s="754" t="s">
        <v>25</v>
      </c>
      <c r="S23" s="755">
        <f>F23</f>
        <v>100</v>
      </c>
      <c r="T23" s="754" t="s">
        <v>25</v>
      </c>
      <c r="U23" s="755">
        <f>H23</f>
        <v>100</v>
      </c>
      <c r="V23" s="754" t="s">
        <v>25</v>
      </c>
      <c r="W23" s="755">
        <f>J23</f>
        <v>100</v>
      </c>
      <c r="X23" s="1906"/>
      <c r="Y23" s="3030"/>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28"/>
      <c r="Q24" s="1905"/>
      <c r="R24" s="754"/>
      <c r="S24" s="755"/>
      <c r="T24" s="754"/>
      <c r="U24" s="755"/>
      <c r="V24" s="754"/>
      <c r="W24" s="755"/>
      <c r="X24" s="1906"/>
      <c r="Y24" s="3030"/>
      <c r="Z24" s="1908"/>
      <c r="AA24" s="1909">
        <v>1</v>
      </c>
      <c r="AB24" s="1909">
        <v>1</v>
      </c>
      <c r="AC24" s="1909">
        <v>1</v>
      </c>
    </row>
    <row r="25" spans="1:29" ht="15">
      <c r="A25" s="409"/>
      <c r="B25" s="403" t="s">
        <v>2454</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28"/>
      <c r="Q25" s="1905" t="str">
        <f t="shared" ref="Q25:Q46" si="11">B25</f>
        <v>临街状况</v>
      </c>
      <c r="R25" s="754" t="s">
        <v>25</v>
      </c>
      <c r="S25" s="755">
        <f>F25</f>
        <v>100</v>
      </c>
      <c r="T25" s="754" t="s">
        <v>25</v>
      </c>
      <c r="U25" s="755">
        <f>H25</f>
        <v>100</v>
      </c>
      <c r="V25" s="754" t="s">
        <v>25</v>
      </c>
      <c r="W25" s="755">
        <f>J25</f>
        <v>100</v>
      </c>
      <c r="X25" s="1906"/>
      <c r="Y25" s="3030"/>
      <c r="Z25" s="1908" t="str">
        <f>Q25</f>
        <v>临街状况</v>
      </c>
      <c r="AA25" s="1909">
        <f t="shared" si="3"/>
        <v>1</v>
      </c>
      <c r="AB25" s="1909">
        <f t="shared" si="4"/>
        <v>1</v>
      </c>
      <c r="AC25" s="1909">
        <f t="shared" si="5"/>
        <v>1</v>
      </c>
    </row>
    <row r="26" spans="1:29" ht="15">
      <c r="A26" s="409"/>
      <c r="B26" s="2419" t="s">
        <v>2455</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28"/>
      <c r="Q26" s="1905" t="str">
        <f t="shared" si="11"/>
        <v>平面位置/可视性</v>
      </c>
      <c r="R26" s="754" t="s">
        <v>25</v>
      </c>
      <c r="S26" s="755">
        <f>F26</f>
        <v>100</v>
      </c>
      <c r="T26" s="754" t="s">
        <v>25</v>
      </c>
      <c r="U26" s="755">
        <f>H26</f>
        <v>100</v>
      </c>
      <c r="V26" s="754" t="s">
        <v>25</v>
      </c>
      <c r="W26" s="755">
        <f>J26</f>
        <v>100</v>
      </c>
      <c r="X26" s="1906"/>
      <c r="Y26" s="3030"/>
      <c r="Z26" s="1908" t="str">
        <f>Q26</f>
        <v>平面位置/可视性</v>
      </c>
      <c r="AA26" s="1909">
        <f t="shared" si="3"/>
        <v>1</v>
      </c>
      <c r="AB26" s="1909">
        <f t="shared" si="4"/>
        <v>1</v>
      </c>
      <c r="AC26" s="1909">
        <f t="shared" si="5"/>
        <v>1</v>
      </c>
    </row>
    <row r="27" spans="1:29" s="35" customFormat="1" ht="15">
      <c r="A27" s="412"/>
      <c r="B27" s="432" t="s">
        <v>2456</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28"/>
      <c r="Q27" s="1893" t="str">
        <f t="shared" si="11"/>
        <v>人流量</v>
      </c>
      <c r="R27" s="750" t="s">
        <v>25</v>
      </c>
      <c r="S27" s="751">
        <f>F27</f>
        <v>100</v>
      </c>
      <c r="T27" s="750" t="s">
        <v>25</v>
      </c>
      <c r="U27" s="751">
        <f>H27</f>
        <v>100</v>
      </c>
      <c r="V27" s="750" t="s">
        <v>25</v>
      </c>
      <c r="W27" s="751">
        <f>J27</f>
        <v>100</v>
      </c>
      <c r="X27" s="752"/>
      <c r="Y27" s="3030"/>
      <c r="Z27" s="23" t="str">
        <f>Q27</f>
        <v>人流量</v>
      </c>
      <c r="AA27" s="1909">
        <f>D27/F27</f>
        <v>1</v>
      </c>
      <c r="AB27" s="1909">
        <f>D27/H27</f>
        <v>1</v>
      </c>
      <c r="AC27" s="1909">
        <f>D27/J27</f>
        <v>1</v>
      </c>
    </row>
    <row r="28" spans="1:29" ht="15">
      <c r="A28" s="409"/>
      <c r="B28" s="403" t="s">
        <v>2457</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28"/>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30"/>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28"/>
      <c r="Q29" s="1905">
        <f t="shared" si="11"/>
        <v>111</v>
      </c>
      <c r="R29" s="754" t="s">
        <v>25</v>
      </c>
      <c r="S29" s="755">
        <f t="shared" si="12"/>
        <v>100</v>
      </c>
      <c r="T29" s="754" t="s">
        <v>25</v>
      </c>
      <c r="U29" s="755">
        <f t="shared" si="13"/>
        <v>100</v>
      </c>
      <c r="V29" s="754" t="s">
        <v>25</v>
      </c>
      <c r="W29" s="755">
        <f t="shared" si="14"/>
        <v>100</v>
      </c>
      <c r="X29" s="1906"/>
      <c r="Y29" s="3030"/>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28"/>
      <c r="Q30" s="1905">
        <f t="shared" si="11"/>
        <v>111</v>
      </c>
      <c r="R30" s="754" t="s">
        <v>25</v>
      </c>
      <c r="S30" s="755">
        <f t="shared" si="12"/>
        <v>100</v>
      </c>
      <c r="T30" s="754" t="s">
        <v>25</v>
      </c>
      <c r="U30" s="755">
        <f t="shared" si="13"/>
        <v>100</v>
      </c>
      <c r="V30" s="754" t="s">
        <v>25</v>
      </c>
      <c r="W30" s="755">
        <f t="shared" si="14"/>
        <v>100</v>
      </c>
      <c r="X30" s="1906"/>
      <c r="Y30" s="3030"/>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28"/>
      <c r="Q31" s="1905">
        <f t="shared" si="11"/>
        <v>111</v>
      </c>
      <c r="R31" s="754" t="s">
        <v>25</v>
      </c>
      <c r="S31" s="755">
        <f t="shared" si="12"/>
        <v>100</v>
      </c>
      <c r="T31" s="754" t="s">
        <v>25</v>
      </c>
      <c r="U31" s="755">
        <f t="shared" si="13"/>
        <v>100</v>
      </c>
      <c r="V31" s="754" t="s">
        <v>25</v>
      </c>
      <c r="W31" s="755">
        <f t="shared" si="14"/>
        <v>100</v>
      </c>
      <c r="X31" s="1906"/>
      <c r="Y31" s="3030"/>
      <c r="Z31" s="1908">
        <f t="shared" si="15"/>
        <v>111</v>
      </c>
      <c r="AA31" s="1909">
        <f t="shared" si="3"/>
        <v>1</v>
      </c>
      <c r="AB31" s="1909">
        <f t="shared" si="4"/>
        <v>1</v>
      </c>
      <c r="AC31" s="1909">
        <f t="shared" si="5"/>
        <v>1</v>
      </c>
    </row>
    <row r="32" spans="1:29" ht="15">
      <c r="A32" s="420" t="s">
        <v>2370</v>
      </c>
      <c r="B32" s="28" t="s">
        <v>2458</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31" t="s">
        <v>2372</v>
      </c>
      <c r="Q32" s="1905" t="str">
        <f t="shared" si="11"/>
        <v>商业类型</v>
      </c>
      <c r="R32" s="754" t="s">
        <v>25</v>
      </c>
      <c r="S32" s="755">
        <f t="shared" si="12"/>
        <v>100</v>
      </c>
      <c r="T32" s="754" t="s">
        <v>25</v>
      </c>
      <c r="U32" s="755">
        <f t="shared" si="13"/>
        <v>100</v>
      </c>
      <c r="V32" s="754" t="s">
        <v>25</v>
      </c>
      <c r="W32" s="755">
        <f t="shared" si="14"/>
        <v>100</v>
      </c>
      <c r="X32" s="1906"/>
      <c r="Y32" s="3034" t="s">
        <v>2372</v>
      </c>
      <c r="Z32" s="1908" t="str">
        <f t="shared" si="15"/>
        <v>商业类型</v>
      </c>
      <c r="AA32" s="1909">
        <f t="shared" si="3"/>
        <v>1</v>
      </c>
      <c r="AB32" s="1909">
        <f t="shared" si="4"/>
        <v>1</v>
      </c>
      <c r="AC32" s="1909">
        <f t="shared" si="5"/>
        <v>1</v>
      </c>
    </row>
    <row r="33" spans="1:29" s="453" customFormat="1" ht="15">
      <c r="A33" s="450"/>
      <c r="B33" s="403" t="s">
        <v>2373</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32"/>
      <c r="Q33" s="756" t="str">
        <f t="shared" si="11"/>
        <v>项目建筑规模</v>
      </c>
      <c r="R33" s="757" t="s">
        <v>25</v>
      </c>
      <c r="S33" s="758" t="e">
        <f t="shared" si="12"/>
        <v>#N/A</v>
      </c>
      <c r="T33" s="757" t="s">
        <v>25</v>
      </c>
      <c r="U33" s="758" t="e">
        <f t="shared" si="13"/>
        <v>#N/A</v>
      </c>
      <c r="V33" s="757" t="s">
        <v>25</v>
      </c>
      <c r="W33" s="758" t="e">
        <f t="shared" si="14"/>
        <v>#N/A</v>
      </c>
      <c r="X33" s="759"/>
      <c r="Y33" s="3034"/>
      <c r="Z33" s="760" t="str">
        <f t="shared" si="15"/>
        <v>项目建筑规模</v>
      </c>
      <c r="AA33" s="1909" t="e">
        <f t="shared" si="3"/>
        <v>#N/A</v>
      </c>
      <c r="AB33" s="1909" t="e">
        <f t="shared" si="4"/>
        <v>#N/A</v>
      </c>
      <c r="AC33" s="1909" t="e">
        <f t="shared" si="5"/>
        <v>#N/A</v>
      </c>
    </row>
    <row r="34" spans="1:29" ht="15">
      <c r="A34" s="454"/>
      <c r="B34" s="403" t="s">
        <v>2374</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32"/>
      <c r="Q34" s="1905" t="str">
        <f t="shared" si="11"/>
        <v>建筑结构</v>
      </c>
      <c r="R34" s="754" t="s">
        <v>25</v>
      </c>
      <c r="S34" s="755">
        <f t="shared" si="12"/>
        <v>100</v>
      </c>
      <c r="T34" s="754" t="s">
        <v>25</v>
      </c>
      <c r="U34" s="755">
        <f t="shared" si="13"/>
        <v>100</v>
      </c>
      <c r="V34" s="754" t="s">
        <v>25</v>
      </c>
      <c r="W34" s="755">
        <f t="shared" si="14"/>
        <v>100</v>
      </c>
      <c r="X34" s="1906"/>
      <c r="Y34" s="3034"/>
      <c r="Z34" s="1908" t="str">
        <f t="shared" si="15"/>
        <v>建筑结构</v>
      </c>
      <c r="AA34" s="1909">
        <f t="shared" si="3"/>
        <v>1</v>
      </c>
      <c r="AB34" s="1909">
        <f t="shared" si="4"/>
        <v>1</v>
      </c>
      <c r="AC34" s="1909">
        <f t="shared" si="5"/>
        <v>1</v>
      </c>
    </row>
    <row r="35" spans="1:29" ht="15">
      <c r="A35" s="454"/>
      <c r="B35" s="403" t="s">
        <v>2459</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32"/>
      <c r="Q35" s="1905" t="str">
        <f t="shared" si="11"/>
        <v>公共部分装修</v>
      </c>
      <c r="R35" s="754" t="s">
        <v>25</v>
      </c>
      <c r="S35" s="755">
        <f t="shared" si="12"/>
        <v>100</v>
      </c>
      <c r="T35" s="754" t="s">
        <v>25</v>
      </c>
      <c r="U35" s="755">
        <f t="shared" si="13"/>
        <v>100</v>
      </c>
      <c r="V35" s="754" t="s">
        <v>25</v>
      </c>
      <c r="W35" s="755">
        <f t="shared" si="14"/>
        <v>100</v>
      </c>
      <c r="X35" s="1906"/>
      <c r="Y35" s="3034"/>
      <c r="Z35" s="1908" t="str">
        <f t="shared" si="15"/>
        <v>公共部分装修</v>
      </c>
      <c r="AA35" s="1909">
        <f t="shared" si="3"/>
        <v>1</v>
      </c>
      <c r="AB35" s="1909">
        <f t="shared" si="4"/>
        <v>1</v>
      </c>
      <c r="AC35" s="1909">
        <f t="shared" si="5"/>
        <v>1</v>
      </c>
    </row>
    <row r="36" spans="1:29" ht="15">
      <c r="A36" s="454"/>
      <c r="B36" s="403" t="s">
        <v>2460</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32"/>
      <c r="Q36" s="1905" t="str">
        <f t="shared" si="11"/>
        <v>成新度</v>
      </c>
      <c r="R36" s="754" t="s">
        <v>25</v>
      </c>
      <c r="S36" s="755" t="e">
        <f t="shared" si="12"/>
        <v>#N/A</v>
      </c>
      <c r="T36" s="754" t="s">
        <v>25</v>
      </c>
      <c r="U36" s="755" t="e">
        <f t="shared" si="13"/>
        <v>#N/A</v>
      </c>
      <c r="V36" s="754" t="s">
        <v>25</v>
      </c>
      <c r="W36" s="755" t="e">
        <f t="shared" si="14"/>
        <v>#N/A</v>
      </c>
      <c r="X36" s="1906"/>
      <c r="Y36" s="3034"/>
      <c r="Z36" s="1908" t="str">
        <f t="shared" si="15"/>
        <v>成新度</v>
      </c>
      <c r="AA36" s="1909" t="e">
        <f t="shared" si="3"/>
        <v>#N/A</v>
      </c>
      <c r="AB36" s="1909" t="e">
        <f t="shared" si="4"/>
        <v>#N/A</v>
      </c>
      <c r="AC36" s="1909" t="e">
        <f t="shared" si="5"/>
        <v>#N/A</v>
      </c>
    </row>
    <row r="37" spans="1:29" s="35" customFormat="1" ht="15">
      <c r="A37" s="455"/>
      <c r="B37" s="403" t="s">
        <v>2461</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32"/>
      <c r="Q37" s="1893" t="str">
        <f t="shared" si="11"/>
        <v>市政基础设施</v>
      </c>
      <c r="R37" s="750" t="s">
        <v>25</v>
      </c>
      <c r="S37" s="751">
        <f t="shared" si="12"/>
        <v>100</v>
      </c>
      <c r="T37" s="750" t="s">
        <v>25</v>
      </c>
      <c r="U37" s="751">
        <f t="shared" si="13"/>
        <v>100</v>
      </c>
      <c r="V37" s="750" t="s">
        <v>25</v>
      </c>
      <c r="W37" s="751">
        <f t="shared" si="14"/>
        <v>100</v>
      </c>
      <c r="X37" s="752"/>
      <c r="Y37" s="3034"/>
      <c r="Z37" s="23" t="str">
        <f t="shared" si="15"/>
        <v>市政基础设施</v>
      </c>
      <c r="AA37" s="753">
        <f t="shared" si="3"/>
        <v>1</v>
      </c>
      <c r="AB37" s="753">
        <f t="shared" si="4"/>
        <v>1</v>
      </c>
      <c r="AC37" s="753">
        <f t="shared" si="5"/>
        <v>1</v>
      </c>
    </row>
    <row r="38" spans="1:29" ht="15">
      <c r="A38" s="454"/>
      <c r="B38" s="403" t="s">
        <v>2462</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32" t="s">
        <v>2372</v>
      </c>
      <c r="Q38" s="1905" t="str">
        <f t="shared" si="11"/>
        <v>业态</v>
      </c>
      <c r="R38" s="754" t="s">
        <v>25</v>
      </c>
      <c r="S38" s="755">
        <f t="shared" si="12"/>
        <v>100</v>
      </c>
      <c r="T38" s="754" t="s">
        <v>25</v>
      </c>
      <c r="U38" s="755">
        <f t="shared" si="13"/>
        <v>100</v>
      </c>
      <c r="V38" s="754" t="s">
        <v>25</v>
      </c>
      <c r="W38" s="755">
        <f t="shared" si="14"/>
        <v>100</v>
      </c>
      <c r="X38" s="1906"/>
      <c r="Y38" s="3034" t="s">
        <v>2372</v>
      </c>
      <c r="Z38" s="1908" t="str">
        <f t="shared" si="15"/>
        <v>业态</v>
      </c>
      <c r="AA38" s="1909">
        <f t="shared" si="3"/>
        <v>1</v>
      </c>
      <c r="AB38" s="1909">
        <f t="shared" si="4"/>
        <v>1</v>
      </c>
      <c r="AC38" s="1909">
        <f t="shared" si="5"/>
        <v>1</v>
      </c>
    </row>
    <row r="39" spans="1:29" ht="15">
      <c r="A39" s="454"/>
      <c r="B39" s="403" t="s">
        <v>2463</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32"/>
      <c r="Q39" s="1905" t="str">
        <f t="shared" si="11"/>
        <v>层高</v>
      </c>
      <c r="R39" s="754" t="s">
        <v>25</v>
      </c>
      <c r="S39" s="755">
        <f t="shared" si="12"/>
        <v>100</v>
      </c>
      <c r="T39" s="754" t="s">
        <v>25</v>
      </c>
      <c r="U39" s="755">
        <f t="shared" si="13"/>
        <v>100</v>
      </c>
      <c r="V39" s="754" t="s">
        <v>25</v>
      </c>
      <c r="W39" s="755">
        <f t="shared" si="14"/>
        <v>100</v>
      </c>
      <c r="X39" s="1906"/>
      <c r="Y39" s="3034"/>
      <c r="Z39" s="1908" t="str">
        <f t="shared" si="15"/>
        <v>层高</v>
      </c>
      <c r="AA39" s="1909">
        <f t="shared" si="3"/>
        <v>1</v>
      </c>
      <c r="AB39" s="1909">
        <f t="shared" si="4"/>
        <v>1</v>
      </c>
      <c r="AC39" s="1909">
        <f t="shared" si="5"/>
        <v>1</v>
      </c>
    </row>
    <row r="40" spans="1:29" ht="15">
      <c r="A40" s="454"/>
      <c r="B40" s="403" t="s">
        <v>2464</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32"/>
      <c r="Q40" s="1905" t="str">
        <f t="shared" si="11"/>
        <v>单套建筑面积</v>
      </c>
      <c r="R40" s="754" t="s">
        <v>25</v>
      </c>
      <c r="S40" s="755">
        <f t="shared" si="12"/>
        <v>100</v>
      </c>
      <c r="T40" s="754" t="s">
        <v>25</v>
      </c>
      <c r="U40" s="755">
        <f t="shared" si="13"/>
        <v>100</v>
      </c>
      <c r="V40" s="754" t="s">
        <v>25</v>
      </c>
      <c r="W40" s="755">
        <f t="shared" si="14"/>
        <v>100</v>
      </c>
      <c r="X40" s="1906"/>
      <c r="Y40" s="3034"/>
      <c r="Z40" s="1908" t="str">
        <f t="shared" si="15"/>
        <v>单套建筑面积</v>
      </c>
      <c r="AA40" s="1909">
        <f t="shared" si="3"/>
        <v>1</v>
      </c>
      <c r="AB40" s="1909">
        <f t="shared" si="4"/>
        <v>1</v>
      </c>
      <c r="AC40" s="1909">
        <f t="shared" si="5"/>
        <v>1</v>
      </c>
    </row>
    <row r="41" spans="1:29" s="453" customFormat="1" ht="15">
      <c r="A41" s="450"/>
      <c r="B41" s="1910" t="s">
        <v>2465</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32"/>
      <c r="Q41" s="756" t="str">
        <f t="shared" si="11"/>
        <v>进深比</v>
      </c>
      <c r="R41" s="757" t="s">
        <v>25</v>
      </c>
      <c r="S41" s="758">
        <f t="shared" si="12"/>
        <v>100</v>
      </c>
      <c r="T41" s="757" t="s">
        <v>25</v>
      </c>
      <c r="U41" s="758">
        <f t="shared" si="13"/>
        <v>100</v>
      </c>
      <c r="V41" s="757" t="s">
        <v>25</v>
      </c>
      <c r="W41" s="758">
        <f t="shared" si="14"/>
        <v>100</v>
      </c>
      <c r="X41" s="759"/>
      <c r="Y41" s="3034"/>
      <c r="Z41" s="760" t="str">
        <f t="shared" si="15"/>
        <v>进深比</v>
      </c>
      <c r="AA41" s="1909">
        <f t="shared" si="3"/>
        <v>1</v>
      </c>
      <c r="AB41" s="1909">
        <f t="shared" si="4"/>
        <v>1</v>
      </c>
      <c r="AC41" s="1909">
        <f t="shared" si="5"/>
        <v>1</v>
      </c>
    </row>
    <row r="42" spans="1:29" ht="15">
      <c r="A42" s="454"/>
      <c r="B42" s="403" t="s">
        <v>2466</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32"/>
      <c r="Q42" s="1905" t="str">
        <f t="shared" si="11"/>
        <v>内部装修</v>
      </c>
      <c r="R42" s="754" t="s">
        <v>25</v>
      </c>
      <c r="S42" s="755">
        <f t="shared" si="12"/>
        <v>100</v>
      </c>
      <c r="T42" s="754" t="s">
        <v>25</v>
      </c>
      <c r="U42" s="755">
        <f t="shared" si="13"/>
        <v>100</v>
      </c>
      <c r="V42" s="754" t="s">
        <v>25</v>
      </c>
      <c r="W42" s="755">
        <f t="shared" si="14"/>
        <v>100</v>
      </c>
      <c r="X42" s="1906"/>
      <c r="Y42" s="3034"/>
      <c r="Z42" s="1908" t="str">
        <f t="shared" si="15"/>
        <v>内部装修</v>
      </c>
      <c r="AA42" s="1909">
        <f t="shared" si="3"/>
        <v>1</v>
      </c>
      <c r="AB42" s="1909">
        <f t="shared" si="4"/>
        <v>1</v>
      </c>
      <c r="AC42" s="1909">
        <f t="shared" si="5"/>
        <v>1</v>
      </c>
    </row>
    <row r="43" spans="1:29" ht="15">
      <c r="A43" s="454"/>
      <c r="B43" s="403" t="s">
        <v>2383</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32"/>
      <c r="Q43" s="1905" t="str">
        <f t="shared" si="11"/>
        <v>内部装修维护情况</v>
      </c>
      <c r="R43" s="754" t="s">
        <v>25</v>
      </c>
      <c r="S43" s="755">
        <f t="shared" si="12"/>
        <v>100</v>
      </c>
      <c r="T43" s="754" t="s">
        <v>25</v>
      </c>
      <c r="U43" s="755">
        <f t="shared" si="13"/>
        <v>100</v>
      </c>
      <c r="V43" s="754" t="s">
        <v>25</v>
      </c>
      <c r="W43" s="755">
        <f t="shared" si="14"/>
        <v>100</v>
      </c>
      <c r="X43" s="1906"/>
      <c r="Y43" s="3034"/>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32"/>
      <c r="Q44" s="1893">
        <f t="shared" si="11"/>
        <v>111</v>
      </c>
      <c r="R44" s="750" t="s">
        <v>25</v>
      </c>
      <c r="S44" s="751">
        <f t="shared" si="12"/>
        <v>100</v>
      </c>
      <c r="T44" s="750" t="s">
        <v>25</v>
      </c>
      <c r="U44" s="751">
        <f t="shared" si="13"/>
        <v>100</v>
      </c>
      <c r="V44" s="750" t="s">
        <v>25</v>
      </c>
      <c r="W44" s="751">
        <f t="shared" si="14"/>
        <v>100</v>
      </c>
      <c r="X44" s="752"/>
      <c r="Y44" s="3034"/>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32"/>
      <c r="Q45" s="1905">
        <f t="shared" si="11"/>
        <v>111</v>
      </c>
      <c r="R45" s="754" t="s">
        <v>25</v>
      </c>
      <c r="S45" s="755">
        <f t="shared" si="12"/>
        <v>100</v>
      </c>
      <c r="T45" s="754" t="s">
        <v>25</v>
      </c>
      <c r="U45" s="755">
        <f t="shared" si="13"/>
        <v>100</v>
      </c>
      <c r="V45" s="754" t="s">
        <v>25</v>
      </c>
      <c r="W45" s="755">
        <f t="shared" si="14"/>
        <v>100</v>
      </c>
      <c r="X45" s="1906"/>
      <c r="Y45" s="3034"/>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33"/>
      <c r="Q46" s="1905">
        <f t="shared" si="11"/>
        <v>111</v>
      </c>
      <c r="R46" s="754" t="s">
        <v>25</v>
      </c>
      <c r="S46" s="755">
        <f t="shared" si="12"/>
        <v>100</v>
      </c>
      <c r="T46" s="754" t="s">
        <v>25</v>
      </c>
      <c r="U46" s="755">
        <f t="shared" si="13"/>
        <v>100</v>
      </c>
      <c r="V46" s="754" t="s">
        <v>25</v>
      </c>
      <c r="W46" s="755">
        <f t="shared" si="14"/>
        <v>100</v>
      </c>
      <c r="X46" s="1906"/>
      <c r="Y46" s="3035"/>
      <c r="Z46" s="1908">
        <f t="shared" si="15"/>
        <v>111</v>
      </c>
      <c r="AA46" s="1909">
        <f t="shared" si="3"/>
        <v>1</v>
      </c>
      <c r="AB46" s="1909">
        <f t="shared" si="4"/>
        <v>1</v>
      </c>
      <c r="AC46" s="1909">
        <f t="shared" si="5"/>
        <v>1</v>
      </c>
    </row>
    <row r="47" spans="1:29" ht="15">
      <c r="A47" s="461" t="s">
        <v>2384</v>
      </c>
      <c r="B47" s="462"/>
      <c r="C47" s="1504" t="s">
        <v>1</v>
      </c>
      <c r="D47" s="1505"/>
      <c r="E47" s="1506"/>
      <c r="F47" s="1507"/>
      <c r="G47" s="1508"/>
      <c r="H47" s="1509"/>
      <c r="I47" s="1506"/>
      <c r="J47" s="1509"/>
      <c r="K47" s="763"/>
      <c r="L47" s="1258"/>
      <c r="M47" s="1259"/>
      <c r="N47" s="1246"/>
      <c r="O47" s="1259"/>
      <c r="P47" s="3026" t="str">
        <f>A47</f>
        <v>成交单价（元/平方米）</v>
      </c>
      <c r="Q47" s="3026"/>
      <c r="R47" s="3022">
        <f>E47</f>
        <v>0</v>
      </c>
      <c r="S47" s="3022"/>
      <c r="T47" s="3022">
        <f>G47</f>
        <v>0</v>
      </c>
      <c r="U47" s="3022"/>
      <c r="V47" s="3022">
        <f>I47</f>
        <v>0</v>
      </c>
      <c r="W47" s="3022"/>
      <c r="X47" s="739"/>
      <c r="Y47" s="761"/>
      <c r="Z47" s="739"/>
      <c r="AA47" s="739"/>
      <c r="AB47" s="739"/>
      <c r="AC47" s="739"/>
    </row>
    <row r="48" spans="1:29" ht="15.75" thickBot="1">
      <c r="A48" s="468" t="s">
        <v>2467</v>
      </c>
      <c r="B48" s="469"/>
      <c r="C48" s="1510" t="e">
        <f>R49</f>
        <v>#DIV/0!</v>
      </c>
      <c r="D48" s="1511"/>
      <c r="E48" s="1512" t="e">
        <f>R48</f>
        <v>#DIV/0!</v>
      </c>
      <c r="F48" s="1512"/>
      <c r="G48" s="1510" t="e">
        <f>T48</f>
        <v>#DIV/0!</v>
      </c>
      <c r="H48" s="1511"/>
      <c r="I48" s="1512" t="e">
        <f>V48</f>
        <v>#DIV/0!</v>
      </c>
      <c r="J48" s="1511"/>
      <c r="K48" s="764"/>
      <c r="L48" s="1258"/>
      <c r="M48" s="1259"/>
      <c r="N48" s="1246"/>
      <c r="O48" s="1259"/>
      <c r="P48" s="3026" t="str">
        <f>A48</f>
        <v>比较价值（元/平方米）</v>
      </c>
      <c r="Q48" s="3026"/>
      <c r="R48" s="3022" t="e">
        <f>IF(E1="售价",ROUND(PRODUCT(R47,AA7:AA46),0),ROUND(PRODUCT(R47,AA7:AA46),1))</f>
        <v>#DIV/0!</v>
      </c>
      <c r="S48" s="3022"/>
      <c r="T48" s="3022" t="e">
        <f>IF(E1="售价",ROUND(PRODUCT(T47,AB7:AB46),0),ROUND(PRODUCT(T47,AB7:AB46),1))</f>
        <v>#DIV/0!</v>
      </c>
      <c r="U48" s="3022"/>
      <c r="V48" s="3022" t="e">
        <f>IF(E1="售价",ROUND(PRODUCT(V47,AC7:AC46),0),ROUND(PRODUCT(V47,AC7:AC46),1))</f>
        <v>#DIV/0!</v>
      </c>
      <c r="W48" s="3022"/>
      <c r="X48" s="739"/>
      <c r="Y48" s="739"/>
      <c r="Z48" s="739"/>
      <c r="AA48" s="739"/>
      <c r="AB48" s="739"/>
      <c r="AC48" s="739"/>
    </row>
    <row r="49" spans="1:29" ht="15.75" thickBot="1">
      <c r="A49" s="474" t="s">
        <v>2468</v>
      </c>
      <c r="B49" s="475"/>
      <c r="C49" s="1514" t="e">
        <f>R49</f>
        <v>#DIV/0!</v>
      </c>
      <c r="D49" s="1514"/>
      <c r="E49" s="1514"/>
      <c r="F49" s="1514"/>
      <c r="G49" s="1514"/>
      <c r="H49" s="1514"/>
      <c r="I49" s="1514"/>
      <c r="J49" s="1514"/>
      <c r="K49" s="765"/>
      <c r="L49" s="1258"/>
      <c r="M49" s="1259"/>
      <c r="N49" s="1246"/>
      <c r="O49" s="1259"/>
      <c r="P49" s="3023" t="str">
        <f>A49</f>
        <v>估价对象XX用房的比较价值（楼面单价，元/平方米）</v>
      </c>
      <c r="Q49" s="3024"/>
      <c r="R49" s="3025" t="e">
        <f>IF(E1="售价",ROUND(AVERAGE(R48:V48),0),ROUND(AVERAGE(R48:V48),1))</f>
        <v>#DIV/0!</v>
      </c>
      <c r="S49" s="3025"/>
      <c r="T49" s="3025"/>
      <c r="U49" s="3025"/>
      <c r="V49" s="3025"/>
      <c r="W49" s="302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2469</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2470</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2471</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2472</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2354</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2356</v>
      </c>
      <c r="B61" s="492"/>
      <c r="C61" s="504" t="s">
        <v>2357</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2364</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2453</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2473</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2370</v>
      </c>
      <c r="B100" s="510" t="s">
        <v>2474</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2420</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2421</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2423</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2424</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2426</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2475</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2476</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2477</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2478</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2428</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2479</v>
      </c>
      <c r="C1" s="1732"/>
      <c r="D1" s="1745"/>
      <c r="E1" s="2389"/>
      <c r="F1" s="1746" t="s">
        <v>2339</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2340</v>
      </c>
      <c r="D3" s="379">
        <f>IF(C1="仅计算典型户型",'数据-取费表'!E5,'数据-取费表'!B5)</f>
        <v>15.87</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77" t="s">
        <v>2347</v>
      </c>
      <c r="Q4" s="3058"/>
      <c r="R4" s="3042" t="s">
        <v>2343</v>
      </c>
      <c r="S4" s="3043"/>
      <c r="T4" s="3042" t="s">
        <v>2344</v>
      </c>
      <c r="U4" s="3043"/>
      <c r="V4" s="3063" t="s">
        <v>2345</v>
      </c>
      <c r="W4" s="3063"/>
      <c r="X4" s="1906"/>
      <c r="Y4" s="3042" t="s">
        <v>2347</v>
      </c>
      <c r="Z4" s="3043"/>
      <c r="AA4" s="3050" t="s">
        <v>2343</v>
      </c>
      <c r="AB4" s="3050"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78"/>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79"/>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43062</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48"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48" t="s">
        <v>2358</v>
      </c>
      <c r="Q8" s="3041"/>
      <c r="R8" s="750" t="s">
        <v>25</v>
      </c>
      <c r="S8" s="751">
        <f t="shared" si="0"/>
        <v>0</v>
      </c>
      <c r="T8" s="750" t="s">
        <v>25</v>
      </c>
      <c r="U8" s="751">
        <f t="shared" si="1"/>
        <v>0</v>
      </c>
      <c r="V8" s="750" t="s">
        <v>25</v>
      </c>
      <c r="W8" s="751">
        <f t="shared" si="2"/>
        <v>0</v>
      </c>
      <c r="X8" s="752"/>
      <c r="Y8" s="3040" t="s">
        <v>2358</v>
      </c>
      <c r="Z8" s="3041"/>
      <c r="AA8" s="753" t="e">
        <f t="shared" ref="AA8:AA47" si="3">D8/F8</f>
        <v>#DIV/0!</v>
      </c>
      <c r="AB8" s="753" t="e">
        <f t="shared" ref="AB8:AB47" si="4">D8/H8</f>
        <v>#DIV/0!</v>
      </c>
      <c r="AC8" s="753" t="e">
        <f t="shared" ref="AC8:AC47" si="5">D8/J8</f>
        <v>#DIV/0!</v>
      </c>
    </row>
    <row r="9" spans="1:29" s="35" customFormat="1">
      <c r="A9" s="396" t="s">
        <v>2359</v>
      </c>
      <c r="B9" s="28" t="s">
        <v>2360</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24"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24"/>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24"/>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24"/>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24"/>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24"/>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42.75">
      <c r="A15" s="420" t="s">
        <v>2365</v>
      </c>
      <c r="B15" s="614" t="s">
        <v>2480</v>
      </c>
      <c r="C15" s="2474" t="str">
        <f>估价对象房地状况!C5</f>
        <v>周边有中科大厦、海龙大厦、四通大厦等写字楼</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58" t="s">
        <v>2366</v>
      </c>
      <c r="Q15" s="1905" t="str">
        <f t="shared" si="6"/>
        <v>办公集聚程度</v>
      </c>
      <c r="R15" s="754" t="s">
        <v>25</v>
      </c>
      <c r="S15" s="755">
        <f t="shared" si="0"/>
        <v>100</v>
      </c>
      <c r="T15" s="754" t="s">
        <v>25</v>
      </c>
      <c r="U15" s="755">
        <f t="shared" si="1"/>
        <v>100</v>
      </c>
      <c r="V15" s="754" t="s">
        <v>25</v>
      </c>
      <c r="W15" s="755">
        <f t="shared" si="2"/>
        <v>100</v>
      </c>
      <c r="X15" s="1906"/>
      <c r="Y15" s="3029" t="s">
        <v>2366</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60"/>
      <c r="Q16" s="1905"/>
      <c r="R16" s="754"/>
      <c r="S16" s="755"/>
      <c r="T16" s="754"/>
      <c r="U16" s="755"/>
      <c r="V16" s="754"/>
      <c r="W16" s="755"/>
      <c r="X16" s="1906"/>
      <c r="Y16" s="3030"/>
      <c r="Z16" s="1908"/>
      <c r="AA16" s="1909">
        <v>1</v>
      </c>
      <c r="AB16" s="1909">
        <v>1</v>
      </c>
      <c r="AC16" s="1909">
        <v>1</v>
      </c>
    </row>
    <row r="17" spans="1:29" ht="185.25">
      <c r="A17" s="409"/>
      <c r="B17" s="616" t="s">
        <v>1751</v>
      </c>
      <c r="C17" s="2475"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60"/>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60"/>
      <c r="Q18" s="1905"/>
      <c r="R18" s="754"/>
      <c r="S18" s="755"/>
      <c r="T18" s="754"/>
      <c r="U18" s="755"/>
      <c r="V18" s="754"/>
      <c r="W18" s="755"/>
      <c r="X18" s="1906"/>
      <c r="Y18" s="3030"/>
      <c r="Z18" s="1908"/>
      <c r="AA18" s="1909">
        <v>1</v>
      </c>
      <c r="AB18" s="1909">
        <v>1</v>
      </c>
      <c r="AC18" s="1909">
        <v>1</v>
      </c>
    </row>
    <row r="19" spans="1:29" ht="42.75">
      <c r="A19" s="409"/>
      <c r="B19" s="616" t="s">
        <v>2481</v>
      </c>
      <c r="C19" s="2475" t="str">
        <f>估价对象房地状况!C7</f>
        <v>估价对象所在区域公共配套设施齐备情况好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60"/>
      <c r="Q19" s="1905" t="str">
        <f>B19</f>
        <v>公共配套设施</v>
      </c>
      <c r="R19" s="754" t="s">
        <v>25</v>
      </c>
      <c r="S19" s="755">
        <f>F19</f>
        <v>100</v>
      </c>
      <c r="T19" s="754" t="s">
        <v>25</v>
      </c>
      <c r="U19" s="755">
        <f>H19</f>
        <v>100</v>
      </c>
      <c r="V19" s="754" t="s">
        <v>25</v>
      </c>
      <c r="W19" s="755">
        <f>J19</f>
        <v>100</v>
      </c>
      <c r="X19" s="1906"/>
      <c r="Y19" s="3030"/>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60"/>
      <c r="Q20" s="1905"/>
      <c r="R20" s="754"/>
      <c r="S20" s="755"/>
      <c r="T20" s="754"/>
      <c r="U20" s="755"/>
      <c r="V20" s="754"/>
      <c r="W20" s="755"/>
      <c r="X20" s="1906"/>
      <c r="Y20" s="3030"/>
      <c r="Z20" s="1908"/>
      <c r="AA20" s="1909">
        <v>1</v>
      </c>
      <c r="AB20" s="1909">
        <v>1</v>
      </c>
      <c r="AC20" s="1909">
        <v>1</v>
      </c>
    </row>
    <row r="21" spans="1:29" ht="42.75">
      <c r="A21" s="409"/>
      <c r="B21" s="618" t="s">
        <v>2482</v>
      </c>
      <c r="C21" s="2475" t="str">
        <f>估价对象房地状况!C8</f>
        <v>估价对象所在区域基础设施水平——五通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60"/>
      <c r="Q21" s="1905" t="str">
        <f>B21</f>
        <v>基础设施水平</v>
      </c>
      <c r="R21" s="754" t="s">
        <v>25</v>
      </c>
      <c r="S21" s="755">
        <f>F21</f>
        <v>100</v>
      </c>
      <c r="T21" s="754" t="s">
        <v>25</v>
      </c>
      <c r="U21" s="755">
        <f>H21</f>
        <v>100</v>
      </c>
      <c r="V21" s="754" t="s">
        <v>25</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60"/>
      <c r="Q22" s="1905"/>
      <c r="R22" s="754"/>
      <c r="S22" s="755"/>
      <c r="T22" s="754"/>
      <c r="U22" s="755"/>
      <c r="V22" s="754"/>
      <c r="W22" s="755"/>
      <c r="X22" s="1906"/>
      <c r="Y22" s="3030"/>
      <c r="Z22" s="1908"/>
      <c r="AA22" s="1909">
        <v>1</v>
      </c>
      <c r="AB22" s="1909">
        <v>1</v>
      </c>
      <c r="AC22" s="1909">
        <v>1</v>
      </c>
    </row>
    <row r="23" spans="1:29" ht="71.25">
      <c r="A23" s="409"/>
      <c r="B23" s="616" t="s">
        <v>2483</v>
      </c>
      <c r="C23" s="2475" t="str">
        <f>估价对象房地状况!C9</f>
        <v>自然环境：海淀公园等；人文环境：北京大学等，综合评价环境状况较好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60"/>
      <c r="Q23" s="1905" t="str">
        <f>B23</f>
        <v>环境质量</v>
      </c>
      <c r="R23" s="754" t="s">
        <v>25</v>
      </c>
      <c r="S23" s="755">
        <f>F23</f>
        <v>100</v>
      </c>
      <c r="T23" s="754" t="s">
        <v>25</v>
      </c>
      <c r="U23" s="755">
        <f>H23</f>
        <v>100</v>
      </c>
      <c r="V23" s="754" t="s">
        <v>25</v>
      </c>
      <c r="W23" s="755">
        <f>J23</f>
        <v>100</v>
      </c>
      <c r="X23" s="1906"/>
      <c r="Y23" s="3030"/>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60"/>
      <c r="Q24" s="1905"/>
      <c r="R24" s="754"/>
      <c r="S24" s="755"/>
      <c r="T24" s="754"/>
      <c r="U24" s="755"/>
      <c r="V24" s="754"/>
      <c r="W24" s="755"/>
      <c r="X24" s="1906"/>
      <c r="Y24" s="3030"/>
      <c r="Z24" s="1908"/>
      <c r="AA24" s="1909">
        <v>1</v>
      </c>
      <c r="AB24" s="1909">
        <v>1</v>
      </c>
      <c r="AC24" s="1909">
        <v>1</v>
      </c>
    </row>
    <row r="25" spans="1:29" ht="27">
      <c r="A25" s="384"/>
      <c r="B25" s="616" t="s">
        <v>2484</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60"/>
      <c r="Q25" s="1905" t="str">
        <f>B25</f>
        <v>毗邻道路的类型与等级</v>
      </c>
      <c r="R25" s="754" t="s">
        <v>25</v>
      </c>
      <c r="S25" s="755">
        <f>F25</f>
        <v>100</v>
      </c>
      <c r="T25" s="754" t="s">
        <v>25</v>
      </c>
      <c r="U25" s="755">
        <f>H25</f>
        <v>100</v>
      </c>
      <c r="V25" s="754" t="s">
        <v>25</v>
      </c>
      <c r="W25" s="755">
        <f>J25</f>
        <v>100</v>
      </c>
      <c r="X25" s="1906"/>
      <c r="Y25" s="3030"/>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60"/>
      <c r="Q26" s="1905"/>
      <c r="R26" s="754"/>
      <c r="S26" s="755"/>
      <c r="T26" s="754"/>
      <c r="U26" s="755"/>
      <c r="V26" s="754"/>
      <c r="W26" s="755"/>
      <c r="X26" s="1906"/>
      <c r="Y26" s="3030"/>
      <c r="Z26" s="1908"/>
      <c r="AA26" s="1909">
        <v>1</v>
      </c>
      <c r="AB26" s="1909">
        <v>1</v>
      </c>
      <c r="AC26" s="1909">
        <v>1</v>
      </c>
    </row>
    <row r="27" spans="1:29" ht="15">
      <c r="A27" s="409"/>
      <c r="B27" s="617" t="s">
        <v>2457</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60"/>
      <c r="Q27" s="1905" t="str">
        <f t="shared" ref="Q27:Q47" si="11">B27</f>
        <v>楼层</v>
      </c>
      <c r="R27" s="754" t="s">
        <v>25</v>
      </c>
      <c r="S27" s="755">
        <f>F27</f>
        <v>100</v>
      </c>
      <c r="T27" s="754" t="s">
        <v>25</v>
      </c>
      <c r="U27" s="755">
        <f>H27</f>
        <v>100</v>
      </c>
      <c r="V27" s="754" t="s">
        <v>25</v>
      </c>
      <c r="W27" s="755">
        <f>J27</f>
        <v>100</v>
      </c>
      <c r="X27" s="1906"/>
      <c r="Y27" s="3030"/>
      <c r="Z27" s="1908" t="str">
        <f>Q27</f>
        <v>楼层</v>
      </c>
      <c r="AA27" s="1909">
        <f t="shared" si="3"/>
        <v>1</v>
      </c>
      <c r="AB27" s="1909">
        <f t="shared" si="4"/>
        <v>1</v>
      </c>
      <c r="AC27" s="1909">
        <f t="shared" si="5"/>
        <v>1</v>
      </c>
    </row>
    <row r="28" spans="1:29" s="35" customFormat="1" ht="15">
      <c r="A28" s="412"/>
      <c r="B28" s="616" t="s">
        <v>2485</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60"/>
      <c r="Q28" s="1893" t="str">
        <f t="shared" si="11"/>
        <v>朝向</v>
      </c>
      <c r="R28" s="750" t="s">
        <v>25</v>
      </c>
      <c r="S28" s="751">
        <f>F28</f>
        <v>100</v>
      </c>
      <c r="T28" s="750" t="s">
        <v>25</v>
      </c>
      <c r="U28" s="751">
        <f>H28</f>
        <v>100</v>
      </c>
      <c r="V28" s="750" t="s">
        <v>25</v>
      </c>
      <c r="W28" s="751">
        <f>J28</f>
        <v>100</v>
      </c>
      <c r="X28" s="752"/>
      <c r="Y28" s="3030"/>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60"/>
      <c r="Q29" s="1905">
        <f t="shared" si="11"/>
        <v>111</v>
      </c>
      <c r="R29" s="754" t="s">
        <v>25</v>
      </c>
      <c r="S29" s="755">
        <f t="shared" ref="S29:S47" si="12">F29</f>
        <v>100</v>
      </c>
      <c r="T29" s="754" t="s">
        <v>25</v>
      </c>
      <c r="U29" s="755">
        <f t="shared" ref="U29:U47" si="13">H29</f>
        <v>100</v>
      </c>
      <c r="V29" s="754" t="s">
        <v>25</v>
      </c>
      <c r="W29" s="755">
        <f t="shared" ref="W29:W47" si="14">J29</f>
        <v>100</v>
      </c>
      <c r="X29" s="1906"/>
      <c r="Y29" s="3030"/>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60"/>
      <c r="Q30" s="1905">
        <f t="shared" si="11"/>
        <v>111</v>
      </c>
      <c r="R30" s="754" t="s">
        <v>25</v>
      </c>
      <c r="S30" s="755">
        <f t="shared" si="12"/>
        <v>100</v>
      </c>
      <c r="T30" s="754" t="s">
        <v>25</v>
      </c>
      <c r="U30" s="755">
        <f t="shared" si="13"/>
        <v>100</v>
      </c>
      <c r="V30" s="754" t="s">
        <v>25</v>
      </c>
      <c r="W30" s="755">
        <f t="shared" si="14"/>
        <v>100</v>
      </c>
      <c r="X30" s="1906"/>
      <c r="Y30" s="3030"/>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60"/>
      <c r="Q31" s="1905">
        <f t="shared" si="11"/>
        <v>111</v>
      </c>
      <c r="R31" s="754" t="s">
        <v>25</v>
      </c>
      <c r="S31" s="755">
        <f t="shared" si="12"/>
        <v>100</v>
      </c>
      <c r="T31" s="754" t="s">
        <v>25</v>
      </c>
      <c r="U31" s="755">
        <f t="shared" si="13"/>
        <v>100</v>
      </c>
      <c r="V31" s="754" t="s">
        <v>25</v>
      </c>
      <c r="W31" s="755">
        <f t="shared" si="14"/>
        <v>100</v>
      </c>
      <c r="X31" s="1906"/>
      <c r="Y31" s="3030"/>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60"/>
      <c r="Q32" s="1905">
        <f t="shared" si="11"/>
        <v>111</v>
      </c>
      <c r="R32" s="754" t="s">
        <v>25</v>
      </c>
      <c r="S32" s="755">
        <f t="shared" si="12"/>
        <v>100</v>
      </c>
      <c r="T32" s="754" t="s">
        <v>25</v>
      </c>
      <c r="U32" s="755">
        <f t="shared" si="13"/>
        <v>100</v>
      </c>
      <c r="V32" s="754" t="s">
        <v>25</v>
      </c>
      <c r="W32" s="755">
        <f t="shared" si="14"/>
        <v>100</v>
      </c>
      <c r="X32" s="1906"/>
      <c r="Y32" s="3030"/>
      <c r="Z32" s="1908">
        <f t="shared" si="15"/>
        <v>111</v>
      </c>
      <c r="AA32" s="1909">
        <f t="shared" si="3"/>
        <v>1</v>
      </c>
      <c r="AB32" s="1909">
        <f t="shared" si="4"/>
        <v>1</v>
      </c>
      <c r="AC32" s="1909">
        <f t="shared" si="5"/>
        <v>1</v>
      </c>
    </row>
    <row r="33" spans="1:29" ht="15">
      <c r="A33" s="420" t="s">
        <v>2370</v>
      </c>
      <c r="B33" s="28" t="s">
        <v>2486</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74" t="s">
        <v>2372</v>
      </c>
      <c r="Q33" s="1905" t="str">
        <f t="shared" si="11"/>
        <v>建筑类型</v>
      </c>
      <c r="R33" s="754" t="s">
        <v>25</v>
      </c>
      <c r="S33" s="755">
        <f t="shared" si="12"/>
        <v>100</v>
      </c>
      <c r="T33" s="754" t="s">
        <v>25</v>
      </c>
      <c r="U33" s="755">
        <f t="shared" si="13"/>
        <v>100</v>
      </c>
      <c r="V33" s="754" t="s">
        <v>25</v>
      </c>
      <c r="W33" s="755">
        <f t="shared" si="14"/>
        <v>100</v>
      </c>
      <c r="X33" s="1906"/>
      <c r="Y33" s="3034" t="s">
        <v>2372</v>
      </c>
      <c r="Z33" s="1908" t="str">
        <f t="shared" si="15"/>
        <v>建筑类型</v>
      </c>
      <c r="AA33" s="1909">
        <f t="shared" si="3"/>
        <v>1</v>
      </c>
      <c r="AB33" s="1909">
        <f t="shared" si="4"/>
        <v>1</v>
      </c>
      <c r="AC33" s="1909">
        <f t="shared" si="5"/>
        <v>1</v>
      </c>
    </row>
    <row r="34" spans="1:29" s="453" customFormat="1" ht="15">
      <c r="A34" s="450"/>
      <c r="B34" s="403" t="s">
        <v>2373</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5"/>
      <c r="Q34" s="756" t="str">
        <f t="shared" si="11"/>
        <v>项目建筑规模</v>
      </c>
      <c r="R34" s="757" t="s">
        <v>25</v>
      </c>
      <c r="S34" s="758" t="e">
        <f t="shared" si="12"/>
        <v>#N/A</v>
      </c>
      <c r="T34" s="757" t="s">
        <v>25</v>
      </c>
      <c r="U34" s="758" t="e">
        <f t="shared" si="13"/>
        <v>#N/A</v>
      </c>
      <c r="V34" s="757" t="s">
        <v>25</v>
      </c>
      <c r="W34" s="758" t="e">
        <f t="shared" si="14"/>
        <v>#N/A</v>
      </c>
      <c r="X34" s="759"/>
      <c r="Y34" s="3034"/>
      <c r="Z34" s="760" t="str">
        <f t="shared" si="15"/>
        <v>项目建筑规模</v>
      </c>
      <c r="AA34" s="1909" t="e">
        <f t="shared" si="3"/>
        <v>#N/A</v>
      </c>
      <c r="AB34" s="1909" t="e">
        <f t="shared" si="4"/>
        <v>#N/A</v>
      </c>
      <c r="AC34" s="1909" t="e">
        <f t="shared" si="5"/>
        <v>#N/A</v>
      </c>
    </row>
    <row r="35" spans="1:29" ht="15">
      <c r="A35" s="454"/>
      <c r="B35" s="403" t="s">
        <v>2374</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5"/>
      <c r="Q35" s="1905" t="str">
        <f t="shared" si="11"/>
        <v>建筑结构</v>
      </c>
      <c r="R35" s="754" t="s">
        <v>25</v>
      </c>
      <c r="S35" s="755">
        <f t="shared" si="12"/>
        <v>100</v>
      </c>
      <c r="T35" s="754" t="s">
        <v>25</v>
      </c>
      <c r="U35" s="755">
        <f t="shared" si="13"/>
        <v>100</v>
      </c>
      <c r="V35" s="754" t="s">
        <v>25</v>
      </c>
      <c r="W35" s="755">
        <f t="shared" si="14"/>
        <v>100</v>
      </c>
      <c r="X35" s="1906"/>
      <c r="Y35" s="3034"/>
      <c r="Z35" s="1908" t="str">
        <f t="shared" si="15"/>
        <v>建筑结构</v>
      </c>
      <c r="AA35" s="1909">
        <f t="shared" si="3"/>
        <v>1</v>
      </c>
      <c r="AB35" s="1909">
        <f t="shared" si="4"/>
        <v>1</v>
      </c>
      <c r="AC35" s="1909">
        <f t="shared" si="5"/>
        <v>1</v>
      </c>
    </row>
    <row r="36" spans="1:29" ht="15">
      <c r="A36" s="454"/>
      <c r="B36" s="403" t="s">
        <v>2459</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5"/>
      <c r="Q36" s="1905" t="str">
        <f t="shared" si="11"/>
        <v>公共部分装修</v>
      </c>
      <c r="R36" s="754" t="s">
        <v>25</v>
      </c>
      <c r="S36" s="755">
        <f t="shared" si="12"/>
        <v>100</v>
      </c>
      <c r="T36" s="754" t="s">
        <v>25</v>
      </c>
      <c r="U36" s="755">
        <f t="shared" si="13"/>
        <v>100</v>
      </c>
      <c r="V36" s="754" t="s">
        <v>25</v>
      </c>
      <c r="W36" s="755">
        <f t="shared" si="14"/>
        <v>100</v>
      </c>
      <c r="X36" s="1906"/>
      <c r="Y36" s="3034"/>
      <c r="Z36" s="1908" t="str">
        <f t="shared" si="15"/>
        <v>公共部分装修</v>
      </c>
      <c r="AA36" s="1909">
        <f t="shared" si="3"/>
        <v>1</v>
      </c>
      <c r="AB36" s="1909">
        <f t="shared" si="4"/>
        <v>1</v>
      </c>
      <c r="AC36" s="1909">
        <f t="shared" si="5"/>
        <v>1</v>
      </c>
    </row>
    <row r="37" spans="1:29" ht="15">
      <c r="A37" s="454"/>
      <c r="B37" s="403" t="s">
        <v>2460</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5"/>
      <c r="Q37" s="1905" t="str">
        <f t="shared" si="11"/>
        <v>成新度</v>
      </c>
      <c r="R37" s="754" t="s">
        <v>25</v>
      </c>
      <c r="S37" s="755" t="e">
        <f t="shared" si="12"/>
        <v>#N/A</v>
      </c>
      <c r="T37" s="754" t="s">
        <v>25</v>
      </c>
      <c r="U37" s="755" t="e">
        <f t="shared" si="13"/>
        <v>#N/A</v>
      </c>
      <c r="V37" s="754" t="s">
        <v>25</v>
      </c>
      <c r="W37" s="755" t="e">
        <f t="shared" si="14"/>
        <v>#N/A</v>
      </c>
      <c r="X37" s="1906"/>
      <c r="Y37" s="3034"/>
      <c r="Z37" s="1908" t="str">
        <f t="shared" si="15"/>
        <v>成新度</v>
      </c>
      <c r="AA37" s="1909" t="e">
        <f t="shared" si="3"/>
        <v>#N/A</v>
      </c>
      <c r="AB37" s="1909" t="e">
        <f t="shared" si="4"/>
        <v>#N/A</v>
      </c>
      <c r="AC37" s="1909" t="e">
        <f t="shared" si="5"/>
        <v>#N/A</v>
      </c>
    </row>
    <row r="38" spans="1:29" s="35" customFormat="1" ht="15">
      <c r="A38" s="455"/>
      <c r="B38" s="403" t="s">
        <v>2487</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5"/>
      <c r="Q38" s="1893" t="str">
        <f t="shared" si="11"/>
        <v>写字楼等级</v>
      </c>
      <c r="R38" s="750" t="s">
        <v>25</v>
      </c>
      <c r="S38" s="751">
        <f t="shared" si="12"/>
        <v>100</v>
      </c>
      <c r="T38" s="750" t="s">
        <v>25</v>
      </c>
      <c r="U38" s="751">
        <f t="shared" si="13"/>
        <v>100</v>
      </c>
      <c r="V38" s="750" t="s">
        <v>25</v>
      </c>
      <c r="W38" s="751">
        <f t="shared" si="14"/>
        <v>100</v>
      </c>
      <c r="X38" s="752"/>
      <c r="Y38" s="3034"/>
      <c r="Z38" s="23" t="str">
        <f t="shared" si="15"/>
        <v>写字楼等级</v>
      </c>
      <c r="AA38" s="753">
        <f t="shared" si="3"/>
        <v>1</v>
      </c>
      <c r="AB38" s="753">
        <f t="shared" si="4"/>
        <v>1</v>
      </c>
      <c r="AC38" s="753">
        <f t="shared" si="5"/>
        <v>1</v>
      </c>
    </row>
    <row r="39" spans="1:29" ht="15">
      <c r="A39" s="454"/>
      <c r="B39" s="403" t="s">
        <v>2488</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5" t="s">
        <v>2372</v>
      </c>
      <c r="Q39" s="1905" t="str">
        <f t="shared" si="11"/>
        <v>物业管理</v>
      </c>
      <c r="R39" s="754" t="s">
        <v>25</v>
      </c>
      <c r="S39" s="755">
        <f t="shared" si="12"/>
        <v>100</v>
      </c>
      <c r="T39" s="754" t="s">
        <v>25</v>
      </c>
      <c r="U39" s="755">
        <f t="shared" si="13"/>
        <v>100</v>
      </c>
      <c r="V39" s="754" t="s">
        <v>25</v>
      </c>
      <c r="W39" s="755">
        <f t="shared" si="14"/>
        <v>100</v>
      </c>
      <c r="X39" s="1906"/>
      <c r="Y39" s="3034" t="s">
        <v>2372</v>
      </c>
      <c r="Z39" s="1908" t="str">
        <f t="shared" si="15"/>
        <v>物业管理</v>
      </c>
      <c r="AA39" s="1909">
        <f t="shared" si="3"/>
        <v>1</v>
      </c>
      <c r="AB39" s="1909">
        <f t="shared" si="4"/>
        <v>1</v>
      </c>
      <c r="AC39" s="1909">
        <f t="shared" si="5"/>
        <v>1</v>
      </c>
    </row>
    <row r="40" spans="1:29" ht="15">
      <c r="A40" s="454"/>
      <c r="B40" s="403" t="s">
        <v>2461</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5"/>
      <c r="Q40" s="1905" t="str">
        <f t="shared" si="11"/>
        <v>市政基础设施</v>
      </c>
      <c r="R40" s="754" t="s">
        <v>25</v>
      </c>
      <c r="S40" s="755">
        <f t="shared" si="12"/>
        <v>100</v>
      </c>
      <c r="T40" s="754" t="s">
        <v>25</v>
      </c>
      <c r="U40" s="755">
        <f t="shared" si="13"/>
        <v>100</v>
      </c>
      <c r="V40" s="754" t="s">
        <v>25</v>
      </c>
      <c r="W40" s="755">
        <f t="shared" si="14"/>
        <v>100</v>
      </c>
      <c r="X40" s="1906"/>
      <c r="Y40" s="3034"/>
      <c r="Z40" s="1908" t="str">
        <f t="shared" si="15"/>
        <v>市政基础设施</v>
      </c>
      <c r="AA40" s="1909">
        <f t="shared" si="3"/>
        <v>1</v>
      </c>
      <c r="AB40" s="1909">
        <f t="shared" si="4"/>
        <v>1</v>
      </c>
      <c r="AC40" s="1909">
        <f t="shared" si="5"/>
        <v>1</v>
      </c>
    </row>
    <row r="41" spans="1:29" ht="15">
      <c r="A41" s="454"/>
      <c r="B41" s="403" t="s">
        <v>2463</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5"/>
      <c r="Q41" s="1905" t="str">
        <f t="shared" si="11"/>
        <v>层高</v>
      </c>
      <c r="R41" s="754" t="s">
        <v>25</v>
      </c>
      <c r="S41" s="755">
        <f t="shared" si="12"/>
        <v>100</v>
      </c>
      <c r="T41" s="754" t="s">
        <v>25</v>
      </c>
      <c r="U41" s="755">
        <f t="shared" si="13"/>
        <v>100</v>
      </c>
      <c r="V41" s="754" t="s">
        <v>25</v>
      </c>
      <c r="W41" s="755">
        <f t="shared" si="14"/>
        <v>100</v>
      </c>
      <c r="X41" s="1906"/>
      <c r="Y41" s="3034"/>
      <c r="Z41" s="1908" t="str">
        <f t="shared" si="15"/>
        <v>层高</v>
      </c>
      <c r="AA41" s="1909">
        <f t="shared" si="3"/>
        <v>1</v>
      </c>
      <c r="AB41" s="1909">
        <f t="shared" si="4"/>
        <v>1</v>
      </c>
      <c r="AC41" s="1909">
        <f t="shared" si="5"/>
        <v>1</v>
      </c>
    </row>
    <row r="42" spans="1:29" s="453" customFormat="1" ht="15">
      <c r="A42" s="450"/>
      <c r="B42" s="1910" t="s">
        <v>2489</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5"/>
      <c r="Q42" s="756" t="str">
        <f t="shared" si="11"/>
        <v>单套建筑面积</v>
      </c>
      <c r="R42" s="757" t="s">
        <v>25</v>
      </c>
      <c r="S42" s="758">
        <f t="shared" si="12"/>
        <v>100</v>
      </c>
      <c r="T42" s="757" t="s">
        <v>25</v>
      </c>
      <c r="U42" s="758">
        <f t="shared" si="13"/>
        <v>100</v>
      </c>
      <c r="V42" s="757" t="s">
        <v>25</v>
      </c>
      <c r="W42" s="758">
        <f t="shared" si="14"/>
        <v>100</v>
      </c>
      <c r="X42" s="759"/>
      <c r="Y42" s="3034"/>
      <c r="Z42" s="760" t="str">
        <f t="shared" si="15"/>
        <v>单套建筑面积</v>
      </c>
      <c r="AA42" s="1909">
        <f t="shared" si="3"/>
        <v>1</v>
      </c>
      <c r="AB42" s="1909">
        <f t="shared" si="4"/>
        <v>1</v>
      </c>
      <c r="AC42" s="1909">
        <f t="shared" si="5"/>
        <v>1</v>
      </c>
    </row>
    <row r="43" spans="1:29" ht="15">
      <c r="A43" s="454"/>
      <c r="B43" s="403" t="s">
        <v>2466</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5"/>
      <c r="Q43" s="1905" t="str">
        <f t="shared" si="11"/>
        <v>内部装修</v>
      </c>
      <c r="R43" s="754" t="s">
        <v>25</v>
      </c>
      <c r="S43" s="755">
        <f t="shared" si="12"/>
        <v>100</v>
      </c>
      <c r="T43" s="754" t="s">
        <v>25</v>
      </c>
      <c r="U43" s="755">
        <f t="shared" si="13"/>
        <v>100</v>
      </c>
      <c r="V43" s="754" t="s">
        <v>25</v>
      </c>
      <c r="W43" s="755">
        <f t="shared" si="14"/>
        <v>100</v>
      </c>
      <c r="X43" s="1906"/>
      <c r="Y43" s="3034"/>
      <c r="Z43" s="1908" t="str">
        <f t="shared" si="15"/>
        <v>内部装修</v>
      </c>
      <c r="AA43" s="1909">
        <f t="shared" si="3"/>
        <v>1</v>
      </c>
      <c r="AB43" s="1909">
        <f t="shared" si="4"/>
        <v>1</v>
      </c>
      <c r="AC43" s="1909">
        <f t="shared" si="5"/>
        <v>1</v>
      </c>
    </row>
    <row r="44" spans="1:29" ht="15">
      <c r="A44" s="454"/>
      <c r="B44" s="403" t="s">
        <v>2383</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75"/>
      <c r="Q44" s="1905" t="str">
        <f t="shared" si="11"/>
        <v>内部装修维护情况</v>
      </c>
      <c r="R44" s="754" t="s">
        <v>25</v>
      </c>
      <c r="S44" s="755">
        <f t="shared" si="12"/>
        <v>100</v>
      </c>
      <c r="T44" s="754" t="s">
        <v>25</v>
      </c>
      <c r="U44" s="755">
        <f t="shared" si="13"/>
        <v>100</v>
      </c>
      <c r="V44" s="754" t="s">
        <v>25</v>
      </c>
      <c r="W44" s="755">
        <f t="shared" si="14"/>
        <v>100</v>
      </c>
      <c r="X44" s="1906"/>
      <c r="Y44" s="3034"/>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5"/>
      <c r="Q45" s="1893">
        <f t="shared" si="11"/>
        <v>111</v>
      </c>
      <c r="R45" s="750" t="s">
        <v>25</v>
      </c>
      <c r="S45" s="751">
        <f t="shared" si="12"/>
        <v>100</v>
      </c>
      <c r="T45" s="750" t="s">
        <v>25</v>
      </c>
      <c r="U45" s="751">
        <f t="shared" si="13"/>
        <v>100</v>
      </c>
      <c r="V45" s="750" t="s">
        <v>25</v>
      </c>
      <c r="W45" s="751">
        <f t="shared" si="14"/>
        <v>100</v>
      </c>
      <c r="X45" s="752"/>
      <c r="Y45" s="3034"/>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5"/>
      <c r="Q46" s="1905">
        <f t="shared" si="11"/>
        <v>111</v>
      </c>
      <c r="R46" s="754" t="s">
        <v>25</v>
      </c>
      <c r="S46" s="755">
        <f t="shared" si="12"/>
        <v>100</v>
      </c>
      <c r="T46" s="754" t="s">
        <v>25</v>
      </c>
      <c r="U46" s="755">
        <f t="shared" si="13"/>
        <v>100</v>
      </c>
      <c r="V46" s="754" t="s">
        <v>25</v>
      </c>
      <c r="W46" s="755">
        <f t="shared" si="14"/>
        <v>100</v>
      </c>
      <c r="X46" s="1906"/>
      <c r="Y46" s="3034"/>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76"/>
      <c r="Q47" s="1905">
        <f t="shared" si="11"/>
        <v>111</v>
      </c>
      <c r="R47" s="754" t="s">
        <v>25</v>
      </c>
      <c r="S47" s="755">
        <f t="shared" si="12"/>
        <v>100</v>
      </c>
      <c r="T47" s="754" t="s">
        <v>25</v>
      </c>
      <c r="U47" s="755">
        <f t="shared" si="13"/>
        <v>100</v>
      </c>
      <c r="V47" s="754" t="s">
        <v>25</v>
      </c>
      <c r="W47" s="755">
        <f t="shared" si="14"/>
        <v>100</v>
      </c>
      <c r="X47" s="1906"/>
      <c r="Y47" s="3035"/>
      <c r="Z47" s="1908">
        <f t="shared" si="15"/>
        <v>111</v>
      </c>
      <c r="AA47" s="1909">
        <f t="shared" si="3"/>
        <v>1</v>
      </c>
      <c r="AB47" s="1909">
        <f t="shared" si="4"/>
        <v>1</v>
      </c>
      <c r="AC47" s="1909">
        <f t="shared" si="5"/>
        <v>1</v>
      </c>
    </row>
    <row r="48" spans="1:29" ht="15">
      <c r="A48" s="461" t="s">
        <v>2384</v>
      </c>
      <c r="B48" s="462"/>
      <c r="C48" s="1504" t="s">
        <v>1</v>
      </c>
      <c r="D48" s="1505"/>
      <c r="E48" s="1506"/>
      <c r="F48" s="1507"/>
      <c r="G48" s="1508"/>
      <c r="H48" s="1509"/>
      <c r="I48" s="1506"/>
      <c r="J48" s="1509"/>
      <c r="K48" s="763"/>
      <c r="L48" s="1258"/>
      <c r="M48" s="1246"/>
      <c r="N48" s="1246"/>
      <c r="O48" s="1246"/>
      <c r="P48" s="3024" t="str">
        <f>A48</f>
        <v>成交单价（元/平方米）</v>
      </c>
      <c r="Q48" s="3026"/>
      <c r="R48" s="3022">
        <f>E48</f>
        <v>0</v>
      </c>
      <c r="S48" s="3022"/>
      <c r="T48" s="3022">
        <f>G48</f>
        <v>0</v>
      </c>
      <c r="U48" s="3022"/>
      <c r="V48" s="3022">
        <f>I48</f>
        <v>0</v>
      </c>
      <c r="W48" s="3022"/>
      <c r="X48" s="739"/>
      <c r="Y48" s="761"/>
      <c r="Z48" s="739"/>
      <c r="AA48" s="739"/>
      <c r="AB48" s="739"/>
      <c r="AC48" s="739"/>
    </row>
    <row r="49" spans="1:29" ht="15.75" thickBot="1">
      <c r="A49" s="468" t="s">
        <v>2467</v>
      </c>
      <c r="B49" s="469"/>
      <c r="C49" s="1510" t="e">
        <f>R50</f>
        <v>#DIV/0!</v>
      </c>
      <c r="D49" s="1511"/>
      <c r="E49" s="1512" t="e">
        <f>R49</f>
        <v>#DIV/0!</v>
      </c>
      <c r="F49" s="1512"/>
      <c r="G49" s="1510" t="e">
        <f>T49</f>
        <v>#DIV/0!</v>
      </c>
      <c r="H49" s="1511"/>
      <c r="I49" s="1512" t="e">
        <f>V49</f>
        <v>#DIV/0!</v>
      </c>
      <c r="J49" s="1511"/>
      <c r="K49" s="764"/>
      <c r="L49" s="1258"/>
      <c r="M49" s="1246"/>
      <c r="N49" s="1246"/>
      <c r="O49" s="1246"/>
      <c r="P49" s="3024" t="str">
        <f>A49</f>
        <v>比较价值（元/平方米）</v>
      </c>
      <c r="Q49" s="3026"/>
      <c r="R49" s="3022" t="e">
        <f>IF(E1="售价",ROUND(PRODUCT(R48,AA7:AA47),0),ROUND(PRODUCT(R48,AA7:AA47),1))</f>
        <v>#DIV/0!</v>
      </c>
      <c r="S49" s="3022"/>
      <c r="T49" s="3022" t="e">
        <f>IF(E1="售价",ROUND(PRODUCT(T48,AB7:AB47),0),ROUND(PRODUCT(T48,AB7:AB47),1))</f>
        <v>#DIV/0!</v>
      </c>
      <c r="U49" s="3022"/>
      <c r="V49" s="3022" t="e">
        <f>IF(E1="售价",ROUND(PRODUCT(V48,AC7:AC47),0),ROUND(PRODUCT(V48,AC7:AC47),1))</f>
        <v>#DIV/0!</v>
      </c>
      <c r="W49" s="3022"/>
      <c r="X49" s="739"/>
      <c r="Y49" s="739"/>
      <c r="Z49" s="739"/>
      <c r="AA49" s="739"/>
      <c r="AB49" s="739"/>
      <c r="AC49" s="739"/>
    </row>
    <row r="50" spans="1:29" ht="15.75" thickBot="1">
      <c r="A50" s="474" t="s">
        <v>2490</v>
      </c>
      <c r="B50" s="475"/>
      <c r="C50" s="1514" t="e">
        <f>R50</f>
        <v>#DIV/0!</v>
      </c>
      <c r="D50" s="1514"/>
      <c r="E50" s="1514"/>
      <c r="F50" s="1514"/>
      <c r="G50" s="1514"/>
      <c r="H50" s="1514"/>
      <c r="I50" s="1514"/>
      <c r="J50" s="1514"/>
      <c r="K50" s="765"/>
      <c r="L50" s="1258"/>
      <c r="M50" s="1246"/>
      <c r="N50" s="1246"/>
      <c r="O50" s="1246"/>
      <c r="P50" s="3073" t="str">
        <f>A50</f>
        <v>估价对象XX用房的比较价值（楼面单价，元/平方米）</v>
      </c>
      <c r="Q50" s="3024"/>
      <c r="R50" s="3025" t="e">
        <f>IF(E1="售价",ROUND(AVERAGE(R49:V49),0),ROUND(AVERAGE(R49:V49),1))</f>
        <v>#DIV/0!</v>
      </c>
      <c r="S50" s="3025"/>
      <c r="T50" s="3025"/>
      <c r="U50" s="3025"/>
      <c r="V50" s="3025"/>
      <c r="W50" s="3025"/>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2469</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2470</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2471</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2472</v>
      </c>
      <c r="B58" s="739"/>
      <c r="C58" s="744"/>
      <c r="D58" s="744"/>
      <c r="E58" s="744"/>
      <c r="F58" s="745"/>
      <c r="G58" s="745"/>
      <c r="H58" s="744"/>
      <c r="I58" s="744"/>
      <c r="J58" s="744"/>
      <c r="K58" s="746"/>
      <c r="L58" s="747"/>
      <c r="M58" s="744"/>
      <c r="N58" s="744"/>
      <c r="O58" s="744"/>
      <c r="P58" s="485"/>
      <c r="Q58" s="486"/>
    </row>
    <row r="59" spans="1:29" s="490" customFormat="1" ht="15">
      <c r="A59" s="487" t="s">
        <v>2354</v>
      </c>
      <c r="B59" s="488"/>
      <c r="C59" s="1684" t="str">
        <f>YEAR(C7)&amp;"-"&amp;MONTH(C7)</f>
        <v>2017-11</v>
      </c>
      <c r="D59" s="1685">
        <f>EDATE(C59,-1)</f>
        <v>43009</v>
      </c>
      <c r="E59" s="1685">
        <f t="shared" ref="E59:O59" si="16">EDATE(D59,-1)</f>
        <v>42979</v>
      </c>
      <c r="F59" s="1685">
        <f t="shared" si="16"/>
        <v>42948</v>
      </c>
      <c r="G59" s="1685">
        <f t="shared" si="16"/>
        <v>42917</v>
      </c>
      <c r="H59" s="1685">
        <f t="shared" si="16"/>
        <v>42887</v>
      </c>
      <c r="I59" s="1685">
        <f t="shared" si="16"/>
        <v>42856</v>
      </c>
      <c r="J59" s="1685">
        <f t="shared" si="16"/>
        <v>42826</v>
      </c>
      <c r="K59" s="1685">
        <f t="shared" si="16"/>
        <v>42795</v>
      </c>
      <c r="L59" s="1685">
        <f t="shared" si="16"/>
        <v>42767</v>
      </c>
      <c r="M59" s="1685">
        <f t="shared" si="16"/>
        <v>42736</v>
      </c>
      <c r="N59" s="1685">
        <f t="shared" si="16"/>
        <v>42705</v>
      </c>
      <c r="O59" s="1685">
        <f t="shared" si="16"/>
        <v>42675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2392</v>
      </c>
      <c r="B61" s="498"/>
      <c r="C61" s="499"/>
      <c r="D61" s="500"/>
      <c r="E61" s="500"/>
      <c r="F61" s="500"/>
      <c r="G61" s="500"/>
      <c r="H61" s="500"/>
      <c r="I61" s="500"/>
      <c r="J61" s="500"/>
      <c r="K61" s="500"/>
      <c r="L61" s="500"/>
      <c r="M61" s="501"/>
      <c r="N61" s="500"/>
      <c r="O61" s="502"/>
      <c r="P61" s="486"/>
      <c r="Q61" s="486"/>
    </row>
    <row r="62" spans="1:29" s="35" customFormat="1" ht="15">
      <c r="A62" s="503" t="s">
        <v>2356</v>
      </c>
      <c r="B62" s="492"/>
      <c r="C62" s="504" t="s">
        <v>2357</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2395</v>
      </c>
      <c r="B64" s="510" t="s">
        <v>2360</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2363</v>
      </c>
      <c r="C66" s="523" t="s">
        <v>2396</v>
      </c>
      <c r="D66" s="523" t="s">
        <v>2397</v>
      </c>
      <c r="E66" s="523" t="s">
        <v>2398</v>
      </c>
      <c r="F66" s="523" t="s">
        <v>2399</v>
      </c>
      <c r="G66" s="523" t="s">
        <v>2400</v>
      </c>
      <c r="H66" s="523" t="s">
        <v>2401</v>
      </c>
      <c r="I66" s="523" t="s">
        <v>2402</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2364</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2365</v>
      </c>
      <c r="B77" s="510" t="s">
        <v>2491</v>
      </c>
      <c r="C77" s="558" t="s">
        <v>2404</v>
      </c>
      <c r="D77" s="558" t="s">
        <v>2405</v>
      </c>
      <c r="E77" s="558" t="s">
        <v>2406</v>
      </c>
      <c r="F77" s="558" t="s">
        <v>2407</v>
      </c>
      <c r="G77" s="558" t="s">
        <v>2408</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2409</v>
      </c>
      <c r="C79" s="563" t="s">
        <v>2404</v>
      </c>
      <c r="D79" s="563" t="s">
        <v>2405</v>
      </c>
      <c r="E79" s="563" t="s">
        <v>2406</v>
      </c>
      <c r="F79" s="563" t="s">
        <v>2407</v>
      </c>
      <c r="G79" s="563" t="s">
        <v>2408</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2410</v>
      </c>
      <c r="C81" s="563" t="s">
        <v>2404</v>
      </c>
      <c r="D81" s="563" t="s">
        <v>2405</v>
      </c>
      <c r="E81" s="563" t="s">
        <v>2406</v>
      </c>
      <c r="F81" s="563" t="s">
        <v>2407</v>
      </c>
      <c r="G81" s="563" t="s">
        <v>2408</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2453</v>
      </c>
      <c r="C83" s="523" t="s">
        <v>2411</v>
      </c>
      <c r="D83" s="523" t="s">
        <v>2412</v>
      </c>
      <c r="E83" s="523" t="s">
        <v>2413</v>
      </c>
      <c r="F83" s="523" t="s">
        <v>2414</v>
      </c>
      <c r="G83" s="523" t="s">
        <v>2415</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2492</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2493</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2370</v>
      </c>
      <c r="B101" s="510" t="s">
        <v>2419</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2420</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2421</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2423</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2424</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2494</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2425</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2426</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2495</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2477</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2428</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2429</v>
      </c>
      <c r="C125" s="563" t="s">
        <v>2404</v>
      </c>
      <c r="D125" s="563" t="s">
        <v>2405</v>
      </c>
      <c r="E125" s="563" t="s">
        <v>2406</v>
      </c>
      <c r="F125" s="563" t="s">
        <v>2407</v>
      </c>
      <c r="G125" s="563" t="s">
        <v>2408</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2496</v>
      </c>
      <c r="C1" s="1732"/>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2340</v>
      </c>
      <c r="D3" s="379">
        <f>IF(C1="仅计算典型户型",'数据-取费表'!E5,'数据-取费表'!B5)</f>
        <v>15.87</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43062</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40" t="s">
        <v>2358</v>
      </c>
      <c r="Q8" s="3041"/>
      <c r="R8" s="750" t="s">
        <v>25</v>
      </c>
      <c r="S8" s="751">
        <f t="shared" si="0"/>
        <v>100</v>
      </c>
      <c r="T8" s="750" t="s">
        <v>25</v>
      </c>
      <c r="U8" s="751">
        <f t="shared" si="1"/>
        <v>100</v>
      </c>
      <c r="V8" s="750" t="s">
        <v>25</v>
      </c>
      <c r="W8" s="751">
        <f t="shared" si="2"/>
        <v>100</v>
      </c>
      <c r="X8" s="752"/>
      <c r="Y8" s="3040" t="s">
        <v>2358</v>
      </c>
      <c r="Z8" s="3041"/>
      <c r="AA8" s="753">
        <f t="shared" ref="AA8:AA40" si="3">D8/F8</f>
        <v>1</v>
      </c>
      <c r="AB8" s="753">
        <f t="shared" ref="AB8:AB40" si="4">D8/H8</f>
        <v>1</v>
      </c>
      <c r="AC8" s="753">
        <f t="shared" ref="AC8:AC40" si="5">D8/J8</f>
        <v>1</v>
      </c>
    </row>
    <row r="9" spans="1:29" s="35" customFormat="1">
      <c r="A9" s="396" t="s">
        <v>2359</v>
      </c>
      <c r="B9" s="28" t="s">
        <v>2360</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26"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26"/>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26"/>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26"/>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57">
      <c r="A15" s="420" t="s">
        <v>2365</v>
      </c>
      <c r="B15" s="26" t="s">
        <v>2497</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29" t="s">
        <v>2366</v>
      </c>
      <c r="Q15" s="1905" t="str">
        <f t="shared" si="6"/>
        <v>产业集聚程度</v>
      </c>
      <c r="R15" s="754" t="s">
        <v>25</v>
      </c>
      <c r="S15" s="755">
        <f t="shared" si="0"/>
        <v>100</v>
      </c>
      <c r="T15" s="754" t="s">
        <v>25</v>
      </c>
      <c r="U15" s="755">
        <f t="shared" si="1"/>
        <v>100</v>
      </c>
      <c r="V15" s="754" t="s">
        <v>25</v>
      </c>
      <c r="W15" s="755">
        <f t="shared" si="2"/>
        <v>100</v>
      </c>
      <c r="X15" s="1906"/>
      <c r="Y15" s="3029" t="s">
        <v>2366</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30"/>
      <c r="Q16" s="1905"/>
      <c r="R16" s="754"/>
      <c r="S16" s="755"/>
      <c r="T16" s="754"/>
      <c r="U16" s="755"/>
      <c r="V16" s="754"/>
      <c r="W16" s="755"/>
      <c r="X16" s="1906"/>
      <c r="Y16" s="3030"/>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30"/>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30"/>
      <c r="Q18" s="1905"/>
      <c r="R18" s="754"/>
      <c r="S18" s="755"/>
      <c r="T18" s="754"/>
      <c r="U18" s="755"/>
      <c r="V18" s="754"/>
      <c r="W18" s="755"/>
      <c r="X18" s="1906"/>
      <c r="Y18" s="3030"/>
      <c r="Z18" s="1908"/>
      <c r="AA18" s="1909">
        <v>1</v>
      </c>
      <c r="AB18" s="1909">
        <v>1</v>
      </c>
      <c r="AC18" s="1909">
        <v>1</v>
      </c>
    </row>
    <row r="19" spans="1:29" ht="42.75">
      <c r="A19" s="409"/>
      <c r="B19" s="616" t="s">
        <v>2481</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30"/>
      <c r="Q19" s="1905" t="str">
        <f>B19</f>
        <v>公共配套设施</v>
      </c>
      <c r="R19" s="754" t="s">
        <v>25</v>
      </c>
      <c r="S19" s="755">
        <f>F19</f>
        <v>100</v>
      </c>
      <c r="T19" s="754" t="s">
        <v>25</v>
      </c>
      <c r="U19" s="755">
        <f>H19</f>
        <v>100</v>
      </c>
      <c r="V19" s="754" t="s">
        <v>25</v>
      </c>
      <c r="W19" s="755">
        <f>J19</f>
        <v>100</v>
      </c>
      <c r="X19" s="1906"/>
      <c r="Y19" s="3030"/>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30"/>
      <c r="Q20" s="1905"/>
      <c r="R20" s="754"/>
      <c r="S20" s="755"/>
      <c r="T20" s="754"/>
      <c r="U20" s="755"/>
      <c r="V20" s="754"/>
      <c r="W20" s="755"/>
      <c r="X20" s="1906"/>
      <c r="Y20" s="3030"/>
      <c r="Z20" s="1908"/>
      <c r="AA20" s="1909">
        <v>1</v>
      </c>
      <c r="AB20" s="1909">
        <v>1</v>
      </c>
      <c r="AC20" s="1909">
        <v>1</v>
      </c>
    </row>
    <row r="21" spans="1:29" ht="28.5">
      <c r="A21" s="409"/>
      <c r="B21" s="618" t="s">
        <v>2482</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30"/>
      <c r="Q21" s="1905" t="str">
        <f>B21</f>
        <v>基础设施水平</v>
      </c>
      <c r="R21" s="754" t="s">
        <v>25</v>
      </c>
      <c r="S21" s="755">
        <f>F21</f>
        <v>100</v>
      </c>
      <c r="T21" s="754" t="s">
        <v>25</v>
      </c>
      <c r="U21" s="755">
        <f>H21</f>
        <v>100</v>
      </c>
      <c r="V21" s="754" t="s">
        <v>25</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30"/>
      <c r="Q22" s="1905"/>
      <c r="R22" s="754"/>
      <c r="S22" s="755"/>
      <c r="T22" s="754"/>
      <c r="U22" s="755"/>
      <c r="V22" s="754"/>
      <c r="W22" s="755"/>
      <c r="X22" s="1906"/>
      <c r="Y22" s="3030"/>
      <c r="Z22" s="1908"/>
      <c r="AA22" s="1909">
        <v>1</v>
      </c>
      <c r="AB22" s="1909">
        <v>1</v>
      </c>
      <c r="AC22" s="1909">
        <v>1</v>
      </c>
    </row>
    <row r="23" spans="1:29" ht="71.25">
      <c r="A23" s="409"/>
      <c r="B23" s="432" t="s">
        <v>2483</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30"/>
      <c r="Q23" s="1905" t="str">
        <f>B23</f>
        <v>环境质量</v>
      </c>
      <c r="R23" s="754" t="s">
        <v>25</v>
      </c>
      <c r="S23" s="755">
        <f>F23</f>
        <v>100</v>
      </c>
      <c r="T23" s="754" t="s">
        <v>25</v>
      </c>
      <c r="U23" s="755">
        <f>H23</f>
        <v>100</v>
      </c>
      <c r="V23" s="754" t="s">
        <v>25</v>
      </c>
      <c r="W23" s="755">
        <f>J23</f>
        <v>100</v>
      </c>
      <c r="X23" s="1906"/>
      <c r="Y23" s="3030"/>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30"/>
      <c r="Q24" s="1905"/>
      <c r="R24" s="754"/>
      <c r="S24" s="755"/>
      <c r="T24" s="754"/>
      <c r="U24" s="755"/>
      <c r="V24" s="754"/>
      <c r="W24" s="755"/>
      <c r="X24" s="1906"/>
      <c r="Y24" s="3030"/>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30"/>
      <c r="Q25" s="1905">
        <f>B25</f>
        <v>111</v>
      </c>
      <c r="R25" s="754" t="s">
        <v>25</v>
      </c>
      <c r="S25" s="755">
        <f>F25</f>
        <v>100</v>
      </c>
      <c r="T25" s="754" t="s">
        <v>25</v>
      </c>
      <c r="U25" s="755">
        <f>H25</f>
        <v>100</v>
      </c>
      <c r="V25" s="754" t="s">
        <v>25</v>
      </c>
      <c r="W25" s="755">
        <f>J25</f>
        <v>100</v>
      </c>
      <c r="X25" s="1906"/>
      <c r="Y25" s="3030"/>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30"/>
      <c r="Q26" s="1905">
        <f t="shared" ref="Q26:Q40" si="11">B26</f>
        <v>111</v>
      </c>
      <c r="R26" s="754" t="s">
        <v>25</v>
      </c>
      <c r="S26" s="755">
        <f>F26</f>
        <v>100</v>
      </c>
      <c r="T26" s="754" t="s">
        <v>25</v>
      </c>
      <c r="U26" s="755">
        <f>H26</f>
        <v>100</v>
      </c>
      <c r="V26" s="754" t="s">
        <v>25</v>
      </c>
      <c r="W26" s="755">
        <f>J26</f>
        <v>100</v>
      </c>
      <c r="X26" s="1906"/>
      <c r="Y26" s="3030"/>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30"/>
      <c r="Q27" s="1893">
        <f t="shared" si="11"/>
        <v>111</v>
      </c>
      <c r="R27" s="750" t="s">
        <v>25</v>
      </c>
      <c r="S27" s="751">
        <f>F27</f>
        <v>100</v>
      </c>
      <c r="T27" s="750" t="s">
        <v>25</v>
      </c>
      <c r="U27" s="751">
        <f>H27</f>
        <v>100</v>
      </c>
      <c r="V27" s="750" t="s">
        <v>25</v>
      </c>
      <c r="W27" s="751">
        <f>J27</f>
        <v>100</v>
      </c>
      <c r="X27" s="752"/>
      <c r="Y27" s="3030"/>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30"/>
      <c r="Q28" s="1905">
        <f t="shared" si="11"/>
        <v>111</v>
      </c>
      <c r="R28" s="754" t="s">
        <v>25</v>
      </c>
      <c r="S28" s="755">
        <f t="shared" ref="S28:S40" si="12">F28</f>
        <v>100</v>
      </c>
      <c r="T28" s="754" t="s">
        <v>25</v>
      </c>
      <c r="U28" s="755">
        <f t="shared" ref="U28:U40" si="13">H28</f>
        <v>100</v>
      </c>
      <c r="V28" s="754" t="s">
        <v>25</v>
      </c>
      <c r="W28" s="755">
        <f t="shared" ref="W28:W40" si="14">J28</f>
        <v>100</v>
      </c>
      <c r="X28" s="1906"/>
      <c r="Y28" s="3030"/>
      <c r="Z28" s="1908">
        <f t="shared" ref="Z28:Z40" si="15">Q28</f>
        <v>111</v>
      </c>
      <c r="AA28" s="1909">
        <f t="shared" si="3"/>
        <v>1</v>
      </c>
      <c r="AB28" s="1909">
        <f t="shared" si="4"/>
        <v>1</v>
      </c>
      <c r="AC28" s="1909">
        <f t="shared" si="5"/>
        <v>1</v>
      </c>
    </row>
    <row r="29" spans="1:29" ht="15">
      <c r="A29" s="448" t="s">
        <v>2370</v>
      </c>
      <c r="B29" s="28" t="s">
        <v>2486</v>
      </c>
      <c r="C29" s="2480" t="s">
        <v>2498</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0" t="s">
        <v>2372</v>
      </c>
      <c r="Q29" s="1905" t="str">
        <f t="shared" si="11"/>
        <v>建筑类型</v>
      </c>
      <c r="R29" s="754" t="s">
        <v>25</v>
      </c>
      <c r="S29" s="755">
        <f t="shared" si="12"/>
        <v>100</v>
      </c>
      <c r="T29" s="754" t="s">
        <v>25</v>
      </c>
      <c r="U29" s="755">
        <f t="shared" si="13"/>
        <v>100</v>
      </c>
      <c r="V29" s="754" t="s">
        <v>25</v>
      </c>
      <c r="W29" s="755">
        <f t="shared" si="14"/>
        <v>100</v>
      </c>
      <c r="X29" s="1906"/>
      <c r="Y29" s="3034" t="s">
        <v>2372</v>
      </c>
      <c r="Z29" s="1908" t="str">
        <f t="shared" si="15"/>
        <v>建筑类型</v>
      </c>
      <c r="AA29" s="1909">
        <f t="shared" si="3"/>
        <v>1</v>
      </c>
      <c r="AB29" s="1909">
        <f t="shared" si="4"/>
        <v>1</v>
      </c>
      <c r="AC29" s="1909">
        <f t="shared" si="5"/>
        <v>1</v>
      </c>
    </row>
    <row r="30" spans="1:29" s="453" customFormat="1" ht="15">
      <c r="A30" s="450"/>
      <c r="B30" s="403" t="s">
        <v>2373</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4"/>
      <c r="Q30" s="756" t="str">
        <f t="shared" si="11"/>
        <v>项目建筑规模</v>
      </c>
      <c r="R30" s="757" t="s">
        <v>25</v>
      </c>
      <c r="S30" s="758" t="e">
        <f t="shared" si="12"/>
        <v>#N/A</v>
      </c>
      <c r="T30" s="757" t="s">
        <v>25</v>
      </c>
      <c r="U30" s="758" t="e">
        <f t="shared" si="13"/>
        <v>#N/A</v>
      </c>
      <c r="V30" s="757" t="s">
        <v>25</v>
      </c>
      <c r="W30" s="758" t="e">
        <f t="shared" si="14"/>
        <v>#N/A</v>
      </c>
      <c r="X30" s="759"/>
      <c r="Y30" s="3034"/>
      <c r="Z30" s="760" t="str">
        <f t="shared" si="15"/>
        <v>项目建筑规模</v>
      </c>
      <c r="AA30" s="1909" t="e">
        <f t="shared" si="3"/>
        <v>#N/A</v>
      </c>
      <c r="AB30" s="1909" t="e">
        <f t="shared" si="4"/>
        <v>#N/A</v>
      </c>
      <c r="AC30" s="1909" t="e">
        <f t="shared" si="5"/>
        <v>#N/A</v>
      </c>
    </row>
    <row r="31" spans="1:29" ht="15">
      <c r="A31" s="454"/>
      <c r="B31" s="403" t="s">
        <v>2374</v>
      </c>
      <c r="C31" s="442" t="s">
        <v>2499</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4"/>
      <c r="Q31" s="1905" t="str">
        <f t="shared" si="11"/>
        <v>建筑结构</v>
      </c>
      <c r="R31" s="754" t="s">
        <v>25</v>
      </c>
      <c r="S31" s="755">
        <f t="shared" si="12"/>
        <v>100</v>
      </c>
      <c r="T31" s="754" t="s">
        <v>25</v>
      </c>
      <c r="U31" s="755">
        <f t="shared" si="13"/>
        <v>100</v>
      </c>
      <c r="V31" s="754" t="s">
        <v>25</v>
      </c>
      <c r="W31" s="755">
        <f t="shared" si="14"/>
        <v>100</v>
      </c>
      <c r="X31" s="1906"/>
      <c r="Y31" s="3034"/>
      <c r="Z31" s="1908" t="str">
        <f t="shared" si="15"/>
        <v>建筑结构</v>
      </c>
      <c r="AA31" s="1909">
        <f t="shared" si="3"/>
        <v>1</v>
      </c>
      <c r="AB31" s="1909">
        <f t="shared" si="4"/>
        <v>1</v>
      </c>
      <c r="AC31" s="1909">
        <f t="shared" si="5"/>
        <v>1</v>
      </c>
    </row>
    <row r="32" spans="1:29" ht="15">
      <c r="A32" s="454"/>
      <c r="B32" s="403" t="s">
        <v>2459</v>
      </c>
      <c r="C32" s="442" t="s">
        <v>2500</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4"/>
      <c r="Q32" s="1905" t="str">
        <f t="shared" si="11"/>
        <v>公共部分装修</v>
      </c>
      <c r="R32" s="754" t="s">
        <v>25</v>
      </c>
      <c r="S32" s="755">
        <f t="shared" si="12"/>
        <v>100</v>
      </c>
      <c r="T32" s="754" t="s">
        <v>25</v>
      </c>
      <c r="U32" s="755">
        <f t="shared" si="13"/>
        <v>100</v>
      </c>
      <c r="V32" s="754" t="s">
        <v>25</v>
      </c>
      <c r="W32" s="755">
        <f t="shared" si="14"/>
        <v>100</v>
      </c>
      <c r="X32" s="1906"/>
      <c r="Y32" s="3034"/>
      <c r="Z32" s="1908" t="str">
        <f t="shared" si="15"/>
        <v>公共部分装修</v>
      </c>
      <c r="AA32" s="1909">
        <f t="shared" si="3"/>
        <v>1</v>
      </c>
      <c r="AB32" s="1909">
        <f t="shared" si="4"/>
        <v>1</v>
      </c>
      <c r="AC32" s="1909">
        <f t="shared" si="5"/>
        <v>1</v>
      </c>
    </row>
    <row r="33" spans="1:29" ht="15">
      <c r="A33" s="454"/>
      <c r="B33" s="403" t="s">
        <v>2460</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4"/>
      <c r="Q33" s="1905" t="str">
        <f t="shared" si="11"/>
        <v>成新度</v>
      </c>
      <c r="R33" s="754" t="s">
        <v>25</v>
      </c>
      <c r="S33" s="755" t="e">
        <f t="shared" si="12"/>
        <v>#N/A</v>
      </c>
      <c r="T33" s="754" t="s">
        <v>25</v>
      </c>
      <c r="U33" s="755" t="e">
        <f t="shared" si="13"/>
        <v>#N/A</v>
      </c>
      <c r="V33" s="754" t="s">
        <v>25</v>
      </c>
      <c r="W33" s="755" t="e">
        <f t="shared" si="14"/>
        <v>#N/A</v>
      </c>
      <c r="X33" s="1906"/>
      <c r="Y33" s="3034"/>
      <c r="Z33" s="1908" t="str">
        <f t="shared" si="15"/>
        <v>成新度</v>
      </c>
      <c r="AA33" s="1909" t="e">
        <f t="shared" si="3"/>
        <v>#N/A</v>
      </c>
      <c r="AB33" s="1909" t="e">
        <f t="shared" si="4"/>
        <v>#N/A</v>
      </c>
      <c r="AC33" s="1909" t="e">
        <f t="shared" si="5"/>
        <v>#N/A</v>
      </c>
    </row>
    <row r="34" spans="1:29" s="35" customFormat="1" ht="15">
      <c r="A34" s="455"/>
      <c r="B34" s="403" t="s">
        <v>2488</v>
      </c>
      <c r="C34" s="442" t="s">
        <v>2501</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4"/>
      <c r="Q34" s="1893" t="str">
        <f t="shared" si="11"/>
        <v>物业管理</v>
      </c>
      <c r="R34" s="750" t="s">
        <v>25</v>
      </c>
      <c r="S34" s="751">
        <f t="shared" si="12"/>
        <v>100</v>
      </c>
      <c r="T34" s="750" t="s">
        <v>25</v>
      </c>
      <c r="U34" s="751">
        <f t="shared" si="13"/>
        <v>100</v>
      </c>
      <c r="V34" s="750" t="s">
        <v>25</v>
      </c>
      <c r="W34" s="751">
        <f t="shared" si="14"/>
        <v>100</v>
      </c>
      <c r="X34" s="752"/>
      <c r="Y34" s="3034"/>
      <c r="Z34" s="23" t="str">
        <f t="shared" si="15"/>
        <v>物业管理</v>
      </c>
      <c r="AA34" s="753">
        <f t="shared" si="3"/>
        <v>1</v>
      </c>
      <c r="AB34" s="753">
        <f t="shared" si="4"/>
        <v>1</v>
      </c>
      <c r="AC34" s="753">
        <f t="shared" si="5"/>
        <v>1</v>
      </c>
    </row>
    <row r="35" spans="1:29" ht="15">
      <c r="A35" s="454"/>
      <c r="B35" s="403" t="s">
        <v>2461</v>
      </c>
      <c r="C35" s="442" t="s">
        <v>2502</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4" t="s">
        <v>2372</v>
      </c>
      <c r="Q35" s="1905" t="str">
        <f t="shared" si="11"/>
        <v>市政基础设施</v>
      </c>
      <c r="R35" s="754" t="s">
        <v>25</v>
      </c>
      <c r="S35" s="755">
        <f t="shared" si="12"/>
        <v>100</v>
      </c>
      <c r="T35" s="754" t="s">
        <v>25</v>
      </c>
      <c r="U35" s="755">
        <f t="shared" si="13"/>
        <v>100</v>
      </c>
      <c r="V35" s="754" t="s">
        <v>25</v>
      </c>
      <c r="W35" s="755">
        <f t="shared" si="14"/>
        <v>100</v>
      </c>
      <c r="X35" s="1906"/>
      <c r="Y35" s="3034" t="s">
        <v>2372</v>
      </c>
      <c r="Z35" s="1908" t="str">
        <f t="shared" si="15"/>
        <v>市政基础设施</v>
      </c>
      <c r="AA35" s="1909">
        <f t="shared" si="3"/>
        <v>1</v>
      </c>
      <c r="AB35" s="1909">
        <f t="shared" si="4"/>
        <v>1</v>
      </c>
      <c r="AC35" s="1909">
        <f t="shared" si="5"/>
        <v>1</v>
      </c>
    </row>
    <row r="36" spans="1:29" ht="15">
      <c r="A36" s="454"/>
      <c r="B36" s="403" t="s">
        <v>2466</v>
      </c>
      <c r="C36" s="442" t="s">
        <v>2500</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4"/>
      <c r="Q36" s="1905" t="str">
        <f t="shared" si="11"/>
        <v>内部装修</v>
      </c>
      <c r="R36" s="754" t="s">
        <v>25</v>
      </c>
      <c r="S36" s="755">
        <f t="shared" si="12"/>
        <v>100</v>
      </c>
      <c r="T36" s="754" t="s">
        <v>25</v>
      </c>
      <c r="U36" s="755">
        <f t="shared" si="13"/>
        <v>100</v>
      </c>
      <c r="V36" s="754" t="s">
        <v>25</v>
      </c>
      <c r="W36" s="755">
        <f t="shared" si="14"/>
        <v>100</v>
      </c>
      <c r="X36" s="1906"/>
      <c r="Y36" s="3034"/>
      <c r="Z36" s="1908" t="str">
        <f t="shared" si="15"/>
        <v>内部装修</v>
      </c>
      <c r="AA36" s="1909">
        <f t="shared" si="3"/>
        <v>1</v>
      </c>
      <c r="AB36" s="1909">
        <f t="shared" si="4"/>
        <v>1</v>
      </c>
      <c r="AC36" s="1909">
        <f t="shared" si="5"/>
        <v>1</v>
      </c>
    </row>
    <row r="37" spans="1:29" ht="15">
      <c r="A37" s="454"/>
      <c r="B37" s="403" t="s">
        <v>2503</v>
      </c>
      <c r="C37" s="601" t="s">
        <v>2504</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4"/>
      <c r="Q37" s="1905" t="str">
        <f t="shared" si="11"/>
        <v>内部装修状况</v>
      </c>
      <c r="R37" s="754" t="s">
        <v>25</v>
      </c>
      <c r="S37" s="755">
        <f t="shared" si="12"/>
        <v>0</v>
      </c>
      <c r="T37" s="754" t="s">
        <v>25</v>
      </c>
      <c r="U37" s="755">
        <f t="shared" si="13"/>
        <v>0</v>
      </c>
      <c r="V37" s="754" t="s">
        <v>25</v>
      </c>
      <c r="W37" s="755">
        <f t="shared" si="14"/>
        <v>0</v>
      </c>
      <c r="X37" s="1906"/>
      <c r="Y37" s="3034"/>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4"/>
      <c r="Q38" s="756">
        <f t="shared" si="11"/>
        <v>111</v>
      </c>
      <c r="R38" s="757" t="s">
        <v>25</v>
      </c>
      <c r="S38" s="758">
        <f t="shared" si="12"/>
        <v>100</v>
      </c>
      <c r="T38" s="757" t="s">
        <v>25</v>
      </c>
      <c r="U38" s="758">
        <f t="shared" si="13"/>
        <v>100</v>
      </c>
      <c r="V38" s="757" t="s">
        <v>25</v>
      </c>
      <c r="W38" s="758">
        <f t="shared" si="14"/>
        <v>100</v>
      </c>
      <c r="X38" s="759"/>
      <c r="Y38" s="3034"/>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4"/>
      <c r="Q39" s="1905">
        <f t="shared" si="11"/>
        <v>111</v>
      </c>
      <c r="R39" s="754" t="s">
        <v>25</v>
      </c>
      <c r="S39" s="755">
        <f t="shared" si="12"/>
        <v>100</v>
      </c>
      <c r="T39" s="754" t="s">
        <v>25</v>
      </c>
      <c r="U39" s="755">
        <f t="shared" si="13"/>
        <v>100</v>
      </c>
      <c r="V39" s="754" t="s">
        <v>25</v>
      </c>
      <c r="W39" s="755">
        <f t="shared" si="14"/>
        <v>100</v>
      </c>
      <c r="X39" s="1906"/>
      <c r="Y39" s="3034"/>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5"/>
      <c r="Q40" s="1905">
        <f t="shared" si="11"/>
        <v>111</v>
      </c>
      <c r="R40" s="754" t="s">
        <v>25</v>
      </c>
      <c r="S40" s="755">
        <f t="shared" si="12"/>
        <v>100</v>
      </c>
      <c r="T40" s="754" t="s">
        <v>25</v>
      </c>
      <c r="U40" s="755">
        <f t="shared" si="13"/>
        <v>100</v>
      </c>
      <c r="V40" s="754" t="s">
        <v>25</v>
      </c>
      <c r="W40" s="755">
        <f t="shared" si="14"/>
        <v>100</v>
      </c>
      <c r="X40" s="1906"/>
      <c r="Y40" s="3035"/>
      <c r="Z40" s="1908">
        <f t="shared" si="15"/>
        <v>111</v>
      </c>
      <c r="AA40" s="1909">
        <f t="shared" si="3"/>
        <v>1</v>
      </c>
      <c r="AB40" s="1909">
        <f t="shared" si="4"/>
        <v>1</v>
      </c>
      <c r="AC40" s="1909">
        <f t="shared" si="5"/>
        <v>1</v>
      </c>
    </row>
    <row r="41" spans="1:29" ht="15">
      <c r="A41" s="461" t="s">
        <v>2384</v>
      </c>
      <c r="B41" s="462"/>
      <c r="C41" s="1504" t="s">
        <v>1</v>
      </c>
      <c r="D41" s="1505"/>
      <c r="E41" s="1506"/>
      <c r="F41" s="1507"/>
      <c r="G41" s="1508"/>
      <c r="H41" s="1509"/>
      <c r="I41" s="1506"/>
      <c r="J41" s="1509"/>
      <c r="K41" s="763"/>
      <c r="L41" s="1258"/>
      <c r="M41" s="1259"/>
      <c r="N41" s="1246"/>
      <c r="O41" s="1259"/>
      <c r="P41" s="3026" t="str">
        <f>A41</f>
        <v>成交单价（元/平方米）</v>
      </c>
      <c r="Q41" s="3026"/>
      <c r="R41" s="3022">
        <f>E41</f>
        <v>0</v>
      </c>
      <c r="S41" s="3022"/>
      <c r="T41" s="3022">
        <f>G41</f>
        <v>0</v>
      </c>
      <c r="U41" s="3022"/>
      <c r="V41" s="3022">
        <f>I41</f>
        <v>0</v>
      </c>
      <c r="W41" s="3022"/>
      <c r="X41" s="739"/>
      <c r="Y41" s="761"/>
      <c r="Z41" s="739"/>
      <c r="AA41" s="739"/>
      <c r="AB41" s="739"/>
      <c r="AC41" s="739"/>
    </row>
    <row r="42" spans="1:29" ht="15.75" thickBot="1">
      <c r="A42" s="468" t="s">
        <v>2467</v>
      </c>
      <c r="B42" s="469"/>
      <c r="C42" s="1510" t="e">
        <f>R43</f>
        <v>#DIV/0!</v>
      </c>
      <c r="D42" s="1511"/>
      <c r="E42" s="1512" t="e">
        <f>R42</f>
        <v>#DIV/0!</v>
      </c>
      <c r="F42" s="1512"/>
      <c r="G42" s="1510" t="e">
        <f>T42</f>
        <v>#DIV/0!</v>
      </c>
      <c r="H42" s="1511"/>
      <c r="I42" s="1512" t="e">
        <f>V42</f>
        <v>#DIV/0!</v>
      </c>
      <c r="J42" s="1511"/>
      <c r="K42" s="764"/>
      <c r="L42" s="1258"/>
      <c r="M42" s="1259"/>
      <c r="N42" s="1246"/>
      <c r="O42" s="1259"/>
      <c r="P42" s="3026" t="str">
        <f>A42</f>
        <v>比较价值（元/平方米）</v>
      </c>
      <c r="Q42" s="3026"/>
      <c r="R42" s="3022" t="e">
        <f>IF(E1="售价",ROUND(PRODUCT(R41,AA7:AA40),0),ROUND(PRODUCT(R41,AA7:AA40),1))</f>
        <v>#DIV/0!</v>
      </c>
      <c r="S42" s="3022"/>
      <c r="T42" s="3022" t="e">
        <f>IF(E1="售价",ROUND(PRODUCT(T41,AB7:AB40),0),ROUND(PRODUCT(T41,AB7:AB40),1))</f>
        <v>#DIV/0!</v>
      </c>
      <c r="U42" s="3022"/>
      <c r="V42" s="3022" t="e">
        <f>IF(E1="售价",ROUND(PRODUCT(V41,AC7:AC40),0),ROUND(PRODUCT(V41,AC7:AC40),1))</f>
        <v>#DIV/0!</v>
      </c>
      <c r="W42" s="3022"/>
      <c r="X42" s="739"/>
      <c r="Y42" s="739"/>
      <c r="Z42" s="739"/>
      <c r="AA42" s="739"/>
      <c r="AB42" s="739"/>
      <c r="AC42" s="739"/>
    </row>
    <row r="43" spans="1:29" ht="15.75" thickBot="1">
      <c r="A43" s="474" t="s">
        <v>2490</v>
      </c>
      <c r="B43" s="475"/>
      <c r="C43" s="1514" t="e">
        <f>R43</f>
        <v>#DIV/0!</v>
      </c>
      <c r="D43" s="1514"/>
      <c r="E43" s="1514"/>
      <c r="F43" s="1514"/>
      <c r="G43" s="1514"/>
      <c r="H43" s="1514"/>
      <c r="I43" s="1514"/>
      <c r="J43" s="1514"/>
      <c r="K43" s="765"/>
      <c r="L43" s="1258"/>
      <c r="M43" s="1259"/>
      <c r="N43" s="1259"/>
      <c r="O43" s="1259"/>
      <c r="P43" s="3023" t="str">
        <f>A43</f>
        <v>估价对象XX用房的比较价值（楼面单价，元/平方米）</v>
      </c>
      <c r="Q43" s="3024"/>
      <c r="R43" s="3025" t="e">
        <f>IF(E1="售价",ROUND(AVERAGE(R42:V42),0),ROUND(AVERAGE(R42:V42),1))</f>
        <v>#DIV/0!</v>
      </c>
      <c r="S43" s="3025"/>
      <c r="T43" s="3025"/>
      <c r="U43" s="3025"/>
      <c r="V43" s="3025"/>
      <c r="W43" s="3025"/>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2472</v>
      </c>
      <c r="B51" s="739"/>
      <c r="C51" s="744"/>
      <c r="D51" s="744"/>
      <c r="E51" s="744"/>
      <c r="F51" s="745"/>
      <c r="G51" s="745"/>
      <c r="H51" s="744"/>
      <c r="I51" s="744"/>
      <c r="J51" s="744"/>
      <c r="K51" s="746"/>
      <c r="L51" s="747"/>
      <c r="M51" s="744"/>
      <c r="N51" s="744"/>
      <c r="O51" s="744"/>
      <c r="P51" s="485"/>
      <c r="Q51" s="486"/>
    </row>
    <row r="52" spans="1:17" s="490" customFormat="1" ht="15">
      <c r="A52" s="487" t="s">
        <v>2354</v>
      </c>
      <c r="B52" s="488"/>
      <c r="C52" s="1684" t="str">
        <f>YEAR(C7)&amp;"-"&amp;MONTH(C7)</f>
        <v>2017-11</v>
      </c>
      <c r="D52" s="1685">
        <f>EDATE(C52,-1)</f>
        <v>43009</v>
      </c>
      <c r="E52" s="1686">
        <f t="shared" ref="E52:O52" si="16">EDATE(D52,-1)</f>
        <v>42979</v>
      </c>
      <c r="F52" s="1686">
        <f t="shared" si="16"/>
        <v>42948</v>
      </c>
      <c r="G52" s="1686">
        <f t="shared" si="16"/>
        <v>42917</v>
      </c>
      <c r="H52" s="1686">
        <f t="shared" si="16"/>
        <v>42887</v>
      </c>
      <c r="I52" s="1686">
        <f t="shared" si="16"/>
        <v>42856</v>
      </c>
      <c r="J52" s="1686">
        <f t="shared" si="16"/>
        <v>42826</v>
      </c>
      <c r="K52" s="1686">
        <f t="shared" si="16"/>
        <v>42795</v>
      </c>
      <c r="L52" s="1686">
        <f t="shared" si="16"/>
        <v>42767</v>
      </c>
      <c r="M52" s="1686">
        <f t="shared" si="16"/>
        <v>42736</v>
      </c>
      <c r="N52" s="1686">
        <f t="shared" si="16"/>
        <v>42705</v>
      </c>
      <c r="O52" s="1686">
        <f t="shared" si="16"/>
        <v>42675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2392</v>
      </c>
      <c r="B54" s="498"/>
      <c r="C54" s="499"/>
      <c r="D54" s="500"/>
      <c r="E54" s="500"/>
      <c r="F54" s="500"/>
      <c r="G54" s="500"/>
      <c r="H54" s="500"/>
      <c r="I54" s="500"/>
      <c r="J54" s="500"/>
      <c r="K54" s="500"/>
      <c r="L54" s="500"/>
      <c r="M54" s="501"/>
      <c r="N54" s="500"/>
      <c r="O54" s="502"/>
      <c r="P54" s="486"/>
      <c r="Q54" s="486"/>
    </row>
    <row r="55" spans="1:17" s="35" customFormat="1" ht="15">
      <c r="A55" s="503" t="s">
        <v>2356</v>
      </c>
      <c r="B55" s="492"/>
      <c r="C55" s="504" t="s">
        <v>2357</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2395</v>
      </c>
      <c r="B57" s="510" t="s">
        <v>2360</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2363</v>
      </c>
      <c r="C59" s="523" t="s">
        <v>2396</v>
      </c>
      <c r="D59" s="523" t="s">
        <v>2397</v>
      </c>
      <c r="E59" s="523" t="s">
        <v>2398</v>
      </c>
      <c r="F59" s="523" t="s">
        <v>2399</v>
      </c>
      <c r="G59" s="523" t="s">
        <v>2400</v>
      </c>
      <c r="H59" s="523" t="s">
        <v>2401</v>
      </c>
      <c r="I59" s="523" t="s">
        <v>2402</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2364</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2365</v>
      </c>
      <c r="B70" s="510" t="s">
        <v>2505</v>
      </c>
      <c r="C70" s="558" t="s">
        <v>2404</v>
      </c>
      <c r="D70" s="558" t="s">
        <v>2405</v>
      </c>
      <c r="E70" s="558" t="s">
        <v>2406</v>
      </c>
      <c r="F70" s="558" t="s">
        <v>2407</v>
      </c>
      <c r="G70" s="558" t="s">
        <v>2408</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2409</v>
      </c>
      <c r="C72" s="563" t="s">
        <v>2404</v>
      </c>
      <c r="D72" s="563" t="s">
        <v>2405</v>
      </c>
      <c r="E72" s="563" t="s">
        <v>2406</v>
      </c>
      <c r="F72" s="563" t="s">
        <v>2407</v>
      </c>
      <c r="G72" s="563" t="s">
        <v>2408</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2410</v>
      </c>
      <c r="C74" s="563" t="s">
        <v>2404</v>
      </c>
      <c r="D74" s="563" t="s">
        <v>2405</v>
      </c>
      <c r="E74" s="563" t="s">
        <v>2406</v>
      </c>
      <c r="F74" s="563" t="s">
        <v>2407</v>
      </c>
      <c r="G74" s="563" t="s">
        <v>2408</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2482</v>
      </c>
      <c r="C76" s="523" t="s">
        <v>2411</v>
      </c>
      <c r="D76" s="523" t="s">
        <v>2412</v>
      </c>
      <c r="E76" s="523" t="s">
        <v>2413</v>
      </c>
      <c r="F76" s="523" t="s">
        <v>2414</v>
      </c>
      <c r="G76" s="523" t="s">
        <v>2415</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2492</v>
      </c>
      <c r="C78" s="563" t="s">
        <v>2404</v>
      </c>
      <c r="D78" s="563" t="s">
        <v>2405</v>
      </c>
      <c r="E78" s="563" t="s">
        <v>2406</v>
      </c>
      <c r="F78" s="563" t="s">
        <v>2407</v>
      </c>
      <c r="G78" s="563" t="s">
        <v>2408</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2370</v>
      </c>
      <c r="B88" s="510" t="s">
        <v>2419</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2420</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2421</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2423</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2424</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2425</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2426</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2428</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2506</v>
      </c>
      <c r="C106" s="563" t="s">
        <v>2404</v>
      </c>
      <c r="D106" s="563" t="s">
        <v>2405</v>
      </c>
      <c r="E106" s="563" t="s">
        <v>2406</v>
      </c>
      <c r="F106" s="563" t="s">
        <v>2407</v>
      </c>
      <c r="G106" s="563" t="s">
        <v>2408</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36"/>
      <c r="E1" s="2389"/>
      <c r="F1" s="1737" t="s">
        <v>2339</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2340</v>
      </c>
      <c r="D3" s="379">
        <f>IF(C1="仅计算典型户型",'数据-取费表'!E5,'数据-取费表'!B5)</f>
        <v>15.87</v>
      </c>
      <c r="E3" s="1093" t="s">
        <v>2508</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516"/>
      <c r="M4" s="426"/>
      <c r="N4" s="426"/>
      <c r="O4" s="42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516"/>
      <c r="M5" s="426"/>
      <c r="N5" s="426"/>
      <c r="O5" s="42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516"/>
      <c r="M6" s="426"/>
      <c r="N6" s="426"/>
      <c r="O6" s="42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43062</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40" t="s">
        <v>2355</v>
      </c>
      <c r="Q7" s="3048"/>
      <c r="R7" s="750" t="s">
        <v>25</v>
      </c>
      <c r="S7" s="751">
        <f t="shared" ref="S7:S14" si="0">F7</f>
        <v>0</v>
      </c>
      <c r="T7" s="750" t="s">
        <v>25</v>
      </c>
      <c r="U7" s="751">
        <f t="shared" ref="U7:U14" si="1">H7</f>
        <v>0</v>
      </c>
      <c r="V7" s="750" t="s">
        <v>25</v>
      </c>
      <c r="W7" s="751">
        <f t="shared" ref="W7:W14"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40" t="s">
        <v>2358</v>
      </c>
      <c r="Q8" s="3041"/>
      <c r="R8" s="750" t="s">
        <v>25</v>
      </c>
      <c r="S8" s="751">
        <f t="shared" si="0"/>
        <v>0</v>
      </c>
      <c r="T8" s="750" t="s">
        <v>25</v>
      </c>
      <c r="U8" s="751">
        <f t="shared" si="1"/>
        <v>0</v>
      </c>
      <c r="V8" s="750" t="s">
        <v>25</v>
      </c>
      <c r="W8" s="751">
        <f t="shared" si="2"/>
        <v>0</v>
      </c>
      <c r="X8" s="752"/>
      <c r="Y8" s="3040" t="s">
        <v>2358</v>
      </c>
      <c r="Z8" s="3041"/>
      <c r="AA8" s="753" t="e">
        <f t="shared" ref="AA8:AA36" si="3">D8/F8</f>
        <v>#DIV/0!</v>
      </c>
      <c r="AB8" s="753" t="e">
        <f t="shared" ref="AB8:AB36" si="4">D8/H8</f>
        <v>#DIV/0!</v>
      </c>
      <c r="AC8" s="753" t="e">
        <f t="shared" ref="AC8:AC36" si="5">D8/J8</f>
        <v>#DIV/0!</v>
      </c>
    </row>
    <row r="9" spans="1:29" s="35" customFormat="1">
      <c r="A9" s="25" t="s">
        <v>2359</v>
      </c>
      <c r="B9" s="625" t="s">
        <v>2360</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26" t="s">
        <v>2361</v>
      </c>
      <c r="Q9" s="1893" t="str">
        <f t="shared" ref="Q9:Q14" si="6">B9</f>
        <v>用途</v>
      </c>
      <c r="R9" s="750" t="s">
        <v>25</v>
      </c>
      <c r="S9" s="751">
        <f t="shared" si="0"/>
        <v>100</v>
      </c>
      <c r="T9" s="750" t="s">
        <v>25</v>
      </c>
      <c r="U9" s="751">
        <f t="shared" si="1"/>
        <v>100</v>
      </c>
      <c r="V9" s="750" t="s">
        <v>25</v>
      </c>
      <c r="W9" s="751">
        <f t="shared" si="2"/>
        <v>100</v>
      </c>
      <c r="X9" s="752"/>
      <c r="Y9" s="2855" t="s">
        <v>2362</v>
      </c>
      <c r="Z9" s="23" t="str">
        <f t="shared" ref="Z9:Z14" si="7">Q9</f>
        <v>用途</v>
      </c>
      <c r="AA9" s="753">
        <f t="shared" si="3"/>
        <v>1</v>
      </c>
      <c r="AB9" s="753">
        <f t="shared" si="4"/>
        <v>1</v>
      </c>
      <c r="AC9" s="753">
        <f t="shared" si="5"/>
        <v>1</v>
      </c>
    </row>
    <row r="10" spans="1:29" s="408" customFormat="1" ht="27">
      <c r="A10" s="626"/>
      <c r="B10" s="627" t="s">
        <v>2363</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26"/>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26"/>
      <c r="Q11" s="1893">
        <f t="shared" si="6"/>
        <v>111</v>
      </c>
      <c r="R11" s="750" t="s">
        <v>25</v>
      </c>
      <c r="S11" s="751">
        <f t="shared" si="0"/>
        <v>100</v>
      </c>
      <c r="T11" s="750" t="s">
        <v>25</v>
      </c>
      <c r="U11" s="751">
        <f t="shared" si="1"/>
        <v>100</v>
      </c>
      <c r="V11" s="750" t="s">
        <v>25</v>
      </c>
      <c r="W11" s="751">
        <f t="shared" si="2"/>
        <v>100</v>
      </c>
      <c r="X11" s="752"/>
      <c r="Y11" s="2855"/>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85.25">
      <c r="A14" s="381" t="s">
        <v>2365</v>
      </c>
      <c r="B14" s="614" t="s">
        <v>2509</v>
      </c>
      <c r="C14" s="1482" t="str">
        <f>IF(B1="工业",估价对象房地状况!G4,估价对象房地状况!C6)</f>
        <v>估价对象紧邻城市主干道——中关村大街，临近地铁4号线（中关村站）；以估价对象为中心半径2公里范围内有302路、307路、320路、332路、355路等二十余条公交线路，综合评价交通便捷度好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29" t="s">
        <v>2366</v>
      </c>
      <c r="Q14" s="1905" t="str">
        <f t="shared" si="6"/>
        <v>交通便捷度</v>
      </c>
      <c r="R14" s="754" t="s">
        <v>25</v>
      </c>
      <c r="S14" s="755">
        <f t="shared" si="0"/>
        <v>100</v>
      </c>
      <c r="T14" s="754" t="s">
        <v>25</v>
      </c>
      <c r="U14" s="755">
        <f t="shared" si="1"/>
        <v>100</v>
      </c>
      <c r="V14" s="754" t="s">
        <v>25</v>
      </c>
      <c r="W14" s="755">
        <f t="shared" si="2"/>
        <v>100</v>
      </c>
      <c r="X14" s="1906"/>
      <c r="Y14" s="3029" t="s">
        <v>2366</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30"/>
      <c r="Q15" s="1905"/>
      <c r="R15" s="754"/>
      <c r="S15" s="755"/>
      <c r="T15" s="754"/>
      <c r="U15" s="755"/>
      <c r="V15" s="754"/>
      <c r="W15" s="755"/>
      <c r="X15" s="1906"/>
      <c r="Y15" s="3030"/>
      <c r="Z15" s="1908"/>
      <c r="AA15" s="1909">
        <v>1</v>
      </c>
      <c r="AB15" s="1909">
        <v>1</v>
      </c>
      <c r="AC15" s="1909">
        <v>1</v>
      </c>
    </row>
    <row r="16" spans="1:29" ht="42.75">
      <c r="A16" s="384"/>
      <c r="B16" s="616" t="s">
        <v>2481</v>
      </c>
      <c r="C16" s="1484" t="str">
        <f>IF(B1="工业",估价对象房地状况!G5,估价对象房地状况!C7)</f>
        <v>估价对象所在区域公共配套设施齐备情况好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30"/>
      <c r="Q16" s="1905" t="str">
        <f>B16</f>
        <v>公共配套设施</v>
      </c>
      <c r="R16" s="754" t="s">
        <v>25</v>
      </c>
      <c r="S16" s="755">
        <f>F16</f>
        <v>100</v>
      </c>
      <c r="T16" s="754" t="s">
        <v>25</v>
      </c>
      <c r="U16" s="755">
        <f>H16</f>
        <v>100</v>
      </c>
      <c r="V16" s="754" t="s">
        <v>25</v>
      </c>
      <c r="W16" s="755">
        <f>J16</f>
        <v>100</v>
      </c>
      <c r="X16" s="1906"/>
      <c r="Y16" s="3030"/>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30"/>
      <c r="Q17" s="1905"/>
      <c r="R17" s="754"/>
      <c r="S17" s="755"/>
      <c r="T17" s="754"/>
      <c r="U17" s="755"/>
      <c r="V17" s="754"/>
      <c r="W17" s="755"/>
      <c r="X17" s="1906"/>
      <c r="Y17" s="3030"/>
      <c r="Z17" s="1908"/>
      <c r="AA17" s="1909">
        <v>1</v>
      </c>
      <c r="AB17" s="1909">
        <v>1</v>
      </c>
      <c r="AC17" s="1909">
        <v>1</v>
      </c>
    </row>
    <row r="18" spans="1:29" ht="42.75">
      <c r="A18" s="384"/>
      <c r="B18" s="618" t="s">
        <v>2482</v>
      </c>
      <c r="C18" s="1484" t="str">
        <f>IF(B1="工业",估价对象房地状况!G6,估价对象房地状况!C8)</f>
        <v>估价对象所在区域基础设施水平——五通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30"/>
      <c r="Q18" s="1905" t="str">
        <f>B18</f>
        <v>基础设施水平</v>
      </c>
      <c r="R18" s="754" t="s">
        <v>25</v>
      </c>
      <c r="S18" s="755">
        <f>F18</f>
        <v>100</v>
      </c>
      <c r="T18" s="754" t="s">
        <v>25</v>
      </c>
      <c r="U18" s="755">
        <f>H18</f>
        <v>100</v>
      </c>
      <c r="V18" s="754" t="s">
        <v>25</v>
      </c>
      <c r="W18" s="755">
        <f>J18</f>
        <v>100</v>
      </c>
      <c r="X18" s="1906"/>
      <c r="Y18" s="3030"/>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30"/>
      <c r="Q19" s="1905"/>
      <c r="R19" s="754"/>
      <c r="S19" s="755"/>
      <c r="T19" s="754"/>
      <c r="U19" s="755"/>
      <c r="V19" s="754"/>
      <c r="W19" s="755"/>
      <c r="X19" s="1906"/>
      <c r="Y19" s="3030"/>
      <c r="Z19" s="1908"/>
      <c r="AA19" s="1909">
        <v>1</v>
      </c>
      <c r="AB19" s="1909">
        <v>1</v>
      </c>
      <c r="AC19" s="1909">
        <v>1</v>
      </c>
    </row>
    <row r="20" spans="1:29" ht="71.25">
      <c r="A20" s="384"/>
      <c r="B20" s="616" t="s">
        <v>2510</v>
      </c>
      <c r="C20" s="1484" t="str">
        <f>IF(B1="工业",估价对象房地状况!G7,估价对象房地状况!C9)</f>
        <v>自然环境：海淀公园等；人文环境：北京大学等，综合评价环境状况较好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30"/>
      <c r="Q20" s="1905" t="str">
        <f>B20</f>
        <v>自然及人文环境</v>
      </c>
      <c r="R20" s="754" t="s">
        <v>25</v>
      </c>
      <c r="S20" s="755">
        <f>F20</f>
        <v>100</v>
      </c>
      <c r="T20" s="754" t="s">
        <v>25</v>
      </c>
      <c r="U20" s="755">
        <f>H20</f>
        <v>100</v>
      </c>
      <c r="V20" s="754" t="s">
        <v>25</v>
      </c>
      <c r="W20" s="755">
        <f>J20</f>
        <v>100</v>
      </c>
      <c r="X20" s="1906"/>
      <c r="Y20" s="3030"/>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30"/>
      <c r="Q21" s="1905"/>
      <c r="R21" s="754"/>
      <c r="S21" s="755"/>
      <c r="T21" s="754"/>
      <c r="U21" s="755"/>
      <c r="V21" s="754"/>
      <c r="W21" s="755"/>
      <c r="X21" s="1906"/>
      <c r="Y21" s="3030"/>
      <c r="Z21" s="1908"/>
      <c r="AA21" s="1909">
        <v>1</v>
      </c>
      <c r="AB21" s="1909">
        <v>1</v>
      </c>
      <c r="AC21" s="1909">
        <v>1</v>
      </c>
    </row>
    <row r="22" spans="1:29" ht="15">
      <c r="A22" s="384"/>
      <c r="B22" s="616" t="s">
        <v>2511</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30"/>
      <c r="Q22" s="1905" t="str">
        <f>B22</f>
        <v>楼层</v>
      </c>
      <c r="R22" s="754" t="s">
        <v>25</v>
      </c>
      <c r="S22" s="755">
        <f>F22</f>
        <v>100</v>
      </c>
      <c r="T22" s="754" t="s">
        <v>25</v>
      </c>
      <c r="U22" s="755">
        <f>H22</f>
        <v>100</v>
      </c>
      <c r="V22" s="754" t="s">
        <v>25</v>
      </c>
      <c r="W22" s="755">
        <f>J22</f>
        <v>100</v>
      </c>
      <c r="X22" s="1906"/>
      <c r="Y22" s="3030"/>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30"/>
      <c r="Q23" s="1905">
        <f>B23</f>
        <v>111</v>
      </c>
      <c r="R23" s="754" t="s">
        <v>25</v>
      </c>
      <c r="S23" s="755">
        <f>F23</f>
        <v>100</v>
      </c>
      <c r="T23" s="754" t="s">
        <v>25</v>
      </c>
      <c r="U23" s="755">
        <f>H23</f>
        <v>100</v>
      </c>
      <c r="V23" s="754" t="s">
        <v>25</v>
      </c>
      <c r="W23" s="755">
        <f>J23</f>
        <v>100</v>
      </c>
      <c r="X23" s="1906"/>
      <c r="Y23" s="3030"/>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30"/>
      <c r="Q24" s="1905">
        <f t="shared" ref="Q24:Q36" si="11">B24</f>
        <v>111</v>
      </c>
      <c r="R24" s="754" t="s">
        <v>25</v>
      </c>
      <c r="S24" s="755">
        <f>F24</f>
        <v>100</v>
      </c>
      <c r="T24" s="754" t="s">
        <v>25</v>
      </c>
      <c r="U24" s="755">
        <f>H24</f>
        <v>100</v>
      </c>
      <c r="V24" s="754" t="s">
        <v>25</v>
      </c>
      <c r="W24" s="755">
        <f>J24</f>
        <v>100</v>
      </c>
      <c r="X24" s="1906"/>
      <c r="Y24" s="3030"/>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30"/>
      <c r="Q25" s="1893">
        <f t="shared" si="11"/>
        <v>111</v>
      </c>
      <c r="R25" s="750" t="s">
        <v>25</v>
      </c>
      <c r="S25" s="751">
        <f>F25</f>
        <v>100</v>
      </c>
      <c r="T25" s="750" t="s">
        <v>25</v>
      </c>
      <c r="U25" s="751">
        <f>H25</f>
        <v>100</v>
      </c>
      <c r="V25" s="750" t="s">
        <v>25</v>
      </c>
      <c r="W25" s="751">
        <f>J25</f>
        <v>100</v>
      </c>
      <c r="X25" s="752"/>
      <c r="Y25" s="3030"/>
      <c r="Z25" s="23">
        <f>Q25</f>
        <v>111</v>
      </c>
      <c r="AA25" s="1909">
        <f>D25/F25</f>
        <v>1</v>
      </c>
      <c r="AB25" s="1909">
        <f>D25/H25</f>
        <v>1</v>
      </c>
      <c r="AC25" s="1909">
        <f>D25/J25</f>
        <v>1</v>
      </c>
    </row>
    <row r="26" spans="1:29" ht="15">
      <c r="A26" s="636" t="s">
        <v>2370</v>
      </c>
      <c r="B26" s="27" t="s">
        <v>2512</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0" t="s">
        <v>2372</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4" t="s">
        <v>2372</v>
      </c>
      <c r="Z26" s="1908" t="str">
        <f t="shared" ref="Z26:Z36" si="15">Q26</f>
        <v>配套类型</v>
      </c>
      <c r="AA26" s="1909">
        <f t="shared" si="3"/>
        <v>1</v>
      </c>
      <c r="AB26" s="1909">
        <f t="shared" si="4"/>
        <v>1</v>
      </c>
      <c r="AC26" s="1909">
        <f t="shared" si="5"/>
        <v>1</v>
      </c>
    </row>
    <row r="27" spans="1:29" s="453" customFormat="1" ht="15">
      <c r="A27" s="637"/>
      <c r="B27" s="638" t="s">
        <v>2513</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4"/>
      <c r="Q27" s="756" t="str">
        <f t="shared" si="11"/>
        <v>项目停车位配比</v>
      </c>
      <c r="R27" s="757" t="s">
        <v>25</v>
      </c>
      <c r="S27" s="758">
        <f t="shared" si="12"/>
        <v>100</v>
      </c>
      <c r="T27" s="757" t="s">
        <v>25</v>
      </c>
      <c r="U27" s="758">
        <f t="shared" si="13"/>
        <v>100</v>
      </c>
      <c r="V27" s="757" t="s">
        <v>25</v>
      </c>
      <c r="W27" s="758">
        <f t="shared" si="14"/>
        <v>100</v>
      </c>
      <c r="X27" s="759"/>
      <c r="Y27" s="3034"/>
      <c r="Z27" s="760" t="str">
        <f t="shared" si="15"/>
        <v>项目停车位配比</v>
      </c>
      <c r="AA27" s="1909">
        <f t="shared" si="3"/>
        <v>1</v>
      </c>
      <c r="AB27" s="1909">
        <f t="shared" si="4"/>
        <v>1</v>
      </c>
      <c r="AC27" s="1909">
        <f t="shared" si="5"/>
        <v>1</v>
      </c>
    </row>
    <row r="28" spans="1:29" ht="15">
      <c r="A28" s="640"/>
      <c r="B28" s="638" t="s">
        <v>2514</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4"/>
      <c r="Q28" s="1905" t="str">
        <f t="shared" si="11"/>
        <v>公共部分装修</v>
      </c>
      <c r="R28" s="754" t="s">
        <v>25</v>
      </c>
      <c r="S28" s="755">
        <f t="shared" si="12"/>
        <v>100</v>
      </c>
      <c r="T28" s="754" t="s">
        <v>25</v>
      </c>
      <c r="U28" s="755">
        <f t="shared" si="13"/>
        <v>100</v>
      </c>
      <c r="V28" s="754" t="s">
        <v>25</v>
      </c>
      <c r="W28" s="755">
        <f t="shared" si="14"/>
        <v>100</v>
      </c>
      <c r="X28" s="1906"/>
      <c r="Y28" s="3034"/>
      <c r="Z28" s="1908" t="str">
        <f t="shared" si="15"/>
        <v>公共部分装修</v>
      </c>
      <c r="AA28" s="1909">
        <f t="shared" si="3"/>
        <v>1</v>
      </c>
      <c r="AB28" s="1909">
        <f t="shared" si="4"/>
        <v>1</v>
      </c>
      <c r="AC28" s="1909">
        <f t="shared" si="5"/>
        <v>1</v>
      </c>
    </row>
    <row r="29" spans="1:29" ht="15">
      <c r="A29" s="640"/>
      <c r="B29" s="638" t="s">
        <v>2515</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4"/>
      <c r="Q29" s="1905" t="str">
        <f t="shared" si="11"/>
        <v>成新率</v>
      </c>
      <c r="R29" s="754" t="s">
        <v>25</v>
      </c>
      <c r="S29" s="755" t="e">
        <f t="shared" si="12"/>
        <v>#N/A</v>
      </c>
      <c r="T29" s="754" t="s">
        <v>25</v>
      </c>
      <c r="U29" s="755" t="e">
        <f t="shared" si="13"/>
        <v>#N/A</v>
      </c>
      <c r="V29" s="754" t="s">
        <v>25</v>
      </c>
      <c r="W29" s="755" t="e">
        <f t="shared" si="14"/>
        <v>#N/A</v>
      </c>
      <c r="X29" s="1906"/>
      <c r="Y29" s="3034"/>
      <c r="Z29" s="1908" t="str">
        <f t="shared" si="15"/>
        <v>成新率</v>
      </c>
      <c r="AA29" s="1909" t="e">
        <f t="shared" si="3"/>
        <v>#N/A</v>
      </c>
      <c r="AB29" s="1909" t="e">
        <f t="shared" si="4"/>
        <v>#N/A</v>
      </c>
      <c r="AC29" s="1909" t="e">
        <f t="shared" si="5"/>
        <v>#N/A</v>
      </c>
    </row>
    <row r="30" spans="1:29" ht="15">
      <c r="A30" s="640"/>
      <c r="B30" s="638" t="s">
        <v>2516</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4"/>
      <c r="Q30" s="1905" t="str">
        <f t="shared" si="11"/>
        <v>物业等级</v>
      </c>
      <c r="R30" s="754" t="s">
        <v>25</v>
      </c>
      <c r="S30" s="755">
        <f t="shared" si="12"/>
        <v>100</v>
      </c>
      <c r="T30" s="754" t="s">
        <v>25</v>
      </c>
      <c r="U30" s="755">
        <f t="shared" si="13"/>
        <v>100</v>
      </c>
      <c r="V30" s="754" t="s">
        <v>25</v>
      </c>
      <c r="W30" s="755">
        <f t="shared" si="14"/>
        <v>100</v>
      </c>
      <c r="X30" s="1906"/>
      <c r="Y30" s="3034"/>
      <c r="Z30" s="1908" t="str">
        <f t="shared" si="15"/>
        <v>物业等级</v>
      </c>
      <c r="AA30" s="1909">
        <f t="shared" si="3"/>
        <v>1</v>
      </c>
      <c r="AB30" s="1909">
        <f t="shared" si="4"/>
        <v>1</v>
      </c>
      <c r="AC30" s="1909">
        <f t="shared" si="5"/>
        <v>1</v>
      </c>
    </row>
    <row r="31" spans="1:29" s="35" customFormat="1" ht="15">
      <c r="A31" s="642"/>
      <c r="B31" s="638" t="s">
        <v>2517</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4"/>
      <c r="Q31" s="1893" t="str">
        <f t="shared" si="11"/>
        <v>停车位面积</v>
      </c>
      <c r="R31" s="750" t="s">
        <v>25</v>
      </c>
      <c r="S31" s="751" t="e">
        <f t="shared" si="12"/>
        <v>#N/A</v>
      </c>
      <c r="T31" s="750" t="s">
        <v>25</v>
      </c>
      <c r="U31" s="751" t="e">
        <f t="shared" si="13"/>
        <v>#N/A</v>
      </c>
      <c r="V31" s="750" t="s">
        <v>25</v>
      </c>
      <c r="W31" s="751" t="e">
        <f t="shared" si="14"/>
        <v>#N/A</v>
      </c>
      <c r="X31" s="752"/>
      <c r="Y31" s="3034"/>
      <c r="Z31" s="23" t="str">
        <f t="shared" si="15"/>
        <v>停车位面积</v>
      </c>
      <c r="AA31" s="753" t="e">
        <f t="shared" si="3"/>
        <v>#N/A</v>
      </c>
      <c r="AB31" s="753" t="e">
        <f t="shared" si="4"/>
        <v>#N/A</v>
      </c>
      <c r="AC31" s="753" t="e">
        <f t="shared" si="5"/>
        <v>#N/A</v>
      </c>
    </row>
    <row r="32" spans="1:29" ht="15">
      <c r="A32" s="640"/>
      <c r="B32" s="638" t="s">
        <v>2518</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4" t="s">
        <v>2372</v>
      </c>
      <c r="Q32" s="1905" t="str">
        <f t="shared" si="11"/>
        <v>车位类型</v>
      </c>
      <c r="R32" s="754" t="s">
        <v>25</v>
      </c>
      <c r="S32" s="755">
        <f t="shared" si="12"/>
        <v>100</v>
      </c>
      <c r="T32" s="754" t="s">
        <v>25</v>
      </c>
      <c r="U32" s="755">
        <f t="shared" si="13"/>
        <v>100</v>
      </c>
      <c r="V32" s="754" t="s">
        <v>25</v>
      </c>
      <c r="W32" s="755">
        <f t="shared" si="14"/>
        <v>100</v>
      </c>
      <c r="X32" s="1906"/>
      <c r="Y32" s="3034" t="s">
        <v>2372</v>
      </c>
      <c r="Z32" s="1908" t="str">
        <f t="shared" si="15"/>
        <v>车位类型</v>
      </c>
      <c r="AA32" s="1909">
        <f t="shared" si="3"/>
        <v>1</v>
      </c>
      <c r="AB32" s="1909">
        <f t="shared" si="4"/>
        <v>1</v>
      </c>
      <c r="AC32" s="1909">
        <f t="shared" si="5"/>
        <v>1</v>
      </c>
    </row>
    <row r="33" spans="1:29" ht="15">
      <c r="A33" s="640"/>
      <c r="B33" s="638" t="s">
        <v>2519</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4"/>
      <c r="Q33" s="1905" t="str">
        <f t="shared" si="11"/>
        <v>是否直接入户</v>
      </c>
      <c r="R33" s="754" t="s">
        <v>25</v>
      </c>
      <c r="S33" s="755">
        <f t="shared" si="12"/>
        <v>100</v>
      </c>
      <c r="T33" s="754" t="s">
        <v>25</v>
      </c>
      <c r="U33" s="755">
        <f t="shared" si="13"/>
        <v>100</v>
      </c>
      <c r="V33" s="754" t="s">
        <v>25</v>
      </c>
      <c r="W33" s="755">
        <f t="shared" si="14"/>
        <v>100</v>
      </c>
      <c r="X33" s="1906"/>
      <c r="Y33" s="3034"/>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4"/>
      <c r="Q34" s="1905">
        <f t="shared" si="11"/>
        <v>111</v>
      </c>
      <c r="R34" s="754" t="s">
        <v>25</v>
      </c>
      <c r="S34" s="755">
        <f t="shared" si="12"/>
        <v>100</v>
      </c>
      <c r="T34" s="754" t="s">
        <v>25</v>
      </c>
      <c r="U34" s="755">
        <f t="shared" si="13"/>
        <v>100</v>
      </c>
      <c r="V34" s="754" t="s">
        <v>25</v>
      </c>
      <c r="W34" s="755">
        <f t="shared" si="14"/>
        <v>100</v>
      </c>
      <c r="X34" s="1906"/>
      <c r="Y34" s="3034"/>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4"/>
      <c r="Q35" s="756">
        <f t="shared" si="11"/>
        <v>111</v>
      </c>
      <c r="R35" s="757" t="s">
        <v>25</v>
      </c>
      <c r="S35" s="758">
        <f t="shared" si="12"/>
        <v>100</v>
      </c>
      <c r="T35" s="757" t="s">
        <v>25</v>
      </c>
      <c r="U35" s="758">
        <f t="shared" si="13"/>
        <v>100</v>
      </c>
      <c r="V35" s="757" t="s">
        <v>25</v>
      </c>
      <c r="W35" s="758">
        <f t="shared" si="14"/>
        <v>100</v>
      </c>
      <c r="X35" s="759"/>
      <c r="Y35" s="3034"/>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4"/>
      <c r="Q36" s="1905">
        <f t="shared" si="11"/>
        <v>111</v>
      </c>
      <c r="R36" s="754" t="s">
        <v>25</v>
      </c>
      <c r="S36" s="755">
        <f t="shared" si="12"/>
        <v>100</v>
      </c>
      <c r="T36" s="754" t="s">
        <v>25</v>
      </c>
      <c r="U36" s="755">
        <f t="shared" si="13"/>
        <v>100</v>
      </c>
      <c r="V36" s="754" t="s">
        <v>25</v>
      </c>
      <c r="W36" s="755">
        <f t="shared" si="14"/>
        <v>100</v>
      </c>
      <c r="X36" s="1906"/>
      <c r="Y36" s="3034"/>
      <c r="Z36" s="1908">
        <f t="shared" si="15"/>
        <v>111</v>
      </c>
      <c r="AA36" s="1909">
        <f t="shared" si="3"/>
        <v>1</v>
      </c>
      <c r="AB36" s="1909">
        <f t="shared" si="4"/>
        <v>1</v>
      </c>
      <c r="AC36" s="1909">
        <f t="shared" si="5"/>
        <v>1</v>
      </c>
    </row>
    <row r="37" spans="1:29" ht="15">
      <c r="A37" s="461" t="s">
        <v>2520</v>
      </c>
      <c r="B37" s="1094" t="s">
        <v>2521</v>
      </c>
      <c r="C37" s="1504" t="s">
        <v>1</v>
      </c>
      <c r="D37" s="1505"/>
      <c r="E37" s="1506"/>
      <c r="F37" s="1507"/>
      <c r="G37" s="1508"/>
      <c r="H37" s="1509"/>
      <c r="I37" s="1506"/>
      <c r="J37" s="1509"/>
      <c r="K37" s="604"/>
      <c r="L37" s="1527"/>
      <c r="M37" s="739"/>
      <c r="N37" s="426"/>
      <c r="O37" s="739"/>
      <c r="P37" s="3026" t="str">
        <f>A37</f>
        <v>成交单价</v>
      </c>
      <c r="Q37" s="3026"/>
      <c r="R37" s="3022">
        <f>E37</f>
        <v>0</v>
      </c>
      <c r="S37" s="3022"/>
      <c r="T37" s="3022">
        <f>G37</f>
        <v>0</v>
      </c>
      <c r="U37" s="3022"/>
      <c r="V37" s="3022">
        <f>I37</f>
        <v>0</v>
      </c>
      <c r="W37" s="3022"/>
      <c r="X37" s="739"/>
      <c r="Y37" s="761"/>
      <c r="Z37" s="739"/>
      <c r="AA37" s="739"/>
      <c r="AB37" s="739"/>
      <c r="AC37" s="739"/>
    </row>
    <row r="38" spans="1:29" ht="15.75" thickBot="1">
      <c r="A38" s="468" t="s">
        <v>2522</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26" t="str">
        <f>A38</f>
        <v>比较价值</v>
      </c>
      <c r="Q38" s="3026"/>
      <c r="R38" s="3022" t="e">
        <f>IF(E1="售价",ROUND(PRODUCT(R37,AA7:AA36),0),ROUND(PRODUCT(R37,AA7:AA36),1))</f>
        <v>#DIV/0!</v>
      </c>
      <c r="S38" s="3022"/>
      <c r="T38" s="3022" t="e">
        <f>IF(E1="售价",ROUND(PRODUCT(T37,AB7:AB36),0),ROUND(PRODUCT(T37,AB7:AB36),1))</f>
        <v>#DIV/0!</v>
      </c>
      <c r="U38" s="3022"/>
      <c r="V38" s="3022" t="e">
        <f>IF(E1="售价",ROUND(PRODUCT(V37,AC7:AC36),0),ROUND(PRODUCT(V37,AC7:AC36),1))</f>
        <v>#DIV/0!</v>
      </c>
      <c r="W38" s="3022"/>
      <c r="X38" s="739"/>
      <c r="Y38" s="739"/>
      <c r="Z38" s="739"/>
      <c r="AA38" s="739"/>
      <c r="AB38" s="739"/>
      <c r="AC38" s="739"/>
    </row>
    <row r="39" spans="1:29" ht="15.75" thickBot="1">
      <c r="A39" s="474" t="s">
        <v>2523</v>
      </c>
      <c r="B39" s="475"/>
      <c r="C39" s="1514" t="e">
        <f>R39</f>
        <v>#DIV/0!</v>
      </c>
      <c r="D39" s="1514"/>
      <c r="E39" s="1514"/>
      <c r="F39" s="1514"/>
      <c r="G39" s="1514"/>
      <c r="H39" s="1514"/>
      <c r="I39" s="1514"/>
      <c r="J39" s="1514"/>
      <c r="K39" s="606"/>
      <c r="L39" s="1527"/>
      <c r="M39" s="739"/>
      <c r="N39" s="739"/>
      <c r="O39" s="739"/>
      <c r="P39" s="3023" t="str">
        <f>A39</f>
        <v>估价对象XX用房的比较价值（楼面单价，元/平方米）</v>
      </c>
      <c r="Q39" s="3024"/>
      <c r="R39" s="3025" t="e">
        <f>IF(E1="售价",ROUND(AVERAGE(R38:V38),0),ROUND(AVERAGE(R38:V38),1))</f>
        <v>#DIV/0!</v>
      </c>
      <c r="S39" s="3025"/>
      <c r="T39" s="3025"/>
      <c r="U39" s="3025"/>
      <c r="V39" s="3025"/>
      <c r="W39" s="3025"/>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2524</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2525</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2526</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2527</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2528</v>
      </c>
      <c r="B48" s="488"/>
      <c r="C48" s="1684" t="str">
        <f>YEAR(C7)&amp;"-"&amp;MONTH(C7)</f>
        <v>2017-11</v>
      </c>
      <c r="D48" s="1685">
        <f>EDATE(C48,-1)</f>
        <v>43009</v>
      </c>
      <c r="E48" s="1685">
        <f t="shared" ref="E48:O48" si="16">EDATE(D48,-1)</f>
        <v>42979</v>
      </c>
      <c r="F48" s="1685">
        <f t="shared" si="16"/>
        <v>42948</v>
      </c>
      <c r="G48" s="1685">
        <f t="shared" si="16"/>
        <v>42917</v>
      </c>
      <c r="H48" s="1685">
        <f t="shared" si="16"/>
        <v>42887</v>
      </c>
      <c r="I48" s="1685">
        <f t="shared" si="16"/>
        <v>42856</v>
      </c>
      <c r="J48" s="1685">
        <f t="shared" si="16"/>
        <v>42826</v>
      </c>
      <c r="K48" s="1685">
        <f t="shared" si="16"/>
        <v>42795</v>
      </c>
      <c r="L48" s="1685">
        <f t="shared" si="16"/>
        <v>42767</v>
      </c>
      <c r="M48" s="1685">
        <f t="shared" si="16"/>
        <v>42736</v>
      </c>
      <c r="N48" s="1685">
        <f t="shared" si="16"/>
        <v>42705</v>
      </c>
      <c r="O48" s="1685">
        <f t="shared" si="16"/>
        <v>42675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2392</v>
      </c>
      <c r="B50" s="498"/>
      <c r="C50" s="499"/>
      <c r="D50" s="500"/>
      <c r="E50" s="500"/>
      <c r="F50" s="500"/>
      <c r="G50" s="500"/>
      <c r="H50" s="500"/>
      <c r="I50" s="500"/>
      <c r="J50" s="500"/>
      <c r="K50" s="500"/>
      <c r="L50" s="500"/>
      <c r="M50" s="501"/>
      <c r="N50" s="500"/>
      <c r="O50" s="502"/>
      <c r="P50" s="486"/>
      <c r="Q50" s="486"/>
    </row>
    <row r="51" spans="1:17" s="35" customFormat="1" ht="15">
      <c r="A51" s="503" t="s">
        <v>2356</v>
      </c>
      <c r="B51" s="492"/>
      <c r="C51" s="504" t="s">
        <v>2357</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2395</v>
      </c>
      <c r="B53" s="510" t="s">
        <v>2360</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2363</v>
      </c>
      <c r="C55" s="523" t="s">
        <v>2396</v>
      </c>
      <c r="D55" s="523" t="s">
        <v>2397</v>
      </c>
      <c r="E55" s="523" t="s">
        <v>2398</v>
      </c>
      <c r="F55" s="523" t="s">
        <v>2399</v>
      </c>
      <c r="G55" s="523" t="s">
        <v>2400</v>
      </c>
      <c r="H55" s="523" t="s">
        <v>2401</v>
      </c>
      <c r="I55" s="523" t="s">
        <v>2402</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2365</v>
      </c>
      <c r="B63" s="510" t="s">
        <v>2409</v>
      </c>
      <c r="C63" s="558" t="s">
        <v>2404</v>
      </c>
      <c r="D63" s="558" t="s">
        <v>2405</v>
      </c>
      <c r="E63" s="558" t="s">
        <v>2406</v>
      </c>
      <c r="F63" s="558" t="s">
        <v>2407</v>
      </c>
      <c r="G63" s="558" t="s">
        <v>2408</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2410</v>
      </c>
      <c r="C65" s="563" t="s">
        <v>2404</v>
      </c>
      <c r="D65" s="563" t="s">
        <v>2405</v>
      </c>
      <c r="E65" s="563" t="s">
        <v>2406</v>
      </c>
      <c r="F65" s="563" t="s">
        <v>2407</v>
      </c>
      <c r="G65" s="563" t="s">
        <v>2408</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2482</v>
      </c>
      <c r="C67" s="523" t="s">
        <v>2411</v>
      </c>
      <c r="D67" s="523" t="s">
        <v>2412</v>
      </c>
      <c r="E67" s="523" t="s">
        <v>2413</v>
      </c>
      <c r="F67" s="523" t="s">
        <v>2414</v>
      </c>
      <c r="G67" s="523" t="s">
        <v>2415</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2416</v>
      </c>
      <c r="C69" s="563" t="s">
        <v>2404</v>
      </c>
      <c r="D69" s="563" t="s">
        <v>2405</v>
      </c>
      <c r="E69" s="563" t="s">
        <v>2406</v>
      </c>
      <c r="F69" s="563" t="s">
        <v>2407</v>
      </c>
      <c r="G69" s="563" t="s">
        <v>2408</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2529</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2370</v>
      </c>
      <c r="B79" s="510" t="s">
        <v>2530</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2531</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2423</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2532</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2533</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2534</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2535</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2536</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2340</v>
      </c>
      <c r="D3" s="379">
        <f>IF(C1="仅计算典型户型",'数据-取费表'!E5,'数据-取费表'!B5)</f>
        <v>15.87</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43062</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40" t="s">
        <v>2355</v>
      </c>
      <c r="Q7" s="3048"/>
      <c r="R7" s="750" t="s">
        <v>25</v>
      </c>
      <c r="S7" s="751">
        <f t="shared" ref="S7:S14" si="0">F7</f>
        <v>0</v>
      </c>
      <c r="T7" s="750" t="s">
        <v>25</v>
      </c>
      <c r="U7" s="751">
        <f t="shared" ref="U7:U14" si="1">H7</f>
        <v>0</v>
      </c>
      <c r="V7" s="750" t="s">
        <v>25</v>
      </c>
      <c r="W7" s="751">
        <f t="shared" ref="W7:W14"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34" si="3">D8/F8</f>
        <v>#DIV/0!</v>
      </c>
      <c r="AB8" s="753" t="e">
        <f t="shared" ref="AB8:AB34" si="4">D8/H8</f>
        <v>#DIV/0!</v>
      </c>
      <c r="AC8" s="753" t="e">
        <f t="shared" ref="AC8:AC34" si="5">D8/J8</f>
        <v>#DIV/0!</v>
      </c>
    </row>
    <row r="9" spans="1:29" s="35" customFormat="1">
      <c r="A9" s="396" t="s">
        <v>2359</v>
      </c>
      <c r="B9" s="28" t="s">
        <v>2360</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26" t="s">
        <v>2361</v>
      </c>
      <c r="Q9" s="1893" t="str">
        <f t="shared" ref="Q9:Q14" si="6">B9</f>
        <v>用途</v>
      </c>
      <c r="R9" s="750" t="s">
        <v>25</v>
      </c>
      <c r="S9" s="751">
        <f t="shared" si="0"/>
        <v>100</v>
      </c>
      <c r="T9" s="750" t="s">
        <v>25</v>
      </c>
      <c r="U9" s="751">
        <f t="shared" si="1"/>
        <v>100</v>
      </c>
      <c r="V9" s="750" t="s">
        <v>25</v>
      </c>
      <c r="W9" s="751">
        <f t="shared" si="2"/>
        <v>100</v>
      </c>
      <c r="X9" s="752"/>
      <c r="Y9" s="2855" t="s">
        <v>2362</v>
      </c>
      <c r="Z9" s="23" t="str">
        <f t="shared" ref="Z9:Z14" si="7">Q9</f>
        <v>用途</v>
      </c>
      <c r="AA9" s="753">
        <f t="shared" si="3"/>
        <v>1</v>
      </c>
      <c r="AB9" s="753">
        <f t="shared" si="4"/>
        <v>1</v>
      </c>
      <c r="AC9" s="753">
        <f t="shared" si="5"/>
        <v>1</v>
      </c>
    </row>
    <row r="10" spans="1:29" s="408" customFormat="1" ht="27">
      <c r="A10" s="402"/>
      <c r="B10" s="403" t="s">
        <v>2363</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26"/>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26"/>
      <c r="Q11" s="1893">
        <f t="shared" si="6"/>
        <v>111</v>
      </c>
      <c r="R11" s="750" t="s">
        <v>25</v>
      </c>
      <c r="S11" s="751">
        <f t="shared" si="0"/>
        <v>100</v>
      </c>
      <c r="T11" s="750" t="s">
        <v>25</v>
      </c>
      <c r="U11" s="751">
        <f t="shared" si="1"/>
        <v>100</v>
      </c>
      <c r="V11" s="750" t="s">
        <v>25</v>
      </c>
      <c r="W11" s="751">
        <f t="shared" si="2"/>
        <v>100</v>
      </c>
      <c r="X11" s="752"/>
      <c r="Y11" s="2855"/>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85.25">
      <c r="A14" s="420" t="s">
        <v>2365</v>
      </c>
      <c r="B14" s="26" t="s">
        <v>2509</v>
      </c>
      <c r="C14" s="2486" t="str">
        <f>IF(B1="工业",估价对象房地状况!G4,估价对象房地状况!C6)</f>
        <v>估价对象紧邻城市主干道——中关村大街，临近地铁4号线（中关村站）；以估价对象为中心半径2公里范围内有302路、307路、320路、332路、355路等二十余条公交线路，综合评价交通便捷度好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29" t="s">
        <v>2366</v>
      </c>
      <c r="Q14" s="1905" t="str">
        <f t="shared" si="6"/>
        <v>交通便捷度</v>
      </c>
      <c r="R14" s="754" t="s">
        <v>25</v>
      </c>
      <c r="S14" s="755">
        <f t="shared" si="0"/>
        <v>100</v>
      </c>
      <c r="T14" s="754" t="s">
        <v>25</v>
      </c>
      <c r="U14" s="755">
        <f t="shared" si="1"/>
        <v>100</v>
      </c>
      <c r="V14" s="754" t="s">
        <v>25</v>
      </c>
      <c r="W14" s="755">
        <f t="shared" si="2"/>
        <v>100</v>
      </c>
      <c r="X14" s="1906"/>
      <c r="Y14" s="3029" t="s">
        <v>2366</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30"/>
      <c r="Q15" s="1905"/>
      <c r="R15" s="754"/>
      <c r="S15" s="755"/>
      <c r="T15" s="754"/>
      <c r="U15" s="755"/>
      <c r="V15" s="754"/>
      <c r="W15" s="755"/>
      <c r="X15" s="1906"/>
      <c r="Y15" s="3030"/>
      <c r="Z15" s="1908"/>
      <c r="AA15" s="1909">
        <v>1</v>
      </c>
      <c r="AB15" s="1909">
        <v>1</v>
      </c>
      <c r="AC15" s="1909">
        <v>1</v>
      </c>
    </row>
    <row r="16" spans="1:29" ht="42.75">
      <c r="A16" s="409"/>
      <c r="B16" s="616" t="s">
        <v>2481</v>
      </c>
      <c r="C16" s="2413" t="str">
        <f>IF(B1="工业",估价对象房地状况!G5,估价对象房地状况!C7)</f>
        <v>估价对象所在区域公共配套设施齐备情况好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30"/>
      <c r="Q16" s="1905" t="str">
        <f>B16</f>
        <v>公共配套设施</v>
      </c>
      <c r="R16" s="754" t="s">
        <v>25</v>
      </c>
      <c r="S16" s="755">
        <f>F16</f>
        <v>100</v>
      </c>
      <c r="T16" s="754" t="s">
        <v>25</v>
      </c>
      <c r="U16" s="755">
        <f>H16</f>
        <v>100</v>
      </c>
      <c r="V16" s="754" t="s">
        <v>25</v>
      </c>
      <c r="W16" s="755">
        <f>J16</f>
        <v>100</v>
      </c>
      <c r="X16" s="1906"/>
      <c r="Y16" s="3030"/>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30"/>
      <c r="Q17" s="1905"/>
      <c r="R17" s="754"/>
      <c r="S17" s="755"/>
      <c r="T17" s="754"/>
      <c r="U17" s="755"/>
      <c r="V17" s="754"/>
      <c r="W17" s="755"/>
      <c r="X17" s="1906"/>
      <c r="Y17" s="3030"/>
      <c r="Z17" s="1908"/>
      <c r="AA17" s="1909">
        <v>1</v>
      </c>
      <c r="AB17" s="1909">
        <v>1</v>
      </c>
      <c r="AC17" s="1909">
        <v>1</v>
      </c>
    </row>
    <row r="18" spans="1:29" ht="42.75">
      <c r="A18" s="409"/>
      <c r="B18" s="618" t="s">
        <v>2482</v>
      </c>
      <c r="C18" s="2413" t="str">
        <f>IF(B1="工业",估价对象房地状况!G6,估价对象房地状况!C8)</f>
        <v>估价对象所在区域基础设施水平——五通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30"/>
      <c r="Q18" s="1905" t="str">
        <f>B18</f>
        <v>基础设施水平</v>
      </c>
      <c r="R18" s="754" t="s">
        <v>25</v>
      </c>
      <c r="S18" s="755">
        <f>F18</f>
        <v>100</v>
      </c>
      <c r="T18" s="754" t="s">
        <v>25</v>
      </c>
      <c r="U18" s="755">
        <f>H18</f>
        <v>100</v>
      </c>
      <c r="V18" s="754" t="s">
        <v>25</v>
      </c>
      <c r="W18" s="755">
        <f>J18</f>
        <v>100</v>
      </c>
      <c r="X18" s="1906"/>
      <c r="Y18" s="3030"/>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30"/>
      <c r="Q19" s="1905"/>
      <c r="R19" s="754"/>
      <c r="S19" s="755"/>
      <c r="T19" s="754"/>
      <c r="U19" s="755"/>
      <c r="V19" s="754"/>
      <c r="W19" s="755"/>
      <c r="X19" s="1906"/>
      <c r="Y19" s="3030"/>
      <c r="Z19" s="1908"/>
      <c r="AA19" s="1909">
        <v>1</v>
      </c>
      <c r="AB19" s="1909">
        <v>1</v>
      </c>
      <c r="AC19" s="1909">
        <v>1</v>
      </c>
    </row>
    <row r="20" spans="1:29" ht="71.25">
      <c r="A20" s="409"/>
      <c r="B20" s="432" t="s">
        <v>2510</v>
      </c>
      <c r="C20" s="2413" t="str">
        <f>IF(B1="工业",估价对象房地状况!G7,估价对象房地状况!C9)</f>
        <v>自然环境：海淀公园等；人文环境：北京大学等，综合评价环境状况较好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30"/>
      <c r="Q20" s="1905" t="str">
        <f>B20</f>
        <v>自然及人文环境</v>
      </c>
      <c r="R20" s="754" t="s">
        <v>25</v>
      </c>
      <c r="S20" s="755">
        <f>F20</f>
        <v>100</v>
      </c>
      <c r="T20" s="754" t="s">
        <v>25</v>
      </c>
      <c r="U20" s="755">
        <f>H20</f>
        <v>100</v>
      </c>
      <c r="V20" s="754" t="s">
        <v>25</v>
      </c>
      <c r="W20" s="755">
        <f>J20</f>
        <v>100</v>
      </c>
      <c r="X20" s="1906"/>
      <c r="Y20" s="3030"/>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30"/>
      <c r="Q21" s="1905"/>
      <c r="R21" s="754"/>
      <c r="S21" s="755"/>
      <c r="T21" s="754"/>
      <c r="U21" s="755"/>
      <c r="V21" s="754"/>
      <c r="W21" s="755"/>
      <c r="X21" s="1906"/>
      <c r="Y21" s="3030"/>
      <c r="Z21" s="1908"/>
      <c r="AA21" s="1909">
        <v>1</v>
      </c>
      <c r="AB21" s="1909">
        <v>1</v>
      </c>
      <c r="AC21" s="1909">
        <v>1</v>
      </c>
    </row>
    <row r="22" spans="1:29" ht="15">
      <c r="A22" s="409"/>
      <c r="B22" s="432" t="s">
        <v>2511</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30"/>
      <c r="Q22" s="1905" t="str">
        <f>B22</f>
        <v>楼层</v>
      </c>
      <c r="R22" s="754" t="s">
        <v>25</v>
      </c>
      <c r="S22" s="755">
        <f>F22</f>
        <v>100</v>
      </c>
      <c r="T22" s="754" t="s">
        <v>25</v>
      </c>
      <c r="U22" s="755">
        <f>H22</f>
        <v>100</v>
      </c>
      <c r="V22" s="754" t="s">
        <v>25</v>
      </c>
      <c r="W22" s="755">
        <f>J22</f>
        <v>100</v>
      </c>
      <c r="X22" s="1906"/>
      <c r="Y22" s="3030"/>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30"/>
      <c r="Q23" s="1905">
        <f>B23</f>
        <v>111</v>
      </c>
      <c r="R23" s="754" t="s">
        <v>25</v>
      </c>
      <c r="S23" s="755">
        <f>F23</f>
        <v>100</v>
      </c>
      <c r="T23" s="754" t="s">
        <v>25</v>
      </c>
      <c r="U23" s="755">
        <f>H23</f>
        <v>100</v>
      </c>
      <c r="V23" s="754" t="s">
        <v>25</v>
      </c>
      <c r="W23" s="755">
        <f>J23</f>
        <v>100</v>
      </c>
      <c r="X23" s="1906"/>
      <c r="Y23" s="3030"/>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30"/>
      <c r="Q24" s="1905">
        <f t="shared" ref="Q24:Q34" si="11">B24</f>
        <v>111</v>
      </c>
      <c r="R24" s="754" t="s">
        <v>25</v>
      </c>
      <c r="S24" s="755">
        <f>F24</f>
        <v>100</v>
      </c>
      <c r="T24" s="754" t="s">
        <v>25</v>
      </c>
      <c r="U24" s="755">
        <f>H24</f>
        <v>100</v>
      </c>
      <c r="V24" s="754" t="s">
        <v>25</v>
      </c>
      <c r="W24" s="755">
        <f>J24</f>
        <v>100</v>
      </c>
      <c r="X24" s="1906"/>
      <c r="Y24" s="3030"/>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30"/>
      <c r="Q25" s="1893">
        <f t="shared" si="11"/>
        <v>111</v>
      </c>
      <c r="R25" s="750" t="s">
        <v>25</v>
      </c>
      <c r="S25" s="751">
        <f>F25</f>
        <v>100</v>
      </c>
      <c r="T25" s="750" t="s">
        <v>25</v>
      </c>
      <c r="U25" s="751">
        <f>H25</f>
        <v>100</v>
      </c>
      <c r="V25" s="750" t="s">
        <v>25</v>
      </c>
      <c r="W25" s="751">
        <f>J25</f>
        <v>100</v>
      </c>
      <c r="X25" s="752"/>
      <c r="Y25" s="3030"/>
      <c r="Z25" s="23">
        <f>Q25</f>
        <v>111</v>
      </c>
      <c r="AA25" s="1909">
        <f>D25/F25</f>
        <v>1</v>
      </c>
      <c r="AB25" s="1909">
        <f>D25/H25</f>
        <v>1</v>
      </c>
      <c r="AC25" s="1909">
        <f>D25/J25</f>
        <v>1</v>
      </c>
    </row>
    <row r="26" spans="1:29" ht="15">
      <c r="A26" s="448" t="s">
        <v>2370</v>
      </c>
      <c r="B26" s="28" t="s">
        <v>2514</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0" t="s">
        <v>2372</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4" t="s">
        <v>2372</v>
      </c>
      <c r="Z26" s="1908" t="str">
        <f t="shared" ref="Z26:Z34" si="15">Q26</f>
        <v>公共部分装修</v>
      </c>
      <c r="AA26" s="1909">
        <f t="shared" si="3"/>
        <v>1</v>
      </c>
      <c r="AB26" s="1909">
        <f t="shared" si="4"/>
        <v>1</v>
      </c>
      <c r="AC26" s="1909">
        <f t="shared" si="5"/>
        <v>1</v>
      </c>
    </row>
    <row r="27" spans="1:29" s="453" customFormat="1" ht="15">
      <c r="A27" s="450"/>
      <c r="B27" s="403" t="s">
        <v>2515</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4"/>
      <c r="Q27" s="756" t="str">
        <f t="shared" si="11"/>
        <v>成新率</v>
      </c>
      <c r="R27" s="757" t="s">
        <v>25</v>
      </c>
      <c r="S27" s="758" t="e">
        <f t="shared" si="12"/>
        <v>#N/A</v>
      </c>
      <c r="T27" s="757" t="s">
        <v>25</v>
      </c>
      <c r="U27" s="758" t="e">
        <f t="shared" si="13"/>
        <v>#N/A</v>
      </c>
      <c r="V27" s="757" t="s">
        <v>25</v>
      </c>
      <c r="W27" s="758" t="e">
        <f t="shared" si="14"/>
        <v>#N/A</v>
      </c>
      <c r="X27" s="759"/>
      <c r="Y27" s="3034"/>
      <c r="Z27" s="760" t="str">
        <f t="shared" si="15"/>
        <v>成新率</v>
      </c>
      <c r="AA27" s="1909" t="e">
        <f t="shared" si="3"/>
        <v>#N/A</v>
      </c>
      <c r="AB27" s="1909" t="e">
        <f t="shared" si="4"/>
        <v>#N/A</v>
      </c>
      <c r="AC27" s="1909" t="e">
        <f t="shared" si="5"/>
        <v>#N/A</v>
      </c>
    </row>
    <row r="28" spans="1:29" ht="15">
      <c r="A28" s="454"/>
      <c r="B28" s="403" t="s">
        <v>2516</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4"/>
      <c r="Q28" s="1905" t="str">
        <f t="shared" si="11"/>
        <v>物业等级</v>
      </c>
      <c r="R28" s="754" t="s">
        <v>25</v>
      </c>
      <c r="S28" s="755">
        <f t="shared" si="12"/>
        <v>100</v>
      </c>
      <c r="T28" s="754" t="s">
        <v>25</v>
      </c>
      <c r="U28" s="755">
        <f t="shared" si="13"/>
        <v>100</v>
      </c>
      <c r="V28" s="754" t="s">
        <v>25</v>
      </c>
      <c r="W28" s="755">
        <f t="shared" si="14"/>
        <v>100</v>
      </c>
      <c r="X28" s="1906"/>
      <c r="Y28" s="3034"/>
      <c r="Z28" s="1908" t="str">
        <f t="shared" si="15"/>
        <v>物业等级</v>
      </c>
      <c r="AA28" s="1909">
        <f t="shared" si="3"/>
        <v>1</v>
      </c>
      <c r="AB28" s="1909">
        <f t="shared" si="4"/>
        <v>1</v>
      </c>
      <c r="AC28" s="1909">
        <f t="shared" si="5"/>
        <v>1</v>
      </c>
    </row>
    <row r="29" spans="1:29" ht="15">
      <c r="A29" s="454"/>
      <c r="B29" s="403" t="s">
        <v>2537</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4"/>
      <c r="Q29" s="1905" t="str">
        <f t="shared" si="11"/>
        <v>有无电梯</v>
      </c>
      <c r="R29" s="754" t="s">
        <v>25</v>
      </c>
      <c r="S29" s="755">
        <f t="shared" si="12"/>
        <v>100</v>
      </c>
      <c r="T29" s="754" t="s">
        <v>25</v>
      </c>
      <c r="U29" s="755">
        <f t="shared" si="13"/>
        <v>100</v>
      </c>
      <c r="V29" s="754" t="s">
        <v>25</v>
      </c>
      <c r="W29" s="755">
        <f t="shared" si="14"/>
        <v>100</v>
      </c>
      <c r="X29" s="1906"/>
      <c r="Y29" s="3034"/>
      <c r="Z29" s="1908" t="str">
        <f t="shared" si="15"/>
        <v>有无电梯</v>
      </c>
      <c r="AA29" s="1909">
        <f t="shared" si="3"/>
        <v>1</v>
      </c>
      <c r="AB29" s="1909">
        <f t="shared" si="4"/>
        <v>1</v>
      </c>
      <c r="AC29" s="1909">
        <f t="shared" si="5"/>
        <v>1</v>
      </c>
    </row>
    <row r="30" spans="1:29" ht="15">
      <c r="A30" s="454"/>
      <c r="B30" s="403" t="s">
        <v>2538</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4"/>
      <c r="Q30" s="1905" t="str">
        <f t="shared" si="11"/>
        <v>建筑面积</v>
      </c>
      <c r="R30" s="754" t="s">
        <v>25</v>
      </c>
      <c r="S30" s="755" t="e">
        <f t="shared" si="12"/>
        <v>#N/A</v>
      </c>
      <c r="T30" s="754" t="s">
        <v>25</v>
      </c>
      <c r="U30" s="755" t="e">
        <f t="shared" si="13"/>
        <v>#N/A</v>
      </c>
      <c r="V30" s="754" t="s">
        <v>25</v>
      </c>
      <c r="W30" s="755" t="e">
        <f t="shared" si="14"/>
        <v>#N/A</v>
      </c>
      <c r="X30" s="1906"/>
      <c r="Y30" s="3034"/>
      <c r="Z30" s="1908" t="str">
        <f t="shared" si="15"/>
        <v>建筑面积</v>
      </c>
      <c r="AA30" s="1909" t="e">
        <f t="shared" si="3"/>
        <v>#N/A</v>
      </c>
      <c r="AB30" s="1909" t="e">
        <f t="shared" si="4"/>
        <v>#N/A</v>
      </c>
      <c r="AC30" s="1909" t="e">
        <f t="shared" si="5"/>
        <v>#N/A</v>
      </c>
    </row>
    <row r="31" spans="1:29" s="35" customFormat="1" ht="15">
      <c r="A31" s="455"/>
      <c r="B31" s="403" t="s">
        <v>2539</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4"/>
      <c r="Q31" s="1893" t="str">
        <f t="shared" si="11"/>
        <v>是否封闭</v>
      </c>
      <c r="R31" s="750" t="s">
        <v>25</v>
      </c>
      <c r="S31" s="751">
        <f t="shared" si="12"/>
        <v>100</v>
      </c>
      <c r="T31" s="750" t="s">
        <v>25</v>
      </c>
      <c r="U31" s="751">
        <f t="shared" si="13"/>
        <v>100</v>
      </c>
      <c r="V31" s="750" t="s">
        <v>25</v>
      </c>
      <c r="W31" s="751">
        <f t="shared" si="14"/>
        <v>100</v>
      </c>
      <c r="X31" s="752"/>
      <c r="Y31" s="3034"/>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4" t="s">
        <v>2372</v>
      </c>
      <c r="Q32" s="1905">
        <f t="shared" si="11"/>
        <v>111</v>
      </c>
      <c r="R32" s="754" t="s">
        <v>25</v>
      </c>
      <c r="S32" s="755">
        <f t="shared" si="12"/>
        <v>100</v>
      </c>
      <c r="T32" s="754" t="s">
        <v>25</v>
      </c>
      <c r="U32" s="755">
        <f t="shared" si="13"/>
        <v>100</v>
      </c>
      <c r="V32" s="754" t="s">
        <v>25</v>
      </c>
      <c r="W32" s="755">
        <f t="shared" si="14"/>
        <v>100</v>
      </c>
      <c r="X32" s="1906"/>
      <c r="Y32" s="3034" t="s">
        <v>2372</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4"/>
      <c r="Q33" s="1905">
        <f t="shared" si="11"/>
        <v>111</v>
      </c>
      <c r="R33" s="754" t="s">
        <v>25</v>
      </c>
      <c r="S33" s="755">
        <f t="shared" si="12"/>
        <v>100</v>
      </c>
      <c r="T33" s="754" t="s">
        <v>25</v>
      </c>
      <c r="U33" s="755">
        <f t="shared" si="13"/>
        <v>100</v>
      </c>
      <c r="V33" s="754" t="s">
        <v>25</v>
      </c>
      <c r="W33" s="755">
        <f t="shared" si="14"/>
        <v>100</v>
      </c>
      <c r="X33" s="1906"/>
      <c r="Y33" s="3034"/>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34"/>
      <c r="Q34" s="1905">
        <f t="shared" si="11"/>
        <v>111</v>
      </c>
      <c r="R34" s="754" t="s">
        <v>25</v>
      </c>
      <c r="S34" s="755">
        <f t="shared" si="12"/>
        <v>100</v>
      </c>
      <c r="T34" s="754" t="s">
        <v>25</v>
      </c>
      <c r="U34" s="755">
        <f t="shared" si="13"/>
        <v>100</v>
      </c>
      <c r="V34" s="754" t="s">
        <v>25</v>
      </c>
      <c r="W34" s="755">
        <f t="shared" si="14"/>
        <v>100</v>
      </c>
      <c r="X34" s="1906"/>
      <c r="Y34" s="3034"/>
      <c r="Z34" s="1908">
        <f t="shared" si="15"/>
        <v>111</v>
      </c>
      <c r="AA34" s="1909">
        <f t="shared" si="3"/>
        <v>1</v>
      </c>
      <c r="AB34" s="1909">
        <f t="shared" si="4"/>
        <v>1</v>
      </c>
      <c r="AC34" s="1909">
        <f t="shared" si="5"/>
        <v>1</v>
      </c>
    </row>
    <row r="35" spans="1:29" ht="15">
      <c r="A35" s="461" t="s">
        <v>2384</v>
      </c>
      <c r="B35" s="462"/>
      <c r="C35" s="1504" t="s">
        <v>1</v>
      </c>
      <c r="D35" s="1505"/>
      <c r="E35" s="1506"/>
      <c r="F35" s="1507"/>
      <c r="G35" s="1508"/>
      <c r="H35" s="1509"/>
      <c r="I35" s="1506"/>
      <c r="J35" s="1509"/>
      <c r="K35" s="763"/>
      <c r="L35" s="1258"/>
      <c r="M35" s="1259"/>
      <c r="N35" s="1246"/>
      <c r="O35" s="1259"/>
      <c r="P35" s="3026" t="str">
        <f>A35</f>
        <v>成交单价（元/平方米）</v>
      </c>
      <c r="Q35" s="3026"/>
      <c r="R35" s="3022">
        <f>E35</f>
        <v>0</v>
      </c>
      <c r="S35" s="3022"/>
      <c r="T35" s="3022">
        <f>G35</f>
        <v>0</v>
      </c>
      <c r="U35" s="3022"/>
      <c r="V35" s="3022">
        <f>I35</f>
        <v>0</v>
      </c>
      <c r="W35" s="3022"/>
      <c r="X35" s="739"/>
      <c r="Y35" s="761"/>
      <c r="Z35" s="739"/>
      <c r="AA35" s="739"/>
      <c r="AB35" s="739"/>
      <c r="AC35" s="739"/>
    </row>
    <row r="36" spans="1:29" ht="15.75" thickBot="1">
      <c r="A36" s="468" t="s">
        <v>2467</v>
      </c>
      <c r="B36" s="469"/>
      <c r="C36" s="1510" t="e">
        <f>R37</f>
        <v>#DIV/0!</v>
      </c>
      <c r="D36" s="1511"/>
      <c r="E36" s="1512" t="e">
        <f>R36</f>
        <v>#DIV/0!</v>
      </c>
      <c r="F36" s="1512"/>
      <c r="G36" s="1510" t="e">
        <f>T36</f>
        <v>#DIV/0!</v>
      </c>
      <c r="H36" s="1511"/>
      <c r="I36" s="1512" t="e">
        <f>V36</f>
        <v>#DIV/0!</v>
      </c>
      <c r="J36" s="1511"/>
      <c r="K36" s="764"/>
      <c r="L36" s="1258"/>
      <c r="M36" s="1259"/>
      <c r="N36" s="1246"/>
      <c r="O36" s="1259"/>
      <c r="P36" s="3026" t="str">
        <f>A36</f>
        <v>比较价值（元/平方米）</v>
      </c>
      <c r="Q36" s="3026"/>
      <c r="R36" s="3022" t="e">
        <f>IF(E1="售价",ROUND(PRODUCT(R35,AA7:AA34),0),ROUND(PRODUCT(R35,AA7:AA34),1))</f>
        <v>#DIV/0!</v>
      </c>
      <c r="S36" s="3022"/>
      <c r="T36" s="3022" t="e">
        <f>IF(E1="售价",ROUND(PRODUCT(T35,AB7:AB34),0),ROUND(PRODUCT(T35,AB7:AB34),1))</f>
        <v>#DIV/0!</v>
      </c>
      <c r="U36" s="3022"/>
      <c r="V36" s="3022" t="e">
        <f>IF(E1="售价",ROUND(PRODUCT(V35,AC7:AC34),0),ROUND(PRODUCT(V35,AC7:AC34),1))</f>
        <v>#DIV/0!</v>
      </c>
      <c r="W36" s="3022"/>
      <c r="X36" s="739"/>
      <c r="Y36" s="739"/>
      <c r="Z36" s="739"/>
      <c r="AA36" s="739"/>
      <c r="AB36" s="739"/>
      <c r="AC36" s="739"/>
    </row>
    <row r="37" spans="1:29" ht="15.75" thickBot="1">
      <c r="A37" s="474" t="s">
        <v>2490</v>
      </c>
      <c r="B37" s="475"/>
      <c r="C37" s="1514" t="e">
        <f>R37</f>
        <v>#DIV/0!</v>
      </c>
      <c r="D37" s="1514"/>
      <c r="E37" s="1514"/>
      <c r="F37" s="1514"/>
      <c r="G37" s="1514"/>
      <c r="H37" s="1514"/>
      <c r="I37" s="1514"/>
      <c r="J37" s="1514"/>
      <c r="K37" s="765"/>
      <c r="L37" s="1258"/>
      <c r="M37" s="1259"/>
      <c r="N37" s="1259"/>
      <c r="O37" s="1259"/>
      <c r="P37" s="3023" t="str">
        <f>A37</f>
        <v>估价对象XX用房的比较价值（楼面单价，元/平方米）</v>
      </c>
      <c r="Q37" s="3024"/>
      <c r="R37" s="3025" t="e">
        <f>IF(E1="售价",ROUND(AVERAGE(R36:V36),0),ROUND(AVERAGE(R36:V36),1))</f>
        <v>#DIV/0!</v>
      </c>
      <c r="S37" s="3025"/>
      <c r="T37" s="3025"/>
      <c r="U37" s="3025"/>
      <c r="V37" s="3025"/>
      <c r="W37" s="3025"/>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2469</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2470</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2471</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2472</v>
      </c>
      <c r="B45" s="739"/>
      <c r="C45" s="744"/>
      <c r="D45" s="744"/>
      <c r="E45" s="744"/>
      <c r="F45" s="745"/>
      <c r="G45" s="745"/>
      <c r="H45" s="744"/>
      <c r="I45" s="744"/>
      <c r="J45" s="744"/>
      <c r="K45" s="746"/>
      <c r="L45" s="747"/>
      <c r="M45" s="744"/>
      <c r="N45" s="744"/>
      <c r="O45" s="744"/>
      <c r="P45" s="485"/>
      <c r="Q45" s="486"/>
    </row>
    <row r="46" spans="1:29" s="490" customFormat="1" ht="15">
      <c r="A46" s="487" t="s">
        <v>2354</v>
      </c>
      <c r="B46" s="488"/>
      <c r="C46" s="1684" t="str">
        <f>YEAR(C7)&amp;"-"&amp;MONTH(C7)</f>
        <v>2017-11</v>
      </c>
      <c r="D46" s="1685">
        <f>EDATE(C46,-1)</f>
        <v>43009</v>
      </c>
      <c r="E46" s="1685">
        <f t="shared" ref="E46:O46" si="16">EDATE(D46,-1)</f>
        <v>42979</v>
      </c>
      <c r="F46" s="1685">
        <f t="shared" si="16"/>
        <v>42948</v>
      </c>
      <c r="G46" s="1685">
        <f t="shared" si="16"/>
        <v>42917</v>
      </c>
      <c r="H46" s="1685">
        <f t="shared" si="16"/>
        <v>42887</v>
      </c>
      <c r="I46" s="1685">
        <f t="shared" si="16"/>
        <v>42856</v>
      </c>
      <c r="J46" s="1685">
        <f t="shared" si="16"/>
        <v>42826</v>
      </c>
      <c r="K46" s="1685">
        <f t="shared" si="16"/>
        <v>42795</v>
      </c>
      <c r="L46" s="1685">
        <f t="shared" si="16"/>
        <v>42767</v>
      </c>
      <c r="M46" s="1685">
        <f t="shared" si="16"/>
        <v>42736</v>
      </c>
      <c r="N46" s="1685">
        <f t="shared" si="16"/>
        <v>42705</v>
      </c>
      <c r="O46" s="1685">
        <f t="shared" si="16"/>
        <v>42675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2392</v>
      </c>
      <c r="B48" s="498"/>
      <c r="C48" s="499"/>
      <c r="D48" s="500"/>
      <c r="E48" s="500"/>
      <c r="F48" s="500"/>
      <c r="G48" s="500"/>
      <c r="H48" s="500"/>
      <c r="I48" s="500"/>
      <c r="J48" s="500"/>
      <c r="K48" s="500"/>
      <c r="L48" s="500"/>
      <c r="M48" s="501"/>
      <c r="N48" s="500"/>
      <c r="O48" s="502"/>
      <c r="P48" s="486"/>
      <c r="Q48" s="486"/>
    </row>
    <row r="49" spans="1:17" s="35" customFormat="1" ht="15">
      <c r="A49" s="503" t="s">
        <v>2356</v>
      </c>
      <c r="B49" s="492"/>
      <c r="C49" s="504" t="s">
        <v>2357</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2395</v>
      </c>
      <c r="B51" s="510" t="s">
        <v>2360</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2363</v>
      </c>
      <c r="C53" s="523" t="s">
        <v>2396</v>
      </c>
      <c r="D53" s="523" t="s">
        <v>2397</v>
      </c>
      <c r="E53" s="523" t="s">
        <v>2398</v>
      </c>
      <c r="F53" s="523" t="s">
        <v>2399</v>
      </c>
      <c r="G53" s="523" t="s">
        <v>2400</v>
      </c>
      <c r="H53" s="523" t="s">
        <v>2401</v>
      </c>
      <c r="I53" s="523" t="s">
        <v>2402</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2365</v>
      </c>
      <c r="B61" s="510" t="s">
        <v>2409</v>
      </c>
      <c r="C61" s="558" t="s">
        <v>2404</v>
      </c>
      <c r="D61" s="558" t="s">
        <v>2405</v>
      </c>
      <c r="E61" s="558" t="s">
        <v>2406</v>
      </c>
      <c r="F61" s="558" t="s">
        <v>2407</v>
      </c>
      <c r="G61" s="558" t="s">
        <v>2408</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2410</v>
      </c>
      <c r="C63" s="563" t="s">
        <v>2404</v>
      </c>
      <c r="D63" s="563" t="s">
        <v>2405</v>
      </c>
      <c r="E63" s="563" t="s">
        <v>2406</v>
      </c>
      <c r="F63" s="563" t="s">
        <v>2407</v>
      </c>
      <c r="G63" s="563" t="s">
        <v>2408</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2482</v>
      </c>
      <c r="C65" s="523" t="s">
        <v>2411</v>
      </c>
      <c r="D65" s="523" t="s">
        <v>2412</v>
      </c>
      <c r="E65" s="523" t="s">
        <v>2413</v>
      </c>
      <c r="F65" s="523" t="s">
        <v>2414</v>
      </c>
      <c r="G65" s="523" t="s">
        <v>2415</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2416</v>
      </c>
      <c r="C67" s="563" t="s">
        <v>2404</v>
      </c>
      <c r="D67" s="563" t="s">
        <v>2405</v>
      </c>
      <c r="E67" s="563" t="s">
        <v>2406</v>
      </c>
      <c r="F67" s="563" t="s">
        <v>2407</v>
      </c>
      <c r="G67" s="563" t="s">
        <v>2408</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2529</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2370</v>
      </c>
      <c r="B77" s="510" t="s">
        <v>2423</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2532</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2533</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2540</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2541</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2542</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2543</v>
      </c>
      <c r="B1" s="375"/>
      <c r="C1" s="376" t="s">
        <v>2544</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2545</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30"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30"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30" s="35" customFormat="1" ht="15.75" thickBot="1">
      <c r="A7" s="388" t="s">
        <v>2354</v>
      </c>
      <c r="B7" s="389"/>
      <c r="C7" s="390">
        <f>'数据-取费表'!B2</f>
        <v>43062</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30" s="35" customFormat="1" ht="15.75" thickBot="1">
      <c r="A8" s="388" t="s">
        <v>2356</v>
      </c>
      <c r="B8" s="389"/>
      <c r="C8" s="395" t="s">
        <v>2547</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45" si="3">D8/F8</f>
        <v>#DIV/0!</v>
      </c>
      <c r="AB8" s="753" t="e">
        <f t="shared" ref="AB8:AB45" si="4">D8/H8</f>
        <v>#DIV/0!</v>
      </c>
      <c r="AC8" s="753" t="e">
        <f t="shared" ref="AC8:AC45" si="5">D8/J8</f>
        <v>#DIV/0!</v>
      </c>
    </row>
    <row r="9" spans="1:30" s="35" customFormat="1">
      <c r="A9" s="396" t="s">
        <v>2359</v>
      </c>
      <c r="B9" s="28" t="s">
        <v>2360</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26"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30" s="408" customFormat="1" ht="27">
      <c r="A10" s="402"/>
      <c r="B10" s="403" t="s">
        <v>2363</v>
      </c>
      <c r="C10" s="413"/>
      <c r="D10" s="52">
        <v>100</v>
      </c>
      <c r="E10" s="447"/>
      <c r="F10" s="52">
        <f>ROUND(100/'数据-取费表'!B14,0)</f>
        <v>117</v>
      </c>
      <c r="G10" s="445"/>
      <c r="H10" s="52">
        <f>ROUND(100/'数据-取费表'!B14,0)</f>
        <v>117</v>
      </c>
      <c r="I10" s="445"/>
      <c r="J10" s="52">
        <f>ROUND(100/'数据-取费表'!B14,0)</f>
        <v>117</v>
      </c>
      <c r="K10" s="656"/>
      <c r="L10" s="1250"/>
      <c r="M10" s="1251"/>
      <c r="N10" s="1251"/>
      <c r="O10" s="1252"/>
      <c r="P10" s="3026"/>
      <c r="Q10" s="1893" t="str">
        <f t="shared" si="6"/>
        <v>土地使用年限（年）</v>
      </c>
      <c r="R10" s="750" t="s">
        <v>25</v>
      </c>
      <c r="S10" s="751">
        <f t="shared" si="0"/>
        <v>117</v>
      </c>
      <c r="T10" s="750" t="s">
        <v>25</v>
      </c>
      <c r="U10" s="751">
        <f t="shared" si="1"/>
        <v>117</v>
      </c>
      <c r="V10" s="750" t="s">
        <v>25</v>
      </c>
      <c r="W10" s="751">
        <f t="shared" si="2"/>
        <v>117</v>
      </c>
      <c r="X10" s="752"/>
      <c r="Y10" s="2855"/>
      <c r="Z10" s="23" t="str">
        <f t="shared" si="7"/>
        <v>土地使用年限（年）</v>
      </c>
      <c r="AA10" s="753">
        <f t="shared" si="3"/>
        <v>0.85470085470085466</v>
      </c>
      <c r="AB10" s="753">
        <f t="shared" si="4"/>
        <v>0.85470085470085466</v>
      </c>
      <c r="AC10" s="753">
        <f t="shared" si="5"/>
        <v>0.85470085470085466</v>
      </c>
    </row>
    <row r="11" spans="1:30" ht="15">
      <c r="A11" s="409"/>
      <c r="B11" s="403" t="s">
        <v>2364</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26"/>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30" s="35" customFormat="1" ht="15">
      <c r="A12" s="412"/>
      <c r="B12" s="2406" t="s">
        <v>2548</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26"/>
      <c r="Q12" s="1893" t="str">
        <f t="shared" si="6"/>
        <v>配建</v>
      </c>
      <c r="R12" s="750" t="s">
        <v>25</v>
      </c>
      <c r="S12" s="751">
        <f t="shared" si="0"/>
        <v>100</v>
      </c>
      <c r="T12" s="750" t="s">
        <v>25</v>
      </c>
      <c r="U12" s="751">
        <f t="shared" si="1"/>
        <v>100</v>
      </c>
      <c r="V12" s="750" t="s">
        <v>25</v>
      </c>
      <c r="W12" s="751">
        <f t="shared" si="2"/>
        <v>100</v>
      </c>
      <c r="X12" s="752"/>
      <c r="Y12" s="2855"/>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26"/>
      <c r="Q14" s="1893">
        <f t="shared" si="6"/>
        <v>111</v>
      </c>
      <c r="R14" s="750" t="s">
        <v>25</v>
      </c>
      <c r="S14" s="751">
        <f t="shared" si="0"/>
        <v>100</v>
      </c>
      <c r="T14" s="750" t="s">
        <v>25</v>
      </c>
      <c r="U14" s="751">
        <f t="shared" si="1"/>
        <v>100</v>
      </c>
      <c r="V14" s="750" t="s">
        <v>25</v>
      </c>
      <c r="W14" s="751">
        <f t="shared" si="2"/>
        <v>100</v>
      </c>
      <c r="X14" s="752"/>
      <c r="Y14" s="2855"/>
      <c r="Z14" s="23">
        <f t="shared" si="7"/>
        <v>111</v>
      </c>
      <c r="AA14" s="753">
        <f>D14/F14</f>
        <v>1</v>
      </c>
      <c r="AB14" s="753">
        <f>D14/H14</f>
        <v>1</v>
      </c>
      <c r="AC14" s="753">
        <f>D14/J14</f>
        <v>1</v>
      </c>
    </row>
    <row r="15" spans="1:30" ht="15">
      <c r="A15" s="381" t="s">
        <v>2365</v>
      </c>
      <c r="B15" s="1489" t="s">
        <v>1742</v>
      </c>
      <c r="C15" s="2474">
        <f>估价对象房地状况!C15</f>
        <v>0</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29" t="s">
        <v>2366</v>
      </c>
      <c r="Q15" s="1905" t="str">
        <f t="shared" si="6"/>
        <v>居住社区成熟度</v>
      </c>
      <c r="R15" s="754" t="s">
        <v>25</v>
      </c>
      <c r="S15" s="755">
        <f t="shared" si="0"/>
        <v>100</v>
      </c>
      <c r="T15" s="754" t="s">
        <v>25</v>
      </c>
      <c r="U15" s="755">
        <f t="shared" si="1"/>
        <v>100</v>
      </c>
      <c r="V15" s="754" t="s">
        <v>25</v>
      </c>
      <c r="W15" s="755">
        <f t="shared" si="2"/>
        <v>100</v>
      </c>
      <c r="X15" s="1906"/>
      <c r="Y15" s="3029" t="s">
        <v>2366</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30"/>
      <c r="Q16" s="1905"/>
      <c r="R16" s="754"/>
      <c r="S16" s="755"/>
      <c r="T16" s="754"/>
      <c r="U16" s="755"/>
      <c r="V16" s="754"/>
      <c r="W16" s="755"/>
      <c r="X16" s="1906"/>
      <c r="Y16" s="3030"/>
      <c r="Z16" s="1908"/>
      <c r="AA16" s="1909">
        <v>1</v>
      </c>
      <c r="AB16" s="1909">
        <v>1</v>
      </c>
      <c r="AC16" s="1909">
        <v>1</v>
      </c>
    </row>
    <row r="17" spans="1:29" ht="15">
      <c r="A17" s="384"/>
      <c r="B17" s="1491" t="s">
        <v>2451</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30"/>
      <c r="Q17" s="1905" t="str">
        <f>B17</f>
        <v>商业繁华度</v>
      </c>
      <c r="R17" s="754" t="s">
        <v>25</v>
      </c>
      <c r="S17" s="755">
        <f>F17</f>
        <v>100</v>
      </c>
      <c r="T17" s="754" t="s">
        <v>25</v>
      </c>
      <c r="U17" s="755">
        <f>H17</f>
        <v>100</v>
      </c>
      <c r="V17" s="754" t="s">
        <v>25</v>
      </c>
      <c r="W17" s="755">
        <f>J17</f>
        <v>100</v>
      </c>
      <c r="X17" s="1906"/>
      <c r="Y17" s="3030"/>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30"/>
      <c r="Q18" s="1905"/>
      <c r="R18" s="754"/>
      <c r="S18" s="755"/>
      <c r="T18" s="754"/>
      <c r="U18" s="755"/>
      <c r="V18" s="754"/>
      <c r="W18" s="755"/>
      <c r="X18" s="1906"/>
      <c r="Y18" s="3030"/>
      <c r="Z18" s="1908"/>
      <c r="AA18" s="1909">
        <v>1</v>
      </c>
      <c r="AB18" s="1909">
        <v>1</v>
      </c>
      <c r="AC18" s="1909">
        <v>1</v>
      </c>
    </row>
    <row r="19" spans="1:29" ht="42.75">
      <c r="A19" s="384"/>
      <c r="B19" s="1491" t="s">
        <v>2480</v>
      </c>
      <c r="C19" s="2492" t="str">
        <f>估价对象房地状况!C17</f>
        <v>周边有中科大厦、海龙大厦、四通大厦等写字楼</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30"/>
      <c r="Q19" s="1905" t="str">
        <f>B19</f>
        <v>办公集聚程度</v>
      </c>
      <c r="R19" s="754" t="s">
        <v>25</v>
      </c>
      <c r="S19" s="755">
        <f>F19</f>
        <v>100</v>
      </c>
      <c r="T19" s="754" t="s">
        <v>25</v>
      </c>
      <c r="U19" s="755">
        <f>H19</f>
        <v>100</v>
      </c>
      <c r="V19" s="754" t="s">
        <v>25</v>
      </c>
      <c r="W19" s="755">
        <f>J19</f>
        <v>100</v>
      </c>
      <c r="X19" s="1906"/>
      <c r="Y19" s="3030"/>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30"/>
      <c r="Q20" s="1905"/>
      <c r="R20" s="754"/>
      <c r="S20" s="755"/>
      <c r="T20" s="754"/>
      <c r="U20" s="755"/>
      <c r="V20" s="754"/>
      <c r="W20" s="755"/>
      <c r="X20" s="1906"/>
      <c r="Y20" s="3030"/>
      <c r="Z20" s="1908"/>
      <c r="AA20" s="1909">
        <v>1</v>
      </c>
      <c r="AB20" s="1909">
        <v>1</v>
      </c>
      <c r="AC20" s="1909">
        <v>1</v>
      </c>
    </row>
    <row r="21" spans="1:29" ht="185.25">
      <c r="A21" s="384"/>
      <c r="B21" s="1491" t="s">
        <v>2509</v>
      </c>
      <c r="C21" s="2475" t="str">
        <f>估价对象房地状况!C18</f>
        <v>估价对象紧邻城市主干道——中关村大街，临近地铁4号线（中关村站）；以估价对象为中心半径2公里范围内有302路、307路、320路、332路、355路等二十余条公交线路，综合评价交通便捷度好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30"/>
      <c r="Q21" s="1905" t="str">
        <f>B21</f>
        <v>交通便捷度</v>
      </c>
      <c r="R21" s="754" t="s">
        <v>25</v>
      </c>
      <c r="S21" s="755">
        <f>F21</f>
        <v>100</v>
      </c>
      <c r="T21" s="754" t="s">
        <v>25</v>
      </c>
      <c r="U21" s="755">
        <f>H21</f>
        <v>100</v>
      </c>
      <c r="V21" s="754" t="s">
        <v>25</v>
      </c>
      <c r="W21" s="755">
        <f>J21</f>
        <v>100</v>
      </c>
      <c r="X21" s="1906"/>
      <c r="Y21" s="3030"/>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30"/>
      <c r="Q22" s="1905"/>
      <c r="R22" s="754"/>
      <c r="S22" s="755"/>
      <c r="T22" s="754"/>
      <c r="U22" s="755"/>
      <c r="V22" s="754"/>
      <c r="W22" s="755"/>
      <c r="X22" s="1906"/>
      <c r="Y22" s="3030"/>
      <c r="Z22" s="1908"/>
      <c r="AA22" s="1909">
        <v>1</v>
      </c>
      <c r="AB22" s="1909">
        <v>1</v>
      </c>
      <c r="AC22" s="1909">
        <v>1</v>
      </c>
    </row>
    <row r="23" spans="1:29" ht="15">
      <c r="A23" s="384"/>
      <c r="B23" s="1494" t="s">
        <v>2549</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30"/>
      <c r="Q23" s="1905" t="str">
        <f t="shared" ref="Q23:Q37" si="8">B23</f>
        <v>区域土地利用方向</v>
      </c>
      <c r="R23" s="754" t="s">
        <v>25</v>
      </c>
      <c r="S23" s="755">
        <f>F23</f>
        <v>100</v>
      </c>
      <c r="T23" s="754" t="s">
        <v>25</v>
      </c>
      <c r="U23" s="755">
        <f>H23</f>
        <v>100</v>
      </c>
      <c r="V23" s="754" t="s">
        <v>25</v>
      </c>
      <c r="W23" s="755">
        <f>J23</f>
        <v>100</v>
      </c>
      <c r="X23" s="1906"/>
      <c r="Y23" s="3030"/>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30"/>
      <c r="Q24" s="1905"/>
      <c r="R24" s="754"/>
      <c r="S24" s="755"/>
      <c r="T24" s="754"/>
      <c r="U24" s="755"/>
      <c r="V24" s="754"/>
      <c r="W24" s="755"/>
      <c r="X24" s="1906"/>
      <c r="Y24" s="3030"/>
      <c r="Z24" s="1908"/>
      <c r="AA24" s="1909"/>
      <c r="AB24" s="1909"/>
      <c r="AC24" s="1909"/>
    </row>
    <row r="25" spans="1:29" ht="71.25">
      <c r="A25" s="384"/>
      <c r="B25" s="1493" t="s">
        <v>2550</v>
      </c>
      <c r="C25" s="2492" t="str">
        <f>估价对象房地状况!C20</f>
        <v>自然环境：海淀公园等；人文环境：北京大学等，综合评价环境状况较好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30"/>
      <c r="Q25" s="1905" t="str">
        <f t="shared" si="8"/>
        <v>自然及人文环境状况</v>
      </c>
      <c r="R25" s="754" t="s">
        <v>25</v>
      </c>
      <c r="S25" s="755">
        <f>F25</f>
        <v>100</v>
      </c>
      <c r="T25" s="754" t="s">
        <v>25</v>
      </c>
      <c r="U25" s="755">
        <f>H25</f>
        <v>100</v>
      </c>
      <c r="V25" s="754" t="s">
        <v>25</v>
      </c>
      <c r="W25" s="755">
        <f>J25</f>
        <v>100</v>
      </c>
      <c r="X25" s="1906"/>
      <c r="Y25" s="3030"/>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30"/>
      <c r="Q26" s="1905"/>
      <c r="R26" s="754"/>
      <c r="S26" s="755"/>
      <c r="T26" s="754"/>
      <c r="U26" s="755"/>
      <c r="V26" s="754"/>
      <c r="W26" s="755"/>
      <c r="X26" s="1906"/>
      <c r="Y26" s="3030"/>
      <c r="Z26" s="1908"/>
      <c r="AA26" s="1909">
        <v>1</v>
      </c>
      <c r="AB26" s="1909">
        <v>1</v>
      </c>
      <c r="AC26" s="1909">
        <v>1</v>
      </c>
    </row>
    <row r="27" spans="1:29" ht="42.75">
      <c r="A27" s="384"/>
      <c r="B27" s="1493" t="s">
        <v>2452</v>
      </c>
      <c r="C27" s="2475" t="str">
        <f>估价对象房地状况!C21</f>
        <v>估价对象所在区域公共配套设施齐备情况好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30"/>
      <c r="Q27" s="1893" t="str">
        <f t="shared" ref="Q27" si="9">B27</f>
        <v>公共配套设施</v>
      </c>
      <c r="R27" s="750" t="s">
        <v>25</v>
      </c>
      <c r="S27" s="751">
        <f>F27</f>
        <v>100</v>
      </c>
      <c r="T27" s="750" t="s">
        <v>25</v>
      </c>
      <c r="U27" s="751">
        <f>H27</f>
        <v>100</v>
      </c>
      <c r="V27" s="750" t="s">
        <v>25</v>
      </c>
      <c r="W27" s="751">
        <f>J27</f>
        <v>100</v>
      </c>
      <c r="X27" s="1906"/>
      <c r="Y27" s="3030"/>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30"/>
      <c r="Q28" s="1905"/>
      <c r="R28" s="754"/>
      <c r="S28" s="755"/>
      <c r="T28" s="754"/>
      <c r="U28" s="755"/>
      <c r="V28" s="754"/>
      <c r="W28" s="755"/>
      <c r="X28" s="1906"/>
      <c r="Y28" s="3030"/>
      <c r="Z28" s="23"/>
      <c r="AA28" s="1909">
        <v>1</v>
      </c>
      <c r="AB28" s="1909">
        <v>1</v>
      </c>
      <c r="AC28" s="1909">
        <v>1</v>
      </c>
    </row>
    <row r="29" spans="1:29" s="35" customFormat="1" ht="42.75">
      <c r="A29" s="634"/>
      <c r="B29" s="1493" t="s">
        <v>2453</v>
      </c>
      <c r="C29" s="2495" t="str">
        <f>估价对象房地状况!C22</f>
        <v>估价对象所在区域基础设施水平——五通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30"/>
      <c r="Q29" s="1893" t="str">
        <f t="shared" si="8"/>
        <v>基础设施水平</v>
      </c>
      <c r="R29" s="750" t="s">
        <v>25</v>
      </c>
      <c r="S29" s="751">
        <f>F29</f>
        <v>100</v>
      </c>
      <c r="T29" s="750" t="s">
        <v>25</v>
      </c>
      <c r="U29" s="751">
        <f>H29</f>
        <v>100</v>
      </c>
      <c r="V29" s="750" t="s">
        <v>25</v>
      </c>
      <c r="W29" s="751">
        <f>J29</f>
        <v>100</v>
      </c>
      <c r="X29" s="752"/>
      <c r="Y29" s="3030"/>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30"/>
      <c r="Q30" s="1893"/>
      <c r="R30" s="750"/>
      <c r="S30" s="751"/>
      <c r="T30" s="750"/>
      <c r="U30" s="751"/>
      <c r="V30" s="750"/>
      <c r="W30" s="751"/>
      <c r="X30" s="752"/>
      <c r="Y30" s="3030"/>
      <c r="Z30" s="23"/>
      <c r="AA30" s="1909">
        <v>1</v>
      </c>
      <c r="AB30" s="1909">
        <v>1</v>
      </c>
      <c r="AC30" s="1909">
        <v>1</v>
      </c>
    </row>
    <row r="31" spans="1:29" ht="15">
      <c r="A31" s="384"/>
      <c r="B31" s="1492" t="s">
        <v>2454</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30"/>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30"/>
      <c r="Z31" s="1908" t="str">
        <f t="shared" ref="Z31:Z45" si="13">Q31</f>
        <v>临街状况</v>
      </c>
      <c r="AA31" s="1909">
        <f t="shared" si="3"/>
        <v>1</v>
      </c>
      <c r="AB31" s="1909">
        <f t="shared" si="4"/>
        <v>1</v>
      </c>
      <c r="AC31" s="1909">
        <f t="shared" si="5"/>
        <v>1</v>
      </c>
    </row>
    <row r="32" spans="1:29" ht="27">
      <c r="A32" s="384"/>
      <c r="B32" s="1493" t="s">
        <v>2484</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30"/>
      <c r="Q32" s="1905" t="str">
        <f t="shared" si="8"/>
        <v>毗邻道路的类型与等级</v>
      </c>
      <c r="R32" s="754" t="s">
        <v>25</v>
      </c>
      <c r="S32" s="755">
        <f t="shared" si="10"/>
        <v>100</v>
      </c>
      <c r="T32" s="754" t="s">
        <v>25</v>
      </c>
      <c r="U32" s="755">
        <f t="shared" si="11"/>
        <v>100</v>
      </c>
      <c r="V32" s="754" t="s">
        <v>25</v>
      </c>
      <c r="W32" s="755">
        <f t="shared" si="12"/>
        <v>100</v>
      </c>
      <c r="X32" s="1906"/>
      <c r="Y32" s="3030"/>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30"/>
      <c r="Q33" s="1905"/>
      <c r="R33" s="754"/>
      <c r="S33" s="755"/>
      <c r="T33" s="754"/>
      <c r="U33" s="755"/>
      <c r="V33" s="754"/>
      <c r="W33" s="755"/>
      <c r="X33" s="1906"/>
      <c r="Y33" s="3030"/>
      <c r="Z33" s="1908"/>
      <c r="AA33" s="1909">
        <v>1</v>
      </c>
      <c r="AB33" s="1909">
        <v>1</v>
      </c>
      <c r="AC33" s="1909">
        <v>1</v>
      </c>
    </row>
    <row r="34" spans="1:29" ht="15">
      <c r="A34" s="384"/>
      <c r="B34" s="1496" t="s">
        <v>2551</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30"/>
      <c r="Q34" s="1905" t="str">
        <f t="shared" si="8"/>
        <v>土地级别</v>
      </c>
      <c r="R34" s="754" t="s">
        <v>25</v>
      </c>
      <c r="S34" s="755">
        <f t="shared" si="10"/>
        <v>100</v>
      </c>
      <c r="T34" s="754" t="s">
        <v>25</v>
      </c>
      <c r="U34" s="755">
        <f t="shared" si="11"/>
        <v>100</v>
      </c>
      <c r="V34" s="754" t="s">
        <v>25</v>
      </c>
      <c r="W34" s="755">
        <f t="shared" si="12"/>
        <v>100</v>
      </c>
      <c r="X34" s="1906"/>
      <c r="Y34" s="3030"/>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30"/>
      <c r="Q35" s="1905">
        <f t="shared" si="8"/>
        <v>111</v>
      </c>
      <c r="R35" s="754" t="s">
        <v>25</v>
      </c>
      <c r="S35" s="755">
        <f t="shared" si="10"/>
        <v>100</v>
      </c>
      <c r="T35" s="754" t="s">
        <v>25</v>
      </c>
      <c r="U35" s="755">
        <f t="shared" si="11"/>
        <v>100</v>
      </c>
      <c r="V35" s="754" t="s">
        <v>25</v>
      </c>
      <c r="W35" s="755">
        <f t="shared" si="12"/>
        <v>100</v>
      </c>
      <c r="X35" s="1906"/>
      <c r="Y35" s="3030"/>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0" t="s">
        <v>2372</v>
      </c>
      <c r="Q36" s="1905">
        <f t="shared" si="8"/>
        <v>111</v>
      </c>
      <c r="R36" s="754" t="s">
        <v>25</v>
      </c>
      <c r="S36" s="755">
        <f t="shared" si="10"/>
        <v>100</v>
      </c>
      <c r="T36" s="754" t="s">
        <v>25</v>
      </c>
      <c r="U36" s="755">
        <f t="shared" si="11"/>
        <v>100</v>
      </c>
      <c r="V36" s="754" t="s">
        <v>25</v>
      </c>
      <c r="W36" s="755">
        <f t="shared" si="12"/>
        <v>100</v>
      </c>
      <c r="X36" s="1906"/>
      <c r="Y36" s="3034" t="s">
        <v>2372</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4"/>
      <c r="Q37" s="1905">
        <f t="shared" si="8"/>
        <v>111</v>
      </c>
      <c r="R37" s="757" t="s">
        <v>25</v>
      </c>
      <c r="S37" s="758">
        <f t="shared" si="10"/>
        <v>100</v>
      </c>
      <c r="T37" s="757" t="s">
        <v>25</v>
      </c>
      <c r="U37" s="758">
        <f t="shared" si="11"/>
        <v>100</v>
      </c>
      <c r="V37" s="757" t="s">
        <v>25</v>
      </c>
      <c r="W37" s="758">
        <f t="shared" si="12"/>
        <v>100</v>
      </c>
      <c r="X37" s="759"/>
      <c r="Y37" s="3034"/>
      <c r="Z37" s="760">
        <f t="shared" si="13"/>
        <v>111</v>
      </c>
      <c r="AA37" s="1909">
        <f t="shared" si="3"/>
        <v>1</v>
      </c>
      <c r="AB37" s="1909">
        <f t="shared" si="4"/>
        <v>1</v>
      </c>
      <c r="AC37" s="1909">
        <f t="shared" si="5"/>
        <v>1</v>
      </c>
    </row>
    <row r="38" spans="1:29" ht="15">
      <c r="A38" s="381" t="s">
        <v>2370</v>
      </c>
      <c r="B38" s="437" t="s">
        <v>2552</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4"/>
      <c r="Q38" s="1905" t="str">
        <f>B38</f>
        <v>宗地面积</v>
      </c>
      <c r="R38" s="754" t="s">
        <v>25</v>
      </c>
      <c r="S38" s="755" t="e">
        <f t="shared" si="10"/>
        <v>#N/A</v>
      </c>
      <c r="T38" s="754" t="s">
        <v>25</v>
      </c>
      <c r="U38" s="755" t="e">
        <f t="shared" si="11"/>
        <v>#N/A</v>
      </c>
      <c r="V38" s="754" t="s">
        <v>25</v>
      </c>
      <c r="W38" s="755" t="e">
        <f t="shared" si="12"/>
        <v>#N/A</v>
      </c>
      <c r="X38" s="1906"/>
      <c r="Y38" s="3034"/>
      <c r="Z38" s="1908" t="str">
        <f t="shared" si="13"/>
        <v>宗地面积</v>
      </c>
      <c r="AA38" s="1909" t="e">
        <f t="shared" si="3"/>
        <v>#N/A</v>
      </c>
      <c r="AB38" s="1909" t="e">
        <f t="shared" si="4"/>
        <v>#N/A</v>
      </c>
      <c r="AC38" s="1909" t="e">
        <f t="shared" si="5"/>
        <v>#N/A</v>
      </c>
    </row>
    <row r="39" spans="1:29" ht="15">
      <c r="A39" s="454"/>
      <c r="B39" s="403" t="s">
        <v>2553</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34"/>
      <c r="Q39" s="1905" t="str">
        <f t="shared" ref="Q39:Q45" si="14">B39</f>
        <v>宗地形状</v>
      </c>
      <c r="R39" s="754" t="s">
        <v>25</v>
      </c>
      <c r="S39" s="755">
        <f t="shared" si="10"/>
        <v>100</v>
      </c>
      <c r="T39" s="754" t="s">
        <v>25</v>
      </c>
      <c r="U39" s="755">
        <f t="shared" si="11"/>
        <v>100</v>
      </c>
      <c r="V39" s="754" t="s">
        <v>25</v>
      </c>
      <c r="W39" s="755">
        <f t="shared" si="12"/>
        <v>100</v>
      </c>
      <c r="X39" s="1906"/>
      <c r="Y39" s="3034"/>
      <c r="Z39" s="1908" t="str">
        <f t="shared" si="13"/>
        <v>宗地形状</v>
      </c>
      <c r="AA39" s="1909">
        <f t="shared" si="3"/>
        <v>1</v>
      </c>
      <c r="AB39" s="1909">
        <f t="shared" si="4"/>
        <v>1</v>
      </c>
      <c r="AC39" s="1909">
        <f t="shared" si="5"/>
        <v>1</v>
      </c>
    </row>
    <row r="40" spans="1:29" ht="15">
      <c r="A40" s="454"/>
      <c r="B40" s="403" t="s">
        <v>2554</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34"/>
      <c r="Q40" s="1905" t="str">
        <f t="shared" si="14"/>
        <v>临街宽度及深度</v>
      </c>
      <c r="R40" s="754" t="s">
        <v>25</v>
      </c>
      <c r="S40" s="755">
        <f t="shared" si="10"/>
        <v>100</v>
      </c>
      <c r="T40" s="754" t="s">
        <v>25</v>
      </c>
      <c r="U40" s="755">
        <f t="shared" si="11"/>
        <v>100</v>
      </c>
      <c r="V40" s="754" t="s">
        <v>25</v>
      </c>
      <c r="W40" s="755">
        <f t="shared" si="12"/>
        <v>100</v>
      </c>
      <c r="X40" s="1906"/>
      <c r="Y40" s="3034"/>
      <c r="Z40" s="1908" t="str">
        <f t="shared" si="13"/>
        <v>临街宽度及深度</v>
      </c>
      <c r="AA40" s="1909">
        <f t="shared" si="3"/>
        <v>1</v>
      </c>
      <c r="AB40" s="1909">
        <f t="shared" si="4"/>
        <v>1</v>
      </c>
      <c r="AC40" s="1909">
        <f t="shared" si="5"/>
        <v>1</v>
      </c>
    </row>
    <row r="41" spans="1:29" s="35" customFormat="1" ht="15">
      <c r="A41" s="455"/>
      <c r="B41" s="403" t="s">
        <v>2555</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34"/>
      <c r="Q41" s="1905" t="str">
        <f t="shared" si="14"/>
        <v>宗地开发程度</v>
      </c>
      <c r="R41" s="750" t="s">
        <v>25</v>
      </c>
      <c r="S41" s="751">
        <f t="shared" si="10"/>
        <v>100</v>
      </c>
      <c r="T41" s="750" t="s">
        <v>25</v>
      </c>
      <c r="U41" s="751">
        <f t="shared" si="11"/>
        <v>100</v>
      </c>
      <c r="V41" s="750" t="s">
        <v>25</v>
      </c>
      <c r="W41" s="751">
        <f t="shared" si="12"/>
        <v>100</v>
      </c>
      <c r="X41" s="752"/>
      <c r="Y41" s="3034"/>
      <c r="Z41" s="23" t="str">
        <f t="shared" si="13"/>
        <v>宗地开发程度</v>
      </c>
      <c r="AA41" s="753">
        <f t="shared" si="3"/>
        <v>1</v>
      </c>
      <c r="AB41" s="753">
        <f t="shared" si="4"/>
        <v>1</v>
      </c>
      <c r="AC41" s="753">
        <f t="shared" si="5"/>
        <v>1</v>
      </c>
    </row>
    <row r="42" spans="1:29" ht="15">
      <c r="A42" s="454"/>
      <c r="B42" s="403" t="s">
        <v>2556</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34" t="s">
        <v>2372</v>
      </c>
      <c r="Q42" s="1905" t="str">
        <f t="shared" si="14"/>
        <v>工程地质条件</v>
      </c>
      <c r="R42" s="754" t="s">
        <v>25</v>
      </c>
      <c r="S42" s="755">
        <f t="shared" si="10"/>
        <v>100</v>
      </c>
      <c r="T42" s="754" t="s">
        <v>25</v>
      </c>
      <c r="U42" s="755">
        <f t="shared" si="11"/>
        <v>100</v>
      </c>
      <c r="V42" s="754" t="s">
        <v>25</v>
      </c>
      <c r="W42" s="755">
        <f t="shared" si="12"/>
        <v>100</v>
      </c>
      <c r="X42" s="1906"/>
      <c r="Y42" s="3034" t="s">
        <v>2372</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4"/>
      <c r="Q43" s="1905">
        <f t="shared" si="14"/>
        <v>111</v>
      </c>
      <c r="R43" s="754" t="s">
        <v>25</v>
      </c>
      <c r="S43" s="755">
        <f t="shared" si="10"/>
        <v>100</v>
      </c>
      <c r="T43" s="754" t="s">
        <v>25</v>
      </c>
      <c r="U43" s="755">
        <f t="shared" si="11"/>
        <v>100</v>
      </c>
      <c r="V43" s="754" t="s">
        <v>25</v>
      </c>
      <c r="W43" s="755">
        <f t="shared" si="12"/>
        <v>100</v>
      </c>
      <c r="X43" s="1906"/>
      <c r="Y43" s="3034"/>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4"/>
      <c r="Q44" s="1905">
        <f t="shared" si="14"/>
        <v>111</v>
      </c>
      <c r="R44" s="754" t="s">
        <v>25</v>
      </c>
      <c r="S44" s="755">
        <f t="shared" si="10"/>
        <v>100</v>
      </c>
      <c r="T44" s="754" t="s">
        <v>25</v>
      </c>
      <c r="U44" s="755">
        <f t="shared" si="11"/>
        <v>100</v>
      </c>
      <c r="V44" s="754" t="s">
        <v>25</v>
      </c>
      <c r="W44" s="755">
        <f t="shared" si="12"/>
        <v>100</v>
      </c>
      <c r="X44" s="1906"/>
      <c r="Y44" s="3034"/>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4"/>
      <c r="Q45" s="1905">
        <f t="shared" si="14"/>
        <v>111</v>
      </c>
      <c r="R45" s="757" t="s">
        <v>25</v>
      </c>
      <c r="S45" s="758">
        <f t="shared" si="10"/>
        <v>100</v>
      </c>
      <c r="T45" s="757" t="s">
        <v>25</v>
      </c>
      <c r="U45" s="758">
        <f t="shared" si="11"/>
        <v>100</v>
      </c>
      <c r="V45" s="757" t="s">
        <v>25</v>
      </c>
      <c r="W45" s="758">
        <f t="shared" si="12"/>
        <v>100</v>
      </c>
      <c r="X45" s="759"/>
      <c r="Y45" s="3034"/>
      <c r="Z45" s="760">
        <f t="shared" si="13"/>
        <v>111</v>
      </c>
      <c r="AA45" s="1909">
        <f t="shared" si="3"/>
        <v>1</v>
      </c>
      <c r="AB45" s="1909">
        <f t="shared" si="4"/>
        <v>1</v>
      </c>
      <c r="AC45" s="1909">
        <f t="shared" si="5"/>
        <v>1</v>
      </c>
    </row>
    <row r="46" spans="1:29" ht="15">
      <c r="A46" s="461" t="s">
        <v>2520</v>
      </c>
      <c r="B46" s="2499" t="s">
        <v>2557</v>
      </c>
      <c r="C46" s="666" t="s">
        <v>1</v>
      </c>
      <c r="D46" s="463"/>
      <c r="E46" s="464"/>
      <c r="F46" s="465"/>
      <c r="G46" s="466"/>
      <c r="H46" s="467"/>
      <c r="I46" s="464"/>
      <c r="J46" s="467"/>
      <c r="K46" s="763"/>
      <c r="L46" s="1258"/>
      <c r="M46" s="1259"/>
      <c r="N46" s="1246"/>
      <c r="O46" s="1259"/>
      <c r="P46" s="3026" t="str">
        <f>A46</f>
        <v>成交单价</v>
      </c>
      <c r="Q46" s="3026"/>
      <c r="R46" s="3063">
        <f>E46</f>
        <v>0</v>
      </c>
      <c r="S46" s="3063"/>
      <c r="T46" s="3063">
        <f>G46</f>
        <v>0</v>
      </c>
      <c r="U46" s="3063"/>
      <c r="V46" s="3063">
        <f>I46</f>
        <v>0</v>
      </c>
      <c r="W46" s="3063"/>
      <c r="X46" s="739"/>
      <c r="Y46" s="761"/>
      <c r="Z46" s="739"/>
      <c r="AA46" s="739"/>
      <c r="AB46" s="739"/>
      <c r="AC46" s="739"/>
    </row>
    <row r="47" spans="1:29" ht="15.75" thickBot="1">
      <c r="A47" s="468" t="s">
        <v>2467</v>
      </c>
      <c r="B47" s="667"/>
      <c r="C47" s="472" t="e">
        <f>R48</f>
        <v>#DIV/0!</v>
      </c>
      <c r="D47" s="471"/>
      <c r="E47" s="472" t="e">
        <f>R47</f>
        <v>#DIV/0!</v>
      </c>
      <c r="F47" s="473"/>
      <c r="G47" s="470" t="e">
        <f>T47</f>
        <v>#DIV/0!</v>
      </c>
      <c r="H47" s="471"/>
      <c r="I47" s="472" t="e">
        <f>V47</f>
        <v>#DIV/0!</v>
      </c>
      <c r="J47" s="471"/>
      <c r="K47" s="764"/>
      <c r="L47" s="1258"/>
      <c r="M47" s="1259"/>
      <c r="N47" s="1259"/>
      <c r="O47" s="1259"/>
      <c r="P47" s="3026" t="str">
        <f>A47</f>
        <v>比较价值（元/平方米）</v>
      </c>
      <c r="Q47" s="3026"/>
      <c r="R47" s="3081" t="e">
        <f>ROUND(PRODUCT(R46,AA7:AA45),0)</f>
        <v>#DIV/0!</v>
      </c>
      <c r="S47" s="3081"/>
      <c r="T47" s="3081" t="e">
        <f>ROUND(PRODUCT(T46,AB7:AB45),0)</f>
        <v>#DIV/0!</v>
      </c>
      <c r="U47" s="3081"/>
      <c r="V47" s="3081" t="e">
        <f>ROUND(PRODUCT(V46,AC7:AC45),0)</f>
        <v>#DIV/0!</v>
      </c>
      <c r="W47" s="3081"/>
      <c r="X47" s="739"/>
      <c r="Y47" s="739"/>
      <c r="Z47" s="739"/>
      <c r="AA47" s="739"/>
      <c r="AB47" s="739"/>
      <c r="AC47" s="739"/>
    </row>
    <row r="48" spans="1:29" ht="15.75" thickBot="1">
      <c r="A48" s="474" t="s">
        <v>2490</v>
      </c>
      <c r="B48" s="475"/>
      <c r="C48" s="476" t="e">
        <f>R48</f>
        <v>#DIV/0!</v>
      </c>
      <c r="D48" s="476"/>
      <c r="E48" s="476"/>
      <c r="F48" s="476"/>
      <c r="G48" s="476"/>
      <c r="H48" s="476"/>
      <c r="I48" s="476"/>
      <c r="J48" s="476"/>
      <c r="K48" s="765"/>
      <c r="L48" s="1258"/>
      <c r="M48" s="1259"/>
      <c r="N48" s="1259"/>
      <c r="O48" s="1259"/>
      <c r="P48" s="3023" t="str">
        <f>A48</f>
        <v>估价对象XX用房的比较价值（楼面单价，元/平方米）</v>
      </c>
      <c r="Q48" s="3024"/>
      <c r="R48" s="3082" t="e">
        <f>ROUND(AVERAGE(R47:V47),0)</f>
        <v>#DIV/0!</v>
      </c>
      <c r="S48" s="3082"/>
      <c r="T48" s="3082"/>
      <c r="U48" s="3082"/>
      <c r="V48" s="3082"/>
      <c r="W48" s="3082"/>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2469</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2470</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2471</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2558</v>
      </c>
      <c r="B55" s="669" t="s">
        <v>2559</v>
      </c>
      <c r="C55" s="2500" t="s">
        <v>2560</v>
      </c>
      <c r="D55" s="2501" t="s">
        <v>2561</v>
      </c>
      <c r="E55" s="670" t="s">
        <v>2562</v>
      </c>
      <c r="F55" s="671" t="s">
        <v>2563</v>
      </c>
      <c r="G55" s="62" t="s">
        <v>2564</v>
      </c>
      <c r="H55" s="62">
        <f>项目基本情况!G8</f>
        <v>0</v>
      </c>
      <c r="I55" s="2502" t="s">
        <v>2565</v>
      </c>
      <c r="J55" s="740"/>
      <c r="K55" s="1260"/>
      <c r="L55" s="1260"/>
      <c r="M55" s="1259"/>
      <c r="N55" s="1259"/>
      <c r="O55" s="1259"/>
    </row>
    <row r="56" spans="1:15" s="676" customFormat="1">
      <c r="A56" s="672" t="s">
        <v>2566</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2567</v>
      </c>
      <c r="B57" s="179" t="e">
        <f>ROUND($C$48*C57*D57,0)</f>
        <v>#DIV/0!</v>
      </c>
      <c r="C57" s="118">
        <f>IF($C$55="北京市系数",G57,H57)</f>
        <v>0.8</v>
      </c>
      <c r="D57" s="1294">
        <v>0.25</v>
      </c>
      <c r="E57" s="678">
        <v>0</v>
      </c>
      <c r="F57" s="675" t="e">
        <f t="shared" si="15"/>
        <v>#DIV/0!</v>
      </c>
      <c r="G57" s="973">
        <f>SUMIF(修正!$A$45:$A$56,项目基本情况!$F$9,修正!B45:B56)</f>
        <v>0.8</v>
      </c>
      <c r="H57" s="974"/>
      <c r="I57" s="1259"/>
      <c r="J57" s="1264"/>
      <c r="K57" s="1260"/>
      <c r="L57" s="1260"/>
      <c r="M57" s="1259"/>
      <c r="N57" s="1259"/>
      <c r="O57" s="972"/>
    </row>
    <row r="58" spans="1:15" s="676" customFormat="1">
      <c r="A58" s="677" t="s">
        <v>2568</v>
      </c>
      <c r="B58" s="179" t="e">
        <f t="shared" ref="B58:B65" si="16">ROUND($C$48*C58*D58,0)</f>
        <v>#DIV/0!</v>
      </c>
      <c r="C58" s="118">
        <f t="shared" ref="C58:C65" si="17">IF($C$55="北京市系数",G58,H58)</f>
        <v>0.5</v>
      </c>
      <c r="D58" s="1294">
        <v>0.25</v>
      </c>
      <c r="E58" s="678">
        <v>0</v>
      </c>
      <c r="F58" s="675" t="e">
        <f t="shared" si="15"/>
        <v>#DIV/0!</v>
      </c>
      <c r="G58" s="973">
        <f>SUMIF(修正!$A$45:$A$56,项目基本情况!$F$9,修正!C45:C56)</f>
        <v>0.5</v>
      </c>
      <c r="H58" s="974"/>
      <c r="I58" s="1261"/>
      <c r="J58" s="1261"/>
      <c r="K58" s="1265"/>
      <c r="L58" s="1266"/>
      <c r="M58" s="1261"/>
      <c r="N58" s="1261"/>
      <c r="O58" s="972"/>
    </row>
    <row r="59" spans="1:15" s="676" customFormat="1">
      <c r="A59" s="677" t="s">
        <v>2569</v>
      </c>
      <c r="B59" s="179" t="e">
        <f t="shared" si="16"/>
        <v>#DIV/0!</v>
      </c>
      <c r="C59" s="118">
        <f t="shared" si="17"/>
        <v>0.36</v>
      </c>
      <c r="D59" s="1294">
        <v>0.25</v>
      </c>
      <c r="E59" s="678">
        <v>0</v>
      </c>
      <c r="F59" s="675" t="e">
        <f t="shared" si="15"/>
        <v>#DIV/0!</v>
      </c>
      <c r="G59" s="973">
        <f>SUMIF(修正!$A$45:$A$56,项目基本情况!$F$9,修正!D45:D56)</f>
        <v>0.36</v>
      </c>
      <c r="H59" s="974"/>
      <c r="I59" s="1259"/>
      <c r="J59" s="1264"/>
      <c r="K59" s="1260"/>
      <c r="L59" s="1260"/>
      <c r="M59" s="1259"/>
      <c r="N59" s="1259"/>
      <c r="O59" s="972"/>
    </row>
    <row r="60" spans="1:15" s="676" customFormat="1">
      <c r="A60" s="677" t="s">
        <v>2570</v>
      </c>
      <c r="B60" s="179" t="e">
        <f t="shared" si="16"/>
        <v>#DIV/0!</v>
      </c>
      <c r="C60" s="118">
        <f t="shared" si="17"/>
        <v>0.3</v>
      </c>
      <c r="D60" s="1294">
        <v>0.25</v>
      </c>
      <c r="E60" s="678">
        <v>0</v>
      </c>
      <c r="F60" s="675" t="e">
        <f t="shared" si="15"/>
        <v>#DIV/0!</v>
      </c>
      <c r="G60" s="973">
        <f>SUMIF(修正!$A$45:$A$56,项目基本情况!$F$9,修正!E45:E56)</f>
        <v>0.3</v>
      </c>
      <c r="H60" s="974"/>
      <c r="I60" s="1261"/>
      <c r="J60" s="1261"/>
      <c r="K60" s="1265"/>
      <c r="L60" s="1266"/>
      <c r="M60" s="1261"/>
      <c r="N60" s="1261"/>
      <c r="O60" s="972"/>
    </row>
    <row r="61" spans="1:15" s="676" customFormat="1">
      <c r="A61" s="677" t="s">
        <v>2571</v>
      </c>
      <c r="B61" s="179" t="e">
        <f t="shared" si="16"/>
        <v>#DIV/0!</v>
      </c>
      <c r="C61" s="118">
        <f t="shared" si="17"/>
        <v>0.3</v>
      </c>
      <c r="D61" s="1294">
        <v>0.25</v>
      </c>
      <c r="E61" s="678">
        <v>0</v>
      </c>
      <c r="F61" s="675" t="e">
        <f t="shared" si="15"/>
        <v>#DIV/0!</v>
      </c>
      <c r="G61" s="973">
        <f>SUMIF(修正!A45:A56,项目基本情况!F9,修正!F45:F56)</f>
        <v>0.3</v>
      </c>
      <c r="H61" s="974"/>
      <c r="I61" s="1259"/>
      <c r="J61" s="1264"/>
      <c r="K61" s="1260"/>
      <c r="L61" s="1260"/>
      <c r="M61" s="1259"/>
      <c r="N61" s="1259"/>
      <c r="O61" s="972"/>
    </row>
    <row r="62" spans="1:15" s="676" customFormat="1">
      <c r="A62" s="677" t="s">
        <v>2572</v>
      </c>
      <c r="B62" s="179" t="e">
        <f t="shared" si="16"/>
        <v>#DIV/0!</v>
      </c>
      <c r="C62" s="118">
        <f t="shared" si="17"/>
        <v>0.3</v>
      </c>
      <c r="D62" s="1294">
        <v>0.25</v>
      </c>
      <c r="E62" s="678">
        <v>0</v>
      </c>
      <c r="F62" s="675" t="e">
        <f t="shared" si="15"/>
        <v>#DIV/0!</v>
      </c>
      <c r="G62" s="973">
        <f>SUMIF(修正!A45:A56,项目基本情况!F9,修正!G45:G56)</f>
        <v>0.3</v>
      </c>
      <c r="H62" s="974"/>
      <c r="I62" s="1261"/>
      <c r="J62" s="1261"/>
      <c r="K62" s="1265"/>
      <c r="L62" s="1266"/>
      <c r="M62" s="1261"/>
      <c r="N62" s="1261"/>
      <c r="O62" s="972"/>
    </row>
    <row r="63" spans="1:15" s="676" customFormat="1">
      <c r="A63" s="677" t="s">
        <v>2573</v>
      </c>
      <c r="B63" s="179" t="e">
        <f t="shared" si="16"/>
        <v>#DIV/0!</v>
      </c>
      <c r="C63" s="118">
        <f>IF($C$55="北京市系数",G63,H63)</f>
        <v>0.25</v>
      </c>
      <c r="D63" s="1294">
        <v>0.25</v>
      </c>
      <c r="E63" s="678">
        <v>0</v>
      </c>
      <c r="F63" s="675" t="e">
        <f t="shared" si="15"/>
        <v>#DIV/0!</v>
      </c>
      <c r="G63" s="973">
        <f>SUMIF(修正!A45:A56,项目基本情况!F9,修正!H45:H56)</f>
        <v>0.25</v>
      </c>
      <c r="H63" s="974"/>
      <c r="I63" s="1259"/>
      <c r="J63" s="1264"/>
      <c r="K63" s="1260"/>
      <c r="L63" s="1260"/>
      <c r="M63" s="1259"/>
      <c r="N63" s="1259"/>
      <c r="O63" s="972"/>
    </row>
    <row r="64" spans="1:15" s="676" customFormat="1">
      <c r="A64" s="677" t="s">
        <v>2574</v>
      </c>
      <c r="B64" s="179" t="e">
        <f t="shared" si="16"/>
        <v>#DIV/0!</v>
      </c>
      <c r="C64" s="118">
        <f t="shared" si="17"/>
        <v>0.25</v>
      </c>
      <c r="D64" s="1294">
        <v>0.25</v>
      </c>
      <c r="E64" s="678">
        <v>0</v>
      </c>
      <c r="F64" s="675" t="e">
        <f t="shared" si="15"/>
        <v>#DIV/0!</v>
      </c>
      <c r="G64" s="973">
        <f>G63</f>
        <v>0.25</v>
      </c>
      <c r="H64" s="974"/>
      <c r="I64" s="1261"/>
      <c r="J64" s="1261"/>
      <c r="K64" s="1265"/>
      <c r="L64" s="1266"/>
      <c r="M64" s="1261"/>
      <c r="N64" s="1261"/>
      <c r="O64" s="972"/>
    </row>
    <row r="65" spans="1:17" s="676" customFormat="1">
      <c r="A65" s="677" t="s">
        <v>2575</v>
      </c>
      <c r="B65" s="179" t="e">
        <f t="shared" si="16"/>
        <v>#DIV/0!</v>
      </c>
      <c r="C65" s="118">
        <f t="shared" si="17"/>
        <v>0.25</v>
      </c>
      <c r="D65" s="1294">
        <v>0.25</v>
      </c>
      <c r="E65" s="678">
        <v>0</v>
      </c>
      <c r="F65" s="675" t="e">
        <f t="shared" si="15"/>
        <v>#DIV/0!</v>
      </c>
      <c r="G65" s="973">
        <f>G63</f>
        <v>0.25</v>
      </c>
      <c r="H65" s="974"/>
      <c r="I65" s="1259"/>
      <c r="J65" s="1264"/>
      <c r="K65" s="1260"/>
      <c r="L65" s="1260"/>
      <c r="M65" s="1259"/>
      <c r="N65" s="1259"/>
      <c r="O65" s="972"/>
    </row>
    <row r="66" spans="1:17" s="676" customFormat="1" ht="13.5" thickBot="1">
      <c r="A66" s="680" t="s">
        <v>2576</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2017-11-1</v>
      </c>
      <c r="D68" s="1676">
        <f>EDATE(C68,-3)</f>
        <v>42948</v>
      </c>
      <c r="E68" s="1676">
        <f t="shared" ref="E68:O68" si="18">EDATE(D68,-3)</f>
        <v>42856</v>
      </c>
      <c r="F68" s="1676">
        <f t="shared" si="18"/>
        <v>42767</v>
      </c>
      <c r="G68" s="1676">
        <f t="shared" si="18"/>
        <v>42675</v>
      </c>
      <c r="H68" s="1676">
        <f t="shared" si="18"/>
        <v>42583</v>
      </c>
      <c r="I68" s="1676">
        <f t="shared" si="18"/>
        <v>42491</v>
      </c>
      <c r="J68" s="1676">
        <f t="shared" si="18"/>
        <v>42401</v>
      </c>
      <c r="K68" s="1676">
        <f t="shared" si="18"/>
        <v>42309</v>
      </c>
      <c r="L68" s="1676">
        <f t="shared" si="18"/>
        <v>42217</v>
      </c>
      <c r="M68" s="1676">
        <f t="shared" si="18"/>
        <v>42125</v>
      </c>
      <c r="N68" s="1676">
        <f t="shared" si="18"/>
        <v>42036</v>
      </c>
      <c r="O68" s="1676">
        <f t="shared" si="18"/>
        <v>41944</v>
      </c>
    </row>
    <row r="69" spans="1:17" ht="21.75" thickBot="1">
      <c r="A69" s="743" t="s">
        <v>2472</v>
      </c>
      <c r="B69" s="739"/>
      <c r="C69" s="744"/>
      <c r="D69" s="744"/>
      <c r="E69" s="744"/>
      <c r="F69" s="745"/>
      <c r="G69" s="745"/>
      <c r="H69" s="744"/>
      <c r="I69" s="1275"/>
      <c r="J69" s="1275"/>
      <c r="K69" s="1273"/>
      <c r="L69" s="1274"/>
      <c r="M69" s="1275"/>
      <c r="N69" s="1275"/>
      <c r="O69" s="1275"/>
      <c r="P69" s="485"/>
      <c r="Q69" s="486"/>
    </row>
    <row r="70" spans="1:17" s="1680" customFormat="1" ht="15">
      <c r="A70" s="2503" t="s">
        <v>2577</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4" t="s">
        <v>2578</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2392</v>
      </c>
      <c r="B72" s="498"/>
      <c r="C72" s="499"/>
      <c r="D72" s="500"/>
      <c r="E72" s="500"/>
      <c r="F72" s="500"/>
      <c r="G72" s="500"/>
      <c r="H72" s="500"/>
      <c r="I72" s="500"/>
      <c r="J72" s="500"/>
      <c r="K72" s="500"/>
      <c r="L72" s="500"/>
      <c r="M72" s="501"/>
      <c r="N72" s="500"/>
      <c r="O72" s="1682"/>
      <c r="P72" s="486"/>
      <c r="Q72" s="486"/>
    </row>
    <row r="73" spans="1:17" s="35" customFormat="1" ht="15">
      <c r="A73" s="503" t="s">
        <v>2356</v>
      </c>
      <c r="B73" s="492"/>
      <c r="C73" s="504" t="s">
        <v>2357</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2395</v>
      </c>
      <c r="B75" s="510" t="s">
        <v>2360</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2363</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2364</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2365</v>
      </c>
      <c r="B88" s="510" t="s">
        <v>2403</v>
      </c>
      <c r="C88" s="558" t="s">
        <v>2404</v>
      </c>
      <c r="D88" s="558" t="s">
        <v>2405</v>
      </c>
      <c r="E88" s="558" t="s">
        <v>2406</v>
      </c>
      <c r="F88" s="558" t="s">
        <v>2407</v>
      </c>
      <c r="G88" s="558" t="s">
        <v>2408</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2579</v>
      </c>
      <c r="C90" s="563" t="s">
        <v>2404</v>
      </c>
      <c r="D90" s="563" t="s">
        <v>2405</v>
      </c>
      <c r="E90" s="563" t="s">
        <v>2406</v>
      </c>
      <c r="F90" s="563" t="s">
        <v>2407</v>
      </c>
      <c r="G90" s="563" t="s">
        <v>2408</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2491</v>
      </c>
      <c r="C92" s="563" t="s">
        <v>2404</v>
      </c>
      <c r="D92" s="563" t="s">
        <v>2405</v>
      </c>
      <c r="E92" s="563" t="s">
        <v>2406</v>
      </c>
      <c r="F92" s="563" t="s">
        <v>2407</v>
      </c>
      <c r="G92" s="563" t="s">
        <v>2408</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2409</v>
      </c>
      <c r="C94" s="563" t="s">
        <v>2404</v>
      </c>
      <c r="D94" s="563" t="s">
        <v>2405</v>
      </c>
      <c r="E94" s="563" t="s">
        <v>2406</v>
      </c>
      <c r="F94" s="563" t="s">
        <v>2407</v>
      </c>
      <c r="G94" s="563" t="s">
        <v>2408</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2580</v>
      </c>
      <c r="C96" s="563" t="s">
        <v>2404</v>
      </c>
      <c r="D96" s="563" t="s">
        <v>2405</v>
      </c>
      <c r="E96" s="563" t="s">
        <v>2406</v>
      </c>
      <c r="F96" s="563" t="s">
        <v>2407</v>
      </c>
      <c r="G96" s="563" t="s">
        <v>2408</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2581</v>
      </c>
      <c r="C98" s="558" t="s">
        <v>2404</v>
      </c>
      <c r="D98" s="558" t="s">
        <v>2405</v>
      </c>
      <c r="E98" s="558" t="s">
        <v>2406</v>
      </c>
      <c r="F98" s="558" t="s">
        <v>2407</v>
      </c>
      <c r="G98" s="558" t="s">
        <v>2408</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2452</v>
      </c>
      <c r="C100" s="558" t="s">
        <v>2404</v>
      </c>
      <c r="D100" s="558" t="s">
        <v>2405</v>
      </c>
      <c r="E100" s="558" t="s">
        <v>2406</v>
      </c>
      <c r="F100" s="558" t="s">
        <v>2407</v>
      </c>
      <c r="G100" s="558" t="s">
        <v>2408</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2453</v>
      </c>
      <c r="C102" s="523" t="s">
        <v>2411</v>
      </c>
      <c r="D102" s="523" t="s">
        <v>2412</v>
      </c>
      <c r="E102" s="523" t="s">
        <v>2413</v>
      </c>
      <c r="F102" s="523" t="s">
        <v>2414</v>
      </c>
      <c r="G102" s="523" t="s">
        <v>2415</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2582</v>
      </c>
      <c r="D104" s="523" t="s">
        <v>2583</v>
      </c>
      <c r="E104" s="523" t="s">
        <v>2584</v>
      </c>
      <c r="F104" s="523" t="s">
        <v>2585</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2484</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2551</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2370</v>
      </c>
      <c r="B116" s="510" t="s">
        <v>2586</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2587</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2588</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2589</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2590</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2543</v>
      </c>
      <c r="B1" s="375"/>
      <c r="C1" s="376" t="s">
        <v>2591</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2545</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43062</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t="s">
        <v>2547</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40" si="3">D8/F8</f>
        <v>#DIV/0!</v>
      </c>
      <c r="AB8" s="753" t="e">
        <f t="shared" ref="AB8:AB40" si="4">D8/H8</f>
        <v>#DIV/0!</v>
      </c>
      <c r="AC8" s="753" t="e">
        <f t="shared" ref="AC8:AC40" si="5">D8/J8</f>
        <v>#DIV/0!</v>
      </c>
    </row>
    <row r="9" spans="1:29" s="35" customFormat="1">
      <c r="A9" s="396" t="s">
        <v>2359</v>
      </c>
      <c r="B9" s="28" t="s">
        <v>2360</v>
      </c>
      <c r="C9" s="2491" t="s">
        <v>2592</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26"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13"/>
      <c r="D10" s="52">
        <v>100</v>
      </c>
      <c r="E10" s="413"/>
      <c r="F10" s="52">
        <f>ROUND(100/'数据-取费表'!B14,0)</f>
        <v>117</v>
      </c>
      <c r="G10" s="413"/>
      <c r="H10" s="52">
        <f>ROUND(100/'数据-取费表'!B14,0)</f>
        <v>117</v>
      </c>
      <c r="I10" s="413"/>
      <c r="J10" s="52">
        <f>ROUND(100/'数据-取费表'!B14,0)</f>
        <v>117</v>
      </c>
      <c r="K10" s="656"/>
      <c r="L10" s="1250"/>
      <c r="M10" s="1251"/>
      <c r="N10" s="1251"/>
      <c r="O10" s="1252"/>
      <c r="P10" s="3026"/>
      <c r="Q10" s="1893" t="str">
        <f t="shared" si="6"/>
        <v>土地使用年限（年）</v>
      </c>
      <c r="R10" s="750" t="s">
        <v>25</v>
      </c>
      <c r="S10" s="751">
        <f t="shared" si="0"/>
        <v>117</v>
      </c>
      <c r="T10" s="750" t="s">
        <v>25</v>
      </c>
      <c r="U10" s="751">
        <f t="shared" si="1"/>
        <v>117</v>
      </c>
      <c r="V10" s="750" t="s">
        <v>25</v>
      </c>
      <c r="W10" s="751">
        <f t="shared" si="2"/>
        <v>117</v>
      </c>
      <c r="X10" s="752"/>
      <c r="Y10" s="2855"/>
      <c r="Z10" s="23" t="str">
        <f t="shared" si="7"/>
        <v>土地使用年限（年）</v>
      </c>
      <c r="AA10" s="753">
        <f t="shared" si="3"/>
        <v>0.85470085470085466</v>
      </c>
      <c r="AB10" s="753">
        <f t="shared" si="4"/>
        <v>0.85470085470085466</v>
      </c>
      <c r="AC10" s="753">
        <f t="shared" si="5"/>
        <v>0.85470085470085466</v>
      </c>
    </row>
    <row r="11" spans="1:29" ht="15">
      <c r="A11" s="409"/>
      <c r="B11" s="403" t="s">
        <v>2364</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26"/>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26"/>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57">
      <c r="A15" s="420" t="s">
        <v>2365</v>
      </c>
      <c r="B15" s="614" t="s">
        <v>2593</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29" t="s">
        <v>2366</v>
      </c>
      <c r="Q15" s="1905" t="str">
        <f t="shared" si="6"/>
        <v>产业集聚程度</v>
      </c>
      <c r="R15" s="754" t="s">
        <v>25</v>
      </c>
      <c r="S15" s="755">
        <f t="shared" si="0"/>
        <v>100</v>
      </c>
      <c r="T15" s="754" t="s">
        <v>25</v>
      </c>
      <c r="U15" s="755">
        <f t="shared" si="1"/>
        <v>100</v>
      </c>
      <c r="V15" s="754" t="s">
        <v>25</v>
      </c>
      <c r="W15" s="755">
        <f t="shared" si="2"/>
        <v>100</v>
      </c>
      <c r="X15" s="1906"/>
      <c r="Y15" s="3029" t="s">
        <v>2366</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30"/>
      <c r="Q16" s="1905"/>
      <c r="R16" s="754"/>
      <c r="S16" s="755"/>
      <c r="T16" s="754"/>
      <c r="U16" s="755"/>
      <c r="V16" s="754"/>
      <c r="W16" s="755"/>
      <c r="X16" s="1906"/>
      <c r="Y16" s="3030"/>
      <c r="Z16" s="1908"/>
      <c r="AA16" s="1909">
        <v>1</v>
      </c>
      <c r="AB16" s="1909">
        <v>1</v>
      </c>
      <c r="AC16" s="1909">
        <v>1</v>
      </c>
    </row>
    <row r="17" spans="1:29" ht="85.5">
      <c r="A17" s="409"/>
      <c r="B17" s="616" t="s">
        <v>2509</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30"/>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30"/>
      <c r="Q18" s="1905"/>
      <c r="R18" s="754"/>
      <c r="S18" s="755"/>
      <c r="T18" s="754"/>
      <c r="U18" s="755"/>
      <c r="V18" s="754"/>
      <c r="W18" s="755"/>
      <c r="X18" s="1906"/>
      <c r="Y18" s="3030"/>
      <c r="Z18" s="1908"/>
      <c r="AA18" s="1909">
        <v>1</v>
      </c>
      <c r="AB18" s="1909">
        <v>1</v>
      </c>
      <c r="AC18" s="1909">
        <v>1</v>
      </c>
    </row>
    <row r="19" spans="1:29" ht="15">
      <c r="A19" s="409"/>
      <c r="B19" s="616" t="s">
        <v>2549</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30"/>
      <c r="Q19" s="1905" t="str">
        <f t="shared" ref="Q19:Q33" si="8">B19</f>
        <v>区域土地利用方向</v>
      </c>
      <c r="R19" s="754" t="s">
        <v>25</v>
      </c>
      <c r="S19" s="755">
        <f>F19</f>
        <v>100</v>
      </c>
      <c r="T19" s="754" t="s">
        <v>25</v>
      </c>
      <c r="U19" s="755">
        <f>H19</f>
        <v>100</v>
      </c>
      <c r="V19" s="754" t="s">
        <v>25</v>
      </c>
      <c r="W19" s="755">
        <f>J19</f>
        <v>100</v>
      </c>
      <c r="X19" s="1906"/>
      <c r="Y19" s="3030"/>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30"/>
      <c r="Q20" s="1905"/>
      <c r="R20" s="754"/>
      <c r="S20" s="755"/>
      <c r="T20" s="754"/>
      <c r="U20" s="755"/>
      <c r="V20" s="754"/>
      <c r="W20" s="755"/>
      <c r="X20" s="1906"/>
      <c r="Y20" s="3030"/>
      <c r="Z20" s="1908"/>
      <c r="AA20" s="1909"/>
      <c r="AB20" s="1909"/>
      <c r="AC20" s="1909"/>
    </row>
    <row r="21" spans="1:29" ht="71.25">
      <c r="A21" s="384"/>
      <c r="B21" s="616" t="s">
        <v>2594</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30"/>
      <c r="Q21" s="1905" t="str">
        <f t="shared" si="8"/>
        <v>环境状况</v>
      </c>
      <c r="R21" s="754" t="s">
        <v>25</v>
      </c>
      <c r="S21" s="755">
        <f>F21</f>
        <v>100</v>
      </c>
      <c r="T21" s="754" t="s">
        <v>25</v>
      </c>
      <c r="U21" s="755">
        <f>H21</f>
        <v>100</v>
      </c>
      <c r="V21" s="754" t="s">
        <v>25</v>
      </c>
      <c r="W21" s="755">
        <f>J21</f>
        <v>100</v>
      </c>
      <c r="X21" s="1906"/>
      <c r="Y21" s="3030"/>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30"/>
      <c r="Q22" s="1905"/>
      <c r="R22" s="754"/>
      <c r="S22" s="755"/>
      <c r="T22" s="754"/>
      <c r="U22" s="755"/>
      <c r="V22" s="754"/>
      <c r="W22" s="755"/>
      <c r="X22" s="1906"/>
      <c r="Y22" s="3030"/>
      <c r="Z22" s="1908"/>
      <c r="AA22" s="1909">
        <v>1</v>
      </c>
      <c r="AB22" s="1909">
        <v>1</v>
      </c>
      <c r="AC22" s="1909">
        <v>1</v>
      </c>
    </row>
    <row r="23" spans="1:29" s="35" customFormat="1" ht="42.75">
      <c r="A23" s="634"/>
      <c r="B23" s="616" t="s">
        <v>2452</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30"/>
      <c r="Q23" s="1893" t="str">
        <f t="shared" si="8"/>
        <v>公共配套设施</v>
      </c>
      <c r="R23" s="750" t="s">
        <v>25</v>
      </c>
      <c r="S23" s="751">
        <f>F23</f>
        <v>100</v>
      </c>
      <c r="T23" s="750" t="s">
        <v>25</v>
      </c>
      <c r="U23" s="751">
        <f>H23</f>
        <v>100</v>
      </c>
      <c r="V23" s="750" t="s">
        <v>25</v>
      </c>
      <c r="W23" s="751">
        <f>J23</f>
        <v>100</v>
      </c>
      <c r="X23" s="752"/>
      <c r="Y23" s="3030"/>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30"/>
      <c r="Q24" s="1893"/>
      <c r="R24" s="750"/>
      <c r="S24" s="751"/>
      <c r="T24" s="750"/>
      <c r="U24" s="751"/>
      <c r="V24" s="750"/>
      <c r="W24" s="751"/>
      <c r="X24" s="752"/>
      <c r="Y24" s="3030"/>
      <c r="Z24" s="23"/>
      <c r="AA24" s="753">
        <v>1</v>
      </c>
      <c r="AB24" s="753">
        <v>1</v>
      </c>
      <c r="AC24" s="753">
        <v>1</v>
      </c>
    </row>
    <row r="25" spans="1:29" s="35" customFormat="1" ht="28.5">
      <c r="A25" s="634"/>
      <c r="B25" s="618" t="s">
        <v>2453</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30"/>
      <c r="Q25" s="1893" t="str">
        <f t="shared" ref="Q25" si="9">B25</f>
        <v>基础设施水平</v>
      </c>
      <c r="R25" s="750" t="s">
        <v>25</v>
      </c>
      <c r="S25" s="751">
        <f>F25</f>
        <v>100</v>
      </c>
      <c r="T25" s="750" t="s">
        <v>25</v>
      </c>
      <c r="U25" s="751">
        <f>H25</f>
        <v>100</v>
      </c>
      <c r="V25" s="750" t="s">
        <v>25</v>
      </c>
      <c r="W25" s="751">
        <f>J25</f>
        <v>100</v>
      </c>
      <c r="X25" s="752"/>
      <c r="Y25" s="3030"/>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30"/>
      <c r="Q26" s="1893"/>
      <c r="R26" s="750"/>
      <c r="S26" s="751"/>
      <c r="T26" s="750"/>
      <c r="U26" s="751"/>
      <c r="V26" s="750"/>
      <c r="W26" s="751"/>
      <c r="X26" s="752"/>
      <c r="Y26" s="3030"/>
      <c r="Z26" s="23"/>
      <c r="AA26" s="753">
        <v>1</v>
      </c>
      <c r="AB26" s="753">
        <v>1</v>
      </c>
      <c r="AC26" s="753">
        <v>1</v>
      </c>
    </row>
    <row r="27" spans="1:29" ht="15">
      <c r="A27" s="409"/>
      <c r="B27" s="617" t="s">
        <v>2454</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30"/>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30"/>
      <c r="Z27" s="1908" t="str">
        <f t="shared" ref="Z27:Z40" si="13">Q27</f>
        <v>临街状况</v>
      </c>
      <c r="AA27" s="1909">
        <f t="shared" si="3"/>
        <v>1</v>
      </c>
      <c r="AB27" s="1909">
        <f t="shared" si="4"/>
        <v>1</v>
      </c>
      <c r="AC27" s="1909">
        <f t="shared" si="5"/>
        <v>1</v>
      </c>
    </row>
    <row r="28" spans="1:29" ht="27">
      <c r="A28" s="409"/>
      <c r="B28" s="618" t="s">
        <v>2484</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30"/>
      <c r="Q28" s="1905" t="str">
        <f t="shared" si="8"/>
        <v>毗邻道路的类型与等级</v>
      </c>
      <c r="R28" s="754" t="s">
        <v>25</v>
      </c>
      <c r="S28" s="755">
        <f t="shared" si="10"/>
        <v>100</v>
      </c>
      <c r="T28" s="754" t="s">
        <v>25</v>
      </c>
      <c r="U28" s="755">
        <f t="shared" si="11"/>
        <v>100</v>
      </c>
      <c r="V28" s="754" t="s">
        <v>25</v>
      </c>
      <c r="W28" s="755">
        <f t="shared" si="12"/>
        <v>100</v>
      </c>
      <c r="X28" s="1906"/>
      <c r="Y28" s="3030"/>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30"/>
      <c r="Q29" s="1905"/>
      <c r="R29" s="754"/>
      <c r="S29" s="755"/>
      <c r="T29" s="754"/>
      <c r="U29" s="755"/>
      <c r="V29" s="754"/>
      <c r="W29" s="755"/>
      <c r="X29" s="1906"/>
      <c r="Y29" s="3030"/>
      <c r="Z29" s="1908"/>
      <c r="AA29" s="1909">
        <v>1</v>
      </c>
      <c r="AB29" s="1909">
        <v>1</v>
      </c>
      <c r="AC29" s="1909">
        <v>1</v>
      </c>
    </row>
    <row r="30" spans="1:29" ht="15">
      <c r="A30" s="409"/>
      <c r="B30" s="638" t="s">
        <v>2551</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30"/>
      <c r="Q30" s="1905" t="str">
        <f t="shared" si="8"/>
        <v>土地级别</v>
      </c>
      <c r="R30" s="754" t="s">
        <v>25</v>
      </c>
      <c r="S30" s="755">
        <f t="shared" si="10"/>
        <v>100</v>
      </c>
      <c r="T30" s="754" t="s">
        <v>25</v>
      </c>
      <c r="U30" s="755">
        <f t="shared" si="11"/>
        <v>100</v>
      </c>
      <c r="V30" s="754" t="s">
        <v>25</v>
      </c>
      <c r="W30" s="755">
        <f t="shared" si="12"/>
        <v>100</v>
      </c>
      <c r="X30" s="1906"/>
      <c r="Y30" s="3030"/>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30"/>
      <c r="Q31" s="1905">
        <f t="shared" si="8"/>
        <v>111</v>
      </c>
      <c r="R31" s="754" t="s">
        <v>25</v>
      </c>
      <c r="S31" s="755">
        <f t="shared" si="10"/>
        <v>100</v>
      </c>
      <c r="T31" s="754" t="s">
        <v>25</v>
      </c>
      <c r="U31" s="755">
        <f t="shared" si="11"/>
        <v>100</v>
      </c>
      <c r="V31" s="754" t="s">
        <v>25</v>
      </c>
      <c r="W31" s="755">
        <f t="shared" si="12"/>
        <v>100</v>
      </c>
      <c r="X31" s="1906"/>
      <c r="Y31" s="3030"/>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0" t="s">
        <v>2372</v>
      </c>
      <c r="Q32" s="1905">
        <f t="shared" si="8"/>
        <v>111</v>
      </c>
      <c r="R32" s="754" t="s">
        <v>25</v>
      </c>
      <c r="S32" s="755">
        <f t="shared" si="10"/>
        <v>100</v>
      </c>
      <c r="T32" s="754" t="s">
        <v>25</v>
      </c>
      <c r="U32" s="755">
        <f t="shared" si="11"/>
        <v>100</v>
      </c>
      <c r="V32" s="754" t="s">
        <v>25</v>
      </c>
      <c r="W32" s="755">
        <f t="shared" si="12"/>
        <v>100</v>
      </c>
      <c r="X32" s="1906"/>
      <c r="Y32" s="3034" t="s">
        <v>2372</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4"/>
      <c r="Q33" s="1905">
        <f t="shared" si="8"/>
        <v>111</v>
      </c>
      <c r="R33" s="757" t="s">
        <v>25</v>
      </c>
      <c r="S33" s="758">
        <f t="shared" si="10"/>
        <v>100</v>
      </c>
      <c r="T33" s="757" t="s">
        <v>25</v>
      </c>
      <c r="U33" s="758">
        <f t="shared" si="11"/>
        <v>100</v>
      </c>
      <c r="V33" s="757" t="s">
        <v>25</v>
      </c>
      <c r="W33" s="758">
        <f t="shared" si="12"/>
        <v>100</v>
      </c>
      <c r="X33" s="759"/>
      <c r="Y33" s="3034"/>
      <c r="Z33" s="760">
        <f t="shared" si="13"/>
        <v>111</v>
      </c>
      <c r="AA33" s="1909">
        <f t="shared" si="3"/>
        <v>1</v>
      </c>
      <c r="AB33" s="1909">
        <f t="shared" si="4"/>
        <v>1</v>
      </c>
      <c r="AC33" s="1909">
        <f t="shared" si="5"/>
        <v>1</v>
      </c>
    </row>
    <row r="34" spans="1:29" ht="15">
      <c r="A34" s="454" t="s">
        <v>2370</v>
      </c>
      <c r="B34" s="437" t="s">
        <v>2552</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4"/>
      <c r="Q34" s="1905" t="str">
        <f>B34</f>
        <v>宗地面积</v>
      </c>
      <c r="R34" s="754" t="s">
        <v>25</v>
      </c>
      <c r="S34" s="755" t="e">
        <f t="shared" si="10"/>
        <v>#N/A</v>
      </c>
      <c r="T34" s="754" t="s">
        <v>25</v>
      </c>
      <c r="U34" s="755" t="e">
        <f t="shared" si="11"/>
        <v>#N/A</v>
      </c>
      <c r="V34" s="754" t="s">
        <v>25</v>
      </c>
      <c r="W34" s="755" t="e">
        <f t="shared" si="12"/>
        <v>#N/A</v>
      </c>
      <c r="X34" s="1906"/>
      <c r="Y34" s="3034"/>
      <c r="Z34" s="1908" t="str">
        <f t="shared" si="13"/>
        <v>宗地面积</v>
      </c>
      <c r="AA34" s="1909" t="e">
        <f t="shared" si="3"/>
        <v>#N/A</v>
      </c>
      <c r="AB34" s="1909" t="e">
        <f t="shared" si="4"/>
        <v>#N/A</v>
      </c>
      <c r="AC34" s="1909" t="e">
        <f t="shared" si="5"/>
        <v>#N/A</v>
      </c>
    </row>
    <row r="35" spans="1:29" ht="15">
      <c r="A35" s="454"/>
      <c r="B35" s="403" t="s">
        <v>2553</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34"/>
      <c r="Q35" s="1905" t="str">
        <f t="shared" ref="Q35:Q40" si="14">B35</f>
        <v>宗地形状</v>
      </c>
      <c r="R35" s="754" t="s">
        <v>25</v>
      </c>
      <c r="S35" s="755">
        <f t="shared" si="10"/>
        <v>100</v>
      </c>
      <c r="T35" s="754" t="s">
        <v>25</v>
      </c>
      <c r="U35" s="755">
        <f t="shared" si="11"/>
        <v>100</v>
      </c>
      <c r="V35" s="754" t="s">
        <v>25</v>
      </c>
      <c r="W35" s="755">
        <f t="shared" si="12"/>
        <v>100</v>
      </c>
      <c r="X35" s="1906"/>
      <c r="Y35" s="3034"/>
      <c r="Z35" s="1908" t="str">
        <f t="shared" si="13"/>
        <v>宗地形状</v>
      </c>
      <c r="AA35" s="1909">
        <f t="shared" si="3"/>
        <v>1</v>
      </c>
      <c r="AB35" s="1909">
        <f t="shared" si="4"/>
        <v>1</v>
      </c>
      <c r="AC35" s="1909">
        <f t="shared" si="5"/>
        <v>1</v>
      </c>
    </row>
    <row r="36" spans="1:29" s="35" customFormat="1" ht="15">
      <c r="A36" s="455"/>
      <c r="B36" s="403" t="s">
        <v>2555</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34"/>
      <c r="Q36" s="1905" t="str">
        <f t="shared" si="14"/>
        <v>宗地开发程度</v>
      </c>
      <c r="R36" s="750" t="s">
        <v>25</v>
      </c>
      <c r="S36" s="751">
        <f t="shared" si="10"/>
        <v>100</v>
      </c>
      <c r="T36" s="750" t="s">
        <v>25</v>
      </c>
      <c r="U36" s="751">
        <f t="shared" si="11"/>
        <v>100</v>
      </c>
      <c r="V36" s="750" t="s">
        <v>25</v>
      </c>
      <c r="W36" s="751">
        <f t="shared" si="12"/>
        <v>100</v>
      </c>
      <c r="X36" s="752"/>
      <c r="Y36" s="3034"/>
      <c r="Z36" s="23" t="str">
        <f t="shared" si="13"/>
        <v>宗地开发程度</v>
      </c>
      <c r="AA36" s="753">
        <f t="shared" si="3"/>
        <v>1</v>
      </c>
      <c r="AB36" s="753">
        <f t="shared" si="4"/>
        <v>1</v>
      </c>
      <c r="AC36" s="753">
        <f t="shared" si="5"/>
        <v>1</v>
      </c>
    </row>
    <row r="37" spans="1:29" ht="15">
      <c r="A37" s="454"/>
      <c r="B37" s="403" t="s">
        <v>2556</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34" t="s">
        <v>2372</v>
      </c>
      <c r="Q37" s="1905" t="str">
        <f t="shared" si="14"/>
        <v>工程地质条件</v>
      </c>
      <c r="R37" s="754" t="s">
        <v>25</v>
      </c>
      <c r="S37" s="755">
        <f t="shared" si="10"/>
        <v>100</v>
      </c>
      <c r="T37" s="754" t="s">
        <v>25</v>
      </c>
      <c r="U37" s="755">
        <f t="shared" si="11"/>
        <v>100</v>
      </c>
      <c r="V37" s="754" t="s">
        <v>25</v>
      </c>
      <c r="W37" s="755">
        <f t="shared" si="12"/>
        <v>100</v>
      </c>
      <c r="X37" s="1906"/>
      <c r="Y37" s="3034" t="s">
        <v>2372</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4"/>
      <c r="Q38" s="1905">
        <f t="shared" si="14"/>
        <v>111</v>
      </c>
      <c r="R38" s="754" t="s">
        <v>25</v>
      </c>
      <c r="S38" s="755">
        <f t="shared" si="10"/>
        <v>100</v>
      </c>
      <c r="T38" s="754" t="s">
        <v>25</v>
      </c>
      <c r="U38" s="755">
        <f t="shared" si="11"/>
        <v>100</v>
      </c>
      <c r="V38" s="754" t="s">
        <v>25</v>
      </c>
      <c r="W38" s="755">
        <f t="shared" si="12"/>
        <v>100</v>
      </c>
      <c r="X38" s="1906"/>
      <c r="Y38" s="3034"/>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4"/>
      <c r="Q39" s="1905">
        <f t="shared" si="14"/>
        <v>111</v>
      </c>
      <c r="R39" s="754" t="s">
        <v>25</v>
      </c>
      <c r="S39" s="755">
        <f t="shared" si="10"/>
        <v>100</v>
      </c>
      <c r="T39" s="754" t="s">
        <v>25</v>
      </c>
      <c r="U39" s="755">
        <f t="shared" si="11"/>
        <v>100</v>
      </c>
      <c r="V39" s="754" t="s">
        <v>25</v>
      </c>
      <c r="W39" s="755">
        <f t="shared" si="12"/>
        <v>100</v>
      </c>
      <c r="X39" s="1906"/>
      <c r="Y39" s="3034"/>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4"/>
      <c r="Q40" s="1905">
        <f t="shared" si="14"/>
        <v>111</v>
      </c>
      <c r="R40" s="757" t="s">
        <v>25</v>
      </c>
      <c r="S40" s="758">
        <f t="shared" si="10"/>
        <v>100</v>
      </c>
      <c r="T40" s="757" t="s">
        <v>25</v>
      </c>
      <c r="U40" s="758">
        <f t="shared" si="11"/>
        <v>100</v>
      </c>
      <c r="V40" s="757" t="s">
        <v>25</v>
      </c>
      <c r="W40" s="758">
        <f t="shared" si="12"/>
        <v>100</v>
      </c>
      <c r="X40" s="759"/>
      <c r="Y40" s="3034"/>
      <c r="Z40" s="760">
        <f t="shared" si="13"/>
        <v>111</v>
      </c>
      <c r="AA40" s="1909">
        <f t="shared" si="3"/>
        <v>1</v>
      </c>
      <c r="AB40" s="1909">
        <f t="shared" si="4"/>
        <v>1</v>
      </c>
      <c r="AC40" s="1909">
        <f t="shared" si="5"/>
        <v>1</v>
      </c>
    </row>
    <row r="41" spans="1:29" ht="15">
      <c r="A41" s="461" t="s">
        <v>2520</v>
      </c>
      <c r="B41" s="2499" t="s">
        <v>2595</v>
      </c>
      <c r="C41" s="666" t="s">
        <v>1</v>
      </c>
      <c r="D41" s="463"/>
      <c r="E41" s="464"/>
      <c r="F41" s="465"/>
      <c r="G41" s="466"/>
      <c r="H41" s="467"/>
      <c r="I41" s="464"/>
      <c r="J41" s="467"/>
      <c r="K41" s="763"/>
      <c r="L41" s="1258"/>
      <c r="M41" s="1246"/>
      <c r="N41" s="1246"/>
      <c r="O41" s="1259"/>
      <c r="P41" s="3026" t="str">
        <f>A41</f>
        <v>成交单价</v>
      </c>
      <c r="Q41" s="3026"/>
      <c r="R41" s="3063">
        <f>E41</f>
        <v>0</v>
      </c>
      <c r="S41" s="3063"/>
      <c r="T41" s="3063">
        <f>G41</f>
        <v>0</v>
      </c>
      <c r="U41" s="3063"/>
      <c r="V41" s="3063">
        <f>I41</f>
        <v>0</v>
      </c>
      <c r="W41" s="3063"/>
      <c r="X41" s="739"/>
      <c r="Y41" s="761"/>
      <c r="Z41" s="739"/>
      <c r="AA41" s="739"/>
      <c r="AB41" s="739"/>
      <c r="AC41" s="739"/>
    </row>
    <row r="42" spans="1:29" ht="15.75" thickBot="1">
      <c r="A42" s="468" t="s">
        <v>2467</v>
      </c>
      <c r="B42" s="667"/>
      <c r="C42" s="472" t="e">
        <f>R43</f>
        <v>#DIV/0!</v>
      </c>
      <c r="D42" s="471"/>
      <c r="E42" s="472" t="e">
        <f>R42</f>
        <v>#DIV/0!</v>
      </c>
      <c r="F42" s="473"/>
      <c r="G42" s="470" t="e">
        <f>T42</f>
        <v>#DIV/0!</v>
      </c>
      <c r="H42" s="471"/>
      <c r="I42" s="472" t="e">
        <f>V42</f>
        <v>#DIV/0!</v>
      </c>
      <c r="J42" s="471"/>
      <c r="K42" s="764"/>
      <c r="L42" s="1258"/>
      <c r="M42" s="1246"/>
      <c r="N42" s="1246"/>
      <c r="O42" s="1259"/>
      <c r="P42" s="3026" t="str">
        <f>A42</f>
        <v>比较价值（元/平方米）</v>
      </c>
      <c r="Q42" s="3026"/>
      <c r="R42" s="3081" t="e">
        <f>ROUND(PRODUCT(R41,AA7:AA40),0)</f>
        <v>#DIV/0!</v>
      </c>
      <c r="S42" s="3081"/>
      <c r="T42" s="3081" t="e">
        <f>ROUND(PRODUCT(T41,AB7:AB40),0)</f>
        <v>#DIV/0!</v>
      </c>
      <c r="U42" s="3081"/>
      <c r="V42" s="3081" t="e">
        <f>ROUND(PRODUCT(V41,AC7:AC40),0)</f>
        <v>#DIV/0!</v>
      </c>
      <c r="W42" s="3081"/>
      <c r="X42" s="739"/>
      <c r="Y42" s="739"/>
      <c r="Z42" s="739"/>
      <c r="AA42" s="739"/>
      <c r="AB42" s="739"/>
      <c r="AC42" s="739"/>
    </row>
    <row r="43" spans="1:29" ht="15.75" thickBot="1">
      <c r="A43" s="474" t="s">
        <v>2490</v>
      </c>
      <c r="B43" s="475"/>
      <c r="C43" s="476" t="e">
        <f>R43</f>
        <v>#DIV/0!</v>
      </c>
      <c r="D43" s="476"/>
      <c r="E43" s="476"/>
      <c r="F43" s="476"/>
      <c r="G43" s="476"/>
      <c r="H43" s="476"/>
      <c r="I43" s="476"/>
      <c r="J43" s="476"/>
      <c r="K43" s="765"/>
      <c r="L43" s="1258"/>
      <c r="M43" s="1246"/>
      <c r="N43" s="1246"/>
      <c r="O43" s="1259"/>
      <c r="P43" s="3023" t="str">
        <f>A43</f>
        <v>估价对象XX用房的比较价值（楼面单价，元/平方米）</v>
      </c>
      <c r="Q43" s="3024"/>
      <c r="R43" s="3082" t="e">
        <f>ROUND(AVERAGE(R42:V42),0)</f>
        <v>#DIV/0!</v>
      </c>
      <c r="S43" s="3082"/>
      <c r="T43" s="3082"/>
      <c r="U43" s="3082"/>
      <c r="V43" s="3082"/>
      <c r="W43" s="3082"/>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2558</v>
      </c>
      <c r="B50" s="669" t="s">
        <v>2559</v>
      </c>
      <c r="C50" s="2500" t="s">
        <v>2560</v>
      </c>
      <c r="D50" s="2501" t="s">
        <v>2561</v>
      </c>
      <c r="E50" s="670" t="s">
        <v>2562</v>
      </c>
      <c r="F50" s="671" t="s">
        <v>2563</v>
      </c>
      <c r="G50" s="1908" t="s">
        <v>2596</v>
      </c>
      <c r="H50" s="1908">
        <f>项目基本情况!G8</f>
        <v>0</v>
      </c>
      <c r="I50" s="1855" t="s">
        <v>2565</v>
      </c>
      <c r="J50" s="1264"/>
      <c r="K50" s="1260"/>
      <c r="L50" s="1260"/>
      <c r="M50" s="1259"/>
      <c r="N50" s="1259"/>
      <c r="O50" s="1259"/>
    </row>
    <row r="51" spans="1:17" s="676" customFormat="1">
      <c r="A51" s="672" t="s">
        <v>2566</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2567</v>
      </c>
      <c r="B52" s="179" t="e">
        <f>ROUND($C$43*C52*D52,0)</f>
        <v>#DIV/0!</v>
      </c>
      <c r="C52" s="118">
        <f>IF($C$50="北京市系数",G52,H52)</f>
        <v>0.8</v>
      </c>
      <c r="D52" s="1294">
        <v>0.25</v>
      </c>
      <c r="E52" s="678">
        <v>0</v>
      </c>
      <c r="F52" s="675" t="e">
        <f t="shared" si="15"/>
        <v>#DIV/0!</v>
      </c>
      <c r="G52" s="973">
        <f>SUMIF(修正!$A$45:$A$56,项目基本情况!$F$9,修正!B45:B56)</f>
        <v>0.8</v>
      </c>
      <c r="H52" s="974"/>
      <c r="I52" s="1259"/>
      <c r="J52" s="1264"/>
      <c r="K52" s="1260"/>
      <c r="L52" s="1260"/>
      <c r="M52" s="1259"/>
      <c r="N52" s="1259"/>
      <c r="O52" s="1259"/>
    </row>
    <row r="53" spans="1:17" s="676" customFormat="1">
      <c r="A53" s="677" t="s">
        <v>2568</v>
      </c>
      <c r="B53" s="179" t="e">
        <f t="shared" ref="B53:B60" si="16">ROUND($C$43*C53*D53,0)</f>
        <v>#DIV/0!</v>
      </c>
      <c r="C53" s="118">
        <f t="shared" ref="C53:C60" si="17">IF($C$50="北京市系数",G53,H53)</f>
        <v>0.5</v>
      </c>
      <c r="D53" s="1294">
        <v>0.25</v>
      </c>
      <c r="E53" s="678">
        <v>0</v>
      </c>
      <c r="F53" s="675" t="e">
        <f t="shared" si="15"/>
        <v>#DIV/0!</v>
      </c>
      <c r="G53" s="973">
        <f>SUMIF(修正!$A$45:$A$56,项目基本情况!$F$9,修正!C45:C56)</f>
        <v>0.5</v>
      </c>
      <c r="H53" s="974"/>
      <c r="I53" s="1261"/>
      <c r="J53" s="1264"/>
      <c r="K53" s="1260"/>
      <c r="L53" s="1260"/>
      <c r="M53" s="1259"/>
      <c r="N53" s="1259"/>
      <c r="O53" s="1259"/>
    </row>
    <row r="54" spans="1:17" s="676" customFormat="1">
      <c r="A54" s="677" t="s">
        <v>2569</v>
      </c>
      <c r="B54" s="179" t="e">
        <f t="shared" si="16"/>
        <v>#DIV/0!</v>
      </c>
      <c r="C54" s="118">
        <f t="shared" si="17"/>
        <v>0.36</v>
      </c>
      <c r="D54" s="1294">
        <v>0.25</v>
      </c>
      <c r="E54" s="678">
        <v>0</v>
      </c>
      <c r="F54" s="675" t="e">
        <f t="shared" si="15"/>
        <v>#DIV/0!</v>
      </c>
      <c r="G54" s="973">
        <f>SUMIF(修正!$A$45:$A$56,项目基本情况!$F$9,修正!D45:D56)</f>
        <v>0.36</v>
      </c>
      <c r="H54" s="974"/>
      <c r="I54" s="1259"/>
      <c r="J54" s="1264"/>
      <c r="K54" s="1260"/>
      <c r="L54" s="1260"/>
      <c r="M54" s="1259"/>
      <c r="N54" s="1259"/>
      <c r="O54" s="1259"/>
    </row>
    <row r="55" spans="1:17" s="676" customFormat="1">
      <c r="A55" s="677" t="s">
        <v>2570</v>
      </c>
      <c r="B55" s="179" t="e">
        <f t="shared" si="16"/>
        <v>#DIV/0!</v>
      </c>
      <c r="C55" s="118">
        <f t="shared" si="17"/>
        <v>0.3</v>
      </c>
      <c r="D55" s="1294">
        <v>0.25</v>
      </c>
      <c r="E55" s="678">
        <v>0</v>
      </c>
      <c r="F55" s="675" t="e">
        <f t="shared" si="15"/>
        <v>#DIV/0!</v>
      </c>
      <c r="G55" s="973">
        <f>SUMIF(修正!$A$45:$A$56,项目基本情况!$F$9,修正!E45:E56)</f>
        <v>0.3</v>
      </c>
      <c r="H55" s="974"/>
      <c r="I55" s="1261"/>
      <c r="J55" s="1264"/>
      <c r="K55" s="1260"/>
      <c r="L55" s="1260"/>
      <c r="M55" s="1259"/>
      <c r="N55" s="1259"/>
      <c r="O55" s="1259"/>
    </row>
    <row r="56" spans="1:17" s="676" customFormat="1">
      <c r="A56" s="677" t="s">
        <v>2571</v>
      </c>
      <c r="B56" s="179" t="e">
        <f t="shared" si="16"/>
        <v>#DIV/0!</v>
      </c>
      <c r="C56" s="118">
        <f t="shared" si="17"/>
        <v>0.25</v>
      </c>
      <c r="D56" s="1294">
        <v>0.25</v>
      </c>
      <c r="E56" s="678">
        <v>0</v>
      </c>
      <c r="F56" s="675" t="e">
        <f t="shared" si="15"/>
        <v>#DIV/0!</v>
      </c>
      <c r="G56" s="973">
        <f>SUMIF(修正!A40:A51,项目基本情况!F9,修正!F45:F56)</f>
        <v>0.25</v>
      </c>
      <c r="H56" s="974"/>
      <c r="I56" s="1259"/>
      <c r="J56" s="1264"/>
      <c r="K56" s="1260"/>
      <c r="L56" s="1260"/>
      <c r="M56" s="1259"/>
      <c r="N56" s="1259"/>
      <c r="O56" s="1259"/>
    </row>
    <row r="57" spans="1:17" s="676" customFormat="1">
      <c r="A57" s="677" t="s">
        <v>2572</v>
      </c>
      <c r="B57" s="179" t="e">
        <f t="shared" si="16"/>
        <v>#DIV/0!</v>
      </c>
      <c r="C57" s="118">
        <f t="shared" si="17"/>
        <v>0.25</v>
      </c>
      <c r="D57" s="1294">
        <v>0.25</v>
      </c>
      <c r="E57" s="678">
        <v>0</v>
      </c>
      <c r="F57" s="675" t="e">
        <f t="shared" si="15"/>
        <v>#DIV/0!</v>
      </c>
      <c r="G57" s="973">
        <f>SUMIF(修正!A40:A51,项目基本情况!F9,修正!G45:G56)</f>
        <v>0.25</v>
      </c>
      <c r="H57" s="974"/>
      <c r="I57" s="1261"/>
      <c r="J57" s="1264"/>
      <c r="K57" s="1260"/>
      <c r="L57" s="1260"/>
      <c r="M57" s="1259"/>
      <c r="N57" s="1259"/>
      <c r="O57" s="1259"/>
    </row>
    <row r="58" spans="1:17" s="676" customFormat="1">
      <c r="A58" s="677" t="s">
        <v>2573</v>
      </c>
      <c r="B58" s="179" t="e">
        <f t="shared" si="16"/>
        <v>#DIV/0!</v>
      </c>
      <c r="C58" s="118">
        <f t="shared" si="17"/>
        <v>0.2</v>
      </c>
      <c r="D58" s="1294">
        <v>0.25</v>
      </c>
      <c r="E58" s="678">
        <v>0</v>
      </c>
      <c r="F58" s="675" t="e">
        <f t="shared" si="15"/>
        <v>#DIV/0!</v>
      </c>
      <c r="G58" s="973">
        <f>SUMIF(修正!A40:A51,项目基本情况!F9,修正!H45:H56)</f>
        <v>0.2</v>
      </c>
      <c r="H58" s="974"/>
      <c r="I58" s="1259"/>
      <c r="J58" s="1264"/>
      <c r="K58" s="1260"/>
      <c r="L58" s="1260"/>
      <c r="M58" s="1259"/>
      <c r="N58" s="1259"/>
      <c r="O58" s="1259"/>
    </row>
    <row r="59" spans="1:17" s="676" customFormat="1">
      <c r="A59" s="677" t="s">
        <v>2574</v>
      </c>
      <c r="B59" s="179" t="e">
        <f t="shared" si="16"/>
        <v>#DIV/0!</v>
      </c>
      <c r="C59" s="118">
        <f t="shared" si="17"/>
        <v>0.2</v>
      </c>
      <c r="D59" s="1294">
        <v>0.25</v>
      </c>
      <c r="E59" s="678">
        <v>0</v>
      </c>
      <c r="F59" s="675" t="e">
        <f t="shared" si="15"/>
        <v>#DIV/0!</v>
      </c>
      <c r="G59" s="973">
        <f>G58</f>
        <v>0.2</v>
      </c>
      <c r="H59" s="974"/>
      <c r="I59" s="1261"/>
      <c r="J59" s="1264"/>
      <c r="K59" s="1260"/>
      <c r="L59" s="1260"/>
      <c r="M59" s="1259"/>
      <c r="N59" s="1259"/>
      <c r="O59" s="1259"/>
    </row>
    <row r="60" spans="1:17" s="676" customFormat="1">
      <c r="A60" s="677" t="s">
        <v>2575</v>
      </c>
      <c r="B60" s="179" t="e">
        <f t="shared" si="16"/>
        <v>#DIV/0!</v>
      </c>
      <c r="C60" s="118">
        <f t="shared" si="17"/>
        <v>0.2</v>
      </c>
      <c r="D60" s="1294">
        <v>0.25</v>
      </c>
      <c r="E60" s="678">
        <v>0</v>
      </c>
      <c r="F60" s="675" t="e">
        <f t="shared" si="15"/>
        <v>#DIV/0!</v>
      </c>
      <c r="G60" s="973">
        <f>G58</f>
        <v>0.2</v>
      </c>
      <c r="H60" s="974"/>
      <c r="I60" s="1259"/>
      <c r="J60" s="1264"/>
      <c r="K60" s="1260"/>
      <c r="L60" s="1260"/>
      <c r="M60" s="1259"/>
      <c r="N60" s="1259"/>
      <c r="O60" s="1259"/>
    </row>
    <row r="61" spans="1:17" s="676" customFormat="1" ht="15" thickBot="1">
      <c r="A61" s="680" t="s">
        <v>2576</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2017-11-1</v>
      </c>
      <c r="D63" s="1676">
        <f>EDATE(C63,-3)</f>
        <v>42948</v>
      </c>
      <c r="E63" s="1676">
        <f t="shared" ref="E63:O63" si="18">EDATE(D63,-3)</f>
        <v>42856</v>
      </c>
      <c r="F63" s="1676">
        <f t="shared" si="18"/>
        <v>42767</v>
      </c>
      <c r="G63" s="1676">
        <f t="shared" si="18"/>
        <v>42675</v>
      </c>
      <c r="H63" s="1676">
        <f t="shared" si="18"/>
        <v>42583</v>
      </c>
      <c r="I63" s="1676">
        <f t="shared" si="18"/>
        <v>42491</v>
      </c>
      <c r="J63" s="1676">
        <f t="shared" si="18"/>
        <v>42401</v>
      </c>
      <c r="K63" s="1676">
        <f t="shared" si="18"/>
        <v>42309</v>
      </c>
      <c r="L63" s="1676">
        <f t="shared" si="18"/>
        <v>42217</v>
      </c>
      <c r="M63" s="1676">
        <f t="shared" si="18"/>
        <v>42125</v>
      </c>
      <c r="N63" s="1676">
        <f t="shared" si="18"/>
        <v>42036</v>
      </c>
      <c r="O63" s="1676">
        <f t="shared" si="18"/>
        <v>41944</v>
      </c>
    </row>
    <row r="64" spans="1:17" ht="21.75" thickBot="1">
      <c r="A64" s="743" t="s">
        <v>2472</v>
      </c>
      <c r="B64" s="739"/>
      <c r="C64" s="744"/>
      <c r="D64" s="744"/>
      <c r="E64" s="744"/>
      <c r="F64" s="745"/>
      <c r="G64" s="745"/>
      <c r="H64" s="744"/>
      <c r="I64" s="1275"/>
      <c r="J64" s="1275"/>
      <c r="K64" s="1273"/>
      <c r="L64" s="1274"/>
      <c r="M64" s="1275"/>
      <c r="N64" s="1275"/>
      <c r="O64" s="1275"/>
      <c r="P64" s="485"/>
      <c r="Q64" s="486"/>
    </row>
    <row r="65" spans="1:17" s="490" customFormat="1" ht="15">
      <c r="A65" s="2503" t="s">
        <v>2577</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9" t="s">
        <v>2597</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2392</v>
      </c>
      <c r="B67" s="498"/>
      <c r="C67" s="499"/>
      <c r="D67" s="500"/>
      <c r="E67" s="500"/>
      <c r="F67" s="500"/>
      <c r="G67" s="500"/>
      <c r="H67" s="500"/>
      <c r="I67" s="500"/>
      <c r="J67" s="500"/>
      <c r="K67" s="500"/>
      <c r="L67" s="500"/>
      <c r="M67" s="501"/>
      <c r="N67" s="500"/>
      <c r="O67" s="1682"/>
      <c r="P67" s="486"/>
      <c r="Q67" s="486"/>
    </row>
    <row r="68" spans="1:17" s="35" customFormat="1" ht="15">
      <c r="A68" s="503" t="s">
        <v>2356</v>
      </c>
      <c r="B68" s="492"/>
      <c r="C68" s="504" t="s">
        <v>2357</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2395</v>
      </c>
      <c r="B70" s="510" t="s">
        <v>2360</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2363</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2364</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2365</v>
      </c>
      <c r="B83" s="510" t="s">
        <v>2505</v>
      </c>
      <c r="C83" s="558" t="s">
        <v>2404</v>
      </c>
      <c r="D83" s="558" t="s">
        <v>2405</v>
      </c>
      <c r="E83" s="558" t="s">
        <v>2406</v>
      </c>
      <c r="F83" s="558" t="s">
        <v>2407</v>
      </c>
      <c r="G83" s="558" t="s">
        <v>2408</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2409</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2580</v>
      </c>
      <c r="C87" s="558" t="s">
        <v>2404</v>
      </c>
      <c r="D87" s="558" t="s">
        <v>2405</v>
      </c>
      <c r="E87" s="558" t="s">
        <v>2406</v>
      </c>
      <c r="F87" s="558" t="s">
        <v>2407</v>
      </c>
      <c r="G87" s="558" t="s">
        <v>2408</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2581</v>
      </c>
      <c r="C89" s="558" t="s">
        <v>2404</v>
      </c>
      <c r="D89" s="558" t="s">
        <v>2405</v>
      </c>
      <c r="E89" s="558" t="s">
        <v>2406</v>
      </c>
      <c r="F89" s="558" t="s">
        <v>2407</v>
      </c>
      <c r="G89" s="558" t="s">
        <v>2408</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2452</v>
      </c>
      <c r="C91" s="558" t="s">
        <v>2404</v>
      </c>
      <c r="D91" s="558" t="s">
        <v>2405</v>
      </c>
      <c r="E91" s="558" t="s">
        <v>2406</v>
      </c>
      <c r="F91" s="558" t="s">
        <v>2407</v>
      </c>
      <c r="G91" s="558" t="s">
        <v>2408</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2453</v>
      </c>
      <c r="C93" s="523" t="s">
        <v>2411</v>
      </c>
      <c r="D93" s="523" t="s">
        <v>2412</v>
      </c>
      <c r="E93" s="523" t="s">
        <v>2413</v>
      </c>
      <c r="F93" s="523" t="s">
        <v>2414</v>
      </c>
      <c r="G93" s="523" t="s">
        <v>2415</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2582</v>
      </c>
      <c r="D95" s="523" t="s">
        <v>2583</v>
      </c>
      <c r="E95" s="523" t="s">
        <v>2584</v>
      </c>
      <c r="F95" s="523" t="s">
        <v>2585</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2484</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2551</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2370</v>
      </c>
      <c r="B107" s="510" t="s">
        <v>2586</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2587</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2589</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2590</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估价对象为房地产，为所有。根据《不动产权证书》[]，估价对象建筑面积为15.87平方米，（分摊）出让国有建设用地使用权面积为0平方米。估价对象用途为。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2017年11月23日（评估专业人员实地查勘之日）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本次估价的“房地产价值”是指在正常市场情况下，在价值时点2017年11月23日，估价对象规划用途为，假定未设立法定优先受偿款下的房地产市场价值。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abSelected="1" view="pageBreakPreview" topLeftCell="A4" zoomScale="90" zoomScaleNormal="90" zoomScaleSheetLayoutView="90" workbookViewId="0">
      <selection activeCell="C21" sqref="C21"/>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2598</v>
      </c>
      <c r="B1" s="2511"/>
      <c r="C1" s="163" t="s">
        <v>2599</v>
      </c>
      <c r="D1" s="2512">
        <f>SUM(D29:D30,D33:D39)</f>
        <v>15.87</v>
      </c>
      <c r="E1" s="2512"/>
      <c r="F1" s="2512"/>
      <c r="G1" s="2512"/>
      <c r="H1" s="2512"/>
      <c r="I1" s="2512"/>
      <c r="J1" s="2512"/>
      <c r="L1" s="2513" t="s">
        <v>2600</v>
      </c>
      <c r="M1" s="1120">
        <f>SUMPRODUCT((区片价!B5:B9=I2)*(区片价!C3:F3=E2)*(区片价!C5:F9))</f>
        <v>0</v>
      </c>
      <c r="N1" s="1123">
        <f>SUMPRODUCT((因素修正幅度!B5:B9=I2)*(因素修正幅度!C3:F3=E2)*(因素修正幅度!C5:F9))</f>
        <v>0</v>
      </c>
      <c r="O1" s="1464"/>
      <c r="P1" s="1464"/>
      <c r="Q1" s="1464"/>
      <c r="R1" s="1715" t="s">
        <v>2601</v>
      </c>
      <c r="S1" s="1715" t="s">
        <v>2602</v>
      </c>
      <c r="T1" s="1715" t="s">
        <v>2603</v>
      </c>
      <c r="U1" s="1715" t="s">
        <v>2604</v>
      </c>
      <c r="V1" s="1715" t="s">
        <v>2605</v>
      </c>
      <c r="W1" s="1719"/>
      <c r="X1" s="1719"/>
      <c r="Y1" s="1719"/>
      <c r="Z1" s="1719"/>
      <c r="AA1" s="1719"/>
      <c r="AB1" s="1719"/>
      <c r="AC1" s="1720"/>
      <c r="AD1" s="1721"/>
      <c r="AE1" s="1721"/>
      <c r="AF1" s="1721"/>
      <c r="AG1" s="1721"/>
      <c r="AH1" s="1721"/>
      <c r="AI1" s="1721"/>
      <c r="AJ1" s="1722"/>
    </row>
    <row r="2" spans="1:36" ht="24.75">
      <c r="A2" s="166" t="s">
        <v>2606</v>
      </c>
      <c r="B2" s="169">
        <f ca="1">C26</f>
        <v>351092</v>
      </c>
      <c r="C2" s="2515" t="s">
        <v>2607</v>
      </c>
      <c r="D2" s="2516" t="s">
        <v>2608</v>
      </c>
      <c r="E2" s="2517" t="s">
        <v>2921</v>
      </c>
      <c r="F2" s="2516" t="s">
        <v>2609</v>
      </c>
      <c r="G2" s="2518" t="str">
        <f>项目基本情况!F9</f>
        <v>二级</v>
      </c>
      <c r="H2" s="2519" t="s">
        <v>2610</v>
      </c>
      <c r="I2" s="2518" t="str">
        <f>项目基本情况!F10</f>
        <v>Ⅱ—03</v>
      </c>
      <c r="J2" s="2520"/>
      <c r="L2" s="2521" t="s">
        <v>2611</v>
      </c>
      <c r="M2" s="1121">
        <f>SUMPRODUCT((区片价!B10:B28=I2)*(区片价!C3:F3=E2)*(区片价!C10:F28))</f>
        <v>23180</v>
      </c>
      <c r="N2" s="1124">
        <f>SUMPRODUCT((因素修正幅度!B10:B28=I2)*(因素修正幅度!C3:F3=E2)*(因素修正幅度!C10:F28))</f>
        <v>7.0999999999999994E-2</v>
      </c>
      <c r="O2" s="1464"/>
      <c r="P2" s="1464"/>
      <c r="Q2" s="1464"/>
      <c r="R2" s="1715">
        <v>1</v>
      </c>
      <c r="S2" s="1715">
        <f>ROUND(IF(G3&gt;1,IF(R2&lt;7,SUMPRODUCT((B93:B98=R2)*(C92:N92=G2)*(C93:N98)),SUMIF(C92:N92,G2,C100:N100)),IF(R2&lt;7,SUMPRODUCT((B102:B107=R2)*(C92:N92=G2)*(C102:N107)),SUMIF(C92:N92,G2,C109:N109))),4)</f>
        <v>1.9361999999999999</v>
      </c>
      <c r="T2" s="1715">
        <f ca="1">ROUND($C$5*$C$18*$C$19*$C$20*S2*$C$24,0)</f>
        <v>50842</v>
      </c>
      <c r="U2" s="1716"/>
      <c r="V2" s="1715">
        <f ca="1">ROUND(T2*U2/10000,0)</f>
        <v>0</v>
      </c>
      <c r="W2" s="1719"/>
      <c r="X2" s="1719"/>
      <c r="Y2" s="1719"/>
      <c r="Z2" s="1719"/>
      <c r="AA2" s="1719"/>
      <c r="AB2" s="1719"/>
      <c r="AC2" s="1720"/>
      <c r="AD2" s="1721"/>
      <c r="AE2" s="1721"/>
      <c r="AF2" s="1721"/>
      <c r="AG2" s="1721"/>
      <c r="AH2" s="1721"/>
      <c r="AI2" s="1721"/>
      <c r="AJ2" s="1722"/>
    </row>
    <row r="3" spans="1:36" ht="25.5">
      <c r="A3" s="168" t="s">
        <v>2612</v>
      </c>
      <c r="B3" s="169">
        <f ca="1">ROUND(B2/D1,0)</f>
        <v>22123</v>
      </c>
      <c r="C3" s="2515" t="s">
        <v>2613</v>
      </c>
      <c r="D3" s="2516" t="s">
        <v>2614</v>
      </c>
      <c r="E3" s="2522" t="s">
        <v>2922</v>
      </c>
      <c r="F3" s="2523" t="s">
        <v>2615</v>
      </c>
      <c r="G3" s="942">
        <f>项目基本情况!C15</f>
        <v>8.92</v>
      </c>
      <c r="H3" s="116" t="s">
        <v>2616</v>
      </c>
      <c r="I3" s="975">
        <v>2</v>
      </c>
      <c r="J3" s="2520" t="s">
        <v>2617</v>
      </c>
      <c r="L3" s="2521" t="s">
        <v>2618</v>
      </c>
      <c r="M3" s="1121">
        <f>SUMPRODUCT((区片价!B29:B48=I2)*(区片价!C3:F3=E2)*(区片价!C29:F48))</f>
        <v>0</v>
      </c>
      <c r="N3" s="1124">
        <f>SUMPRODUCT((因素修正幅度!B29:B48=I2)*(因素修正幅度!C3:F3=E2)*(因素修正幅度!C29:F48))</f>
        <v>0</v>
      </c>
      <c r="O3" s="1464"/>
      <c r="P3" s="1464"/>
      <c r="Q3" s="1464"/>
      <c r="R3" s="1715">
        <v>2</v>
      </c>
      <c r="S3" s="1715">
        <f>ROUND(IF(G3&gt;1,IF(R3&lt;7,SUMPRODUCT((B93:B98=R3)*(C92:N92=G2)*(C93:N98)),SUMIF(C92:N92,G2,C100:N100)),IF(R3&lt;7,SUMPRODUCT((B102:B107=R3)*(C92:N92=G2)*(C102:N107)),SUMIF(C92:N92,G2,C109:N109))),4)</f>
        <v>1.4198</v>
      </c>
      <c r="T3" s="1715">
        <f t="shared" ref="T3:T16" ca="1" si="0">ROUND($C$5*$C$18*$C$19*$C$20*S3*$C$24,0)</f>
        <v>37282</v>
      </c>
      <c r="U3" s="1716"/>
      <c r="V3" s="1715">
        <f t="shared" ref="V3:V16" ca="1" si="1">ROUND(T3*U3/10000,0)</f>
        <v>0</v>
      </c>
      <c r="W3" s="1719"/>
      <c r="X3" s="1719"/>
      <c r="Y3" s="1719"/>
      <c r="Z3" s="1719"/>
      <c r="AA3" s="1719"/>
      <c r="AB3" s="1719"/>
      <c r="AC3" s="1720"/>
      <c r="AD3" s="1721"/>
      <c r="AE3" s="1721"/>
      <c r="AF3" s="1721"/>
      <c r="AG3" s="1721"/>
      <c r="AH3" s="1721"/>
      <c r="AI3" s="1721"/>
      <c r="AJ3" s="1722"/>
    </row>
    <row r="4" spans="1:36" ht="15.75">
      <c r="A4" s="3086"/>
      <c r="B4" s="3087"/>
      <c r="C4" s="3087"/>
      <c r="D4" s="3088"/>
      <c r="E4" s="3088"/>
      <c r="F4" s="3088"/>
      <c r="G4" s="3088"/>
      <c r="H4" s="3088"/>
      <c r="I4" s="3088"/>
      <c r="J4" s="3089"/>
      <c r="L4" s="2521" t="s">
        <v>2619</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1.1594</v>
      </c>
      <c r="T4" s="1715">
        <f t="shared" ca="1" si="0"/>
        <v>30444</v>
      </c>
      <c r="U4" s="1716"/>
      <c r="V4" s="1715">
        <f t="shared" ca="1" si="1"/>
        <v>0</v>
      </c>
      <c r="W4" s="1719"/>
      <c r="X4" s="1719"/>
      <c r="Y4" s="1719"/>
      <c r="Z4" s="1719"/>
      <c r="AA4" s="1719"/>
      <c r="AB4" s="1719"/>
      <c r="AC4" s="1720"/>
      <c r="AD4" s="1721"/>
      <c r="AE4" s="1721"/>
      <c r="AF4" s="1721"/>
      <c r="AG4" s="1721"/>
      <c r="AH4" s="1721"/>
      <c r="AI4" s="1721"/>
      <c r="AJ4" s="1722"/>
    </row>
    <row r="5" spans="1:36" s="2533" customFormat="1" ht="15.75" thickBot="1">
      <c r="A5" s="2524" t="s">
        <v>2620</v>
      </c>
      <c r="B5" s="2525" t="s">
        <v>2621</v>
      </c>
      <c r="C5" s="943">
        <f>ROUND(IF(E2="商业",IF(F16="增加",C6*C7+C16,C6*C7-C16),IF(E2="住宅",IF(F16="增加",C6*C12+C16,C6*C12-C16),IF(F16="增加",C6+C16,C6-C16))),0)</f>
        <v>23149</v>
      </c>
      <c r="D5" s="1883">
        <f>ROUND(IF(E2="商业",IF(F16="增加",C6+C16,C6-C16)),0)</f>
        <v>0</v>
      </c>
      <c r="E5" s="2526"/>
      <c r="F5" s="2526"/>
      <c r="G5" s="2527"/>
      <c r="H5" s="2527"/>
      <c r="I5" s="2527"/>
      <c r="J5" s="2528"/>
      <c r="K5" s="2529"/>
      <c r="L5" s="2521" t="s">
        <v>2622</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0.96220000000000006</v>
      </c>
      <c r="T5" s="1715">
        <f t="shared" ca="1" si="0"/>
        <v>25266</v>
      </c>
      <c r="U5" s="1716"/>
      <c r="V5" s="1715">
        <f t="shared" ca="1" si="1"/>
        <v>0</v>
      </c>
      <c r="W5" s="1719"/>
      <c r="X5" s="1719"/>
      <c r="Y5" s="1719"/>
      <c r="Z5" s="1719"/>
      <c r="AA5" s="1719"/>
      <c r="AB5" s="1719"/>
      <c r="AC5" s="2530"/>
      <c r="AD5" s="2531"/>
      <c r="AE5" s="2531"/>
      <c r="AF5" s="2531"/>
      <c r="AG5" s="2531"/>
      <c r="AH5" s="2531"/>
      <c r="AI5" s="2531"/>
      <c r="AJ5" s="2532"/>
    </row>
    <row r="6" spans="1:36" ht="15.75" thickBot="1">
      <c r="A6" s="2534">
        <v>1</v>
      </c>
      <c r="B6" s="2535" t="s">
        <v>2623</v>
      </c>
      <c r="C6" s="944">
        <f>SUMIF(L1:L12,G2,M1:M12)</f>
        <v>23180</v>
      </c>
      <c r="D6" s="2536" t="s">
        <v>2624</v>
      </c>
      <c r="E6" s="2537"/>
      <c r="F6" s="2537"/>
      <c r="G6" s="2538"/>
      <c r="H6" s="2538"/>
      <c r="I6" s="2538"/>
      <c r="J6" s="2539"/>
      <c r="K6" s="2540"/>
      <c r="L6" s="2521" t="s">
        <v>2625</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0.8417</v>
      </c>
      <c r="T6" s="1715">
        <f t="shared" ca="1" si="0"/>
        <v>22102</v>
      </c>
      <c r="U6" s="1716"/>
      <c r="V6" s="1715">
        <f t="shared" ca="1" si="1"/>
        <v>0</v>
      </c>
      <c r="W6" s="1719"/>
      <c r="X6" s="1719"/>
      <c r="Y6" s="1719"/>
      <c r="Z6" s="1719"/>
      <c r="AA6" s="1719"/>
      <c r="AB6" s="1719"/>
      <c r="AC6" s="2530"/>
      <c r="AD6" s="2531"/>
      <c r="AE6" s="2531"/>
      <c r="AF6" s="2531"/>
      <c r="AG6" s="2531"/>
      <c r="AH6" s="2531"/>
      <c r="AI6" s="2531"/>
      <c r="AJ6" s="2532"/>
    </row>
    <row r="7" spans="1:36" ht="24">
      <c r="A7" s="3090" t="str">
        <f>IF(E2="商业",IF(C8="不临58条商业街","",2),"")</f>
        <v/>
      </c>
      <c r="B7" s="2541" t="s">
        <v>2626</v>
      </c>
      <c r="C7" s="945">
        <f>IF(C8="不临58条商业街",1,ROUND(1+(1.6*E8+1.2*E9+0.8*E10+0.4*E11)*C9,4))</f>
        <v>1.25</v>
      </c>
      <c r="D7" s="2542" t="s">
        <v>2627</v>
      </c>
      <c r="E7" s="976">
        <v>60</v>
      </c>
      <c r="F7" s="2543"/>
      <c r="G7" s="2544"/>
      <c r="H7" s="2544"/>
      <c r="I7" s="2544"/>
      <c r="J7" s="2545"/>
      <c r="K7" s="2540"/>
      <c r="L7" s="2521" t="s">
        <v>2628</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0.76080000000000003</v>
      </c>
      <c r="T7" s="1715">
        <f t="shared" ca="1" si="0"/>
        <v>19978</v>
      </c>
      <c r="U7" s="1716"/>
      <c r="V7" s="1715">
        <f t="shared" ca="1" si="1"/>
        <v>0</v>
      </c>
      <c r="W7" s="1911" t="s">
        <v>2629</v>
      </c>
      <c r="X7" s="1717" t="str">
        <f>G2</f>
        <v>二级</v>
      </c>
      <c r="Y7" s="1717" t="s">
        <v>2630</v>
      </c>
      <c r="Z7" s="1718">
        <f>G3</f>
        <v>8.92</v>
      </c>
      <c r="AA7" s="1719"/>
      <c r="AB7" s="1719"/>
      <c r="AC7" s="1720"/>
      <c r="AD7" s="1721"/>
      <c r="AE7" s="1721"/>
      <c r="AF7" s="1721"/>
      <c r="AG7" s="1721"/>
      <c r="AH7" s="1721"/>
      <c r="AI7" s="1721"/>
      <c r="AJ7" s="1722"/>
    </row>
    <row r="8" spans="1:36" ht="15">
      <c r="A8" s="3091"/>
      <c r="B8" s="116" t="s">
        <v>2631</v>
      </c>
      <c r="C8" s="2546" t="s">
        <v>2923</v>
      </c>
      <c r="D8" s="946" t="s">
        <v>89</v>
      </c>
      <c r="E8" s="947">
        <f>ROUND(C11/E7,4)</f>
        <v>0.20830000000000001</v>
      </c>
      <c r="F8" s="2547" t="s">
        <v>2632</v>
      </c>
      <c r="G8" s="2548"/>
      <c r="H8" s="2548"/>
      <c r="I8" s="2548"/>
      <c r="J8" s="2549"/>
      <c r="L8" s="2521" t="s">
        <v>2633</v>
      </c>
      <c r="M8" s="1121">
        <f>SUMPRODUCT((区片价!B206:B244=I2)*(区片价!C3:F3=E2)*(区片价!C206:F244))</f>
        <v>0</v>
      </c>
      <c r="N8" s="1124">
        <f>SUMPRODUCT((因素修正幅度!B206:B244=I2)*(因素修正幅度!C3:F3=E2)*(因素修正幅度!C206:F244))</f>
        <v>0</v>
      </c>
      <c r="O8" s="1464"/>
      <c r="P8" s="1464"/>
      <c r="Q8" s="1464"/>
      <c r="R8" s="1715">
        <v>7</v>
      </c>
      <c r="S8" s="1716"/>
      <c r="T8" s="1715">
        <f t="shared" ca="1" si="0"/>
        <v>0</v>
      </c>
      <c r="U8" s="1716"/>
      <c r="V8" s="1715">
        <f t="shared" ca="1" si="1"/>
        <v>0</v>
      </c>
      <c r="W8" s="3083" t="s">
        <v>2634</v>
      </c>
      <c r="X8" s="3084"/>
      <c r="Y8" s="1723" t="s">
        <v>2635</v>
      </c>
      <c r="Z8" s="1723" t="s">
        <v>2636</v>
      </c>
      <c r="AA8" s="1723" t="s">
        <v>2637</v>
      </c>
      <c r="AB8" s="1723" t="s">
        <v>2638</v>
      </c>
      <c r="AC8" s="1723" t="s">
        <v>2639</v>
      </c>
      <c r="AD8" s="1723" t="s">
        <v>2640</v>
      </c>
      <c r="AE8" s="1723" t="s">
        <v>2641</v>
      </c>
      <c r="AF8" s="1723" t="s">
        <v>2642</v>
      </c>
      <c r="AG8" s="1723" t="s">
        <v>2643</v>
      </c>
      <c r="AH8" s="1723" t="s">
        <v>2644</v>
      </c>
      <c r="AI8" s="1723" t="s">
        <v>2645</v>
      </c>
      <c r="AJ8" s="1723" t="s">
        <v>2646</v>
      </c>
    </row>
    <row r="9" spans="1:36" ht="15">
      <c r="A9" s="3091"/>
      <c r="B9" s="116" t="s">
        <v>2647</v>
      </c>
      <c r="C9" s="948">
        <f>SUMIF(修正!C59:C119,C8,修正!E59:E119)</f>
        <v>0.3</v>
      </c>
      <c r="D9" s="118" t="s">
        <v>90</v>
      </c>
      <c r="E9" s="118">
        <f>ROUND(C11/E7,4)</f>
        <v>0.20830000000000001</v>
      </c>
      <c r="F9" s="2547" t="s">
        <v>2648</v>
      </c>
      <c r="G9" s="2548"/>
      <c r="H9" s="2548"/>
      <c r="I9" s="2548"/>
      <c r="J9" s="2549"/>
      <c r="L9" s="2521" t="s">
        <v>2649</v>
      </c>
      <c r="M9" s="1121">
        <f>SUMPRODUCT((区片价!B245:B289=I2)*(区片价!C3:F3=E2)*(区片价!C245:F289))</f>
        <v>0</v>
      </c>
      <c r="N9" s="1124">
        <f>SUMPRODUCT((因素修正幅度!B245:B289=I2)*(因素修正幅度!C3:F3=E2)*(因素修正幅度!C245:F289))</f>
        <v>0</v>
      </c>
      <c r="O9" s="1464"/>
      <c r="P9" s="1464"/>
      <c r="Q9" s="1464"/>
      <c r="R9" s="1715">
        <v>8</v>
      </c>
      <c r="S9" s="1716"/>
      <c r="T9" s="1715">
        <f t="shared" ca="1" si="0"/>
        <v>0</v>
      </c>
      <c r="U9" s="1716"/>
      <c r="V9" s="1715">
        <f t="shared" ca="1" si="1"/>
        <v>0</v>
      </c>
      <c r="W9" s="3085" t="s">
        <v>2650</v>
      </c>
      <c r="X9" s="1724" t="s">
        <v>2651</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91"/>
      <c r="B10" s="116" t="s">
        <v>2652</v>
      </c>
      <c r="C10" s="118">
        <f>SUMIF(修正!C59:C119,C8,修正!F59:F119)</f>
        <v>50</v>
      </c>
      <c r="D10" s="118" t="s">
        <v>91</v>
      </c>
      <c r="E10" s="118">
        <f>ROUND(C11/E7,4)</f>
        <v>0.20830000000000001</v>
      </c>
      <c r="F10" s="2547" t="s">
        <v>2653</v>
      </c>
      <c r="G10" s="2548"/>
      <c r="H10" s="2548"/>
      <c r="I10" s="2548"/>
      <c r="J10" s="2549"/>
      <c r="L10" s="2521" t="s">
        <v>2654</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f t="shared" ca="1" si="0"/>
        <v>0</v>
      </c>
      <c r="U10" s="1716"/>
      <c r="V10" s="1715">
        <f t="shared" ca="1" si="1"/>
        <v>0</v>
      </c>
      <c r="W10" s="3085"/>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91"/>
      <c r="B11" s="2550" t="s">
        <v>2655</v>
      </c>
      <c r="C11" s="949">
        <f>C10/4</f>
        <v>12.5</v>
      </c>
      <c r="D11" s="949" t="s">
        <v>92</v>
      </c>
      <c r="E11" s="949">
        <f>ROUND(C11/E7,4)</f>
        <v>0.20830000000000001</v>
      </c>
      <c r="F11" s="2551" t="s">
        <v>2656</v>
      </c>
      <c r="G11" s="2552"/>
      <c r="H11" s="2552"/>
      <c r="I11" s="2552"/>
      <c r="J11" s="2553"/>
      <c r="L11" s="2521" t="s">
        <v>2657</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f t="shared" ca="1" si="0"/>
        <v>0</v>
      </c>
      <c r="U11" s="1716"/>
      <c r="V11" s="1715">
        <f t="shared" ca="1" si="1"/>
        <v>0</v>
      </c>
      <c r="W11" s="3085" t="s">
        <v>2658</v>
      </c>
      <c r="X11" s="1728" t="s">
        <v>2659</v>
      </c>
      <c r="Y11" s="1729">
        <f>$G$3</f>
        <v>8.92</v>
      </c>
      <c r="Z11" s="1729">
        <f t="shared" ref="Z11:AJ11" si="3">$G$3</f>
        <v>8.92</v>
      </c>
      <c r="AA11" s="1729">
        <f t="shared" si="3"/>
        <v>8.92</v>
      </c>
      <c r="AB11" s="1729">
        <f t="shared" si="3"/>
        <v>8.92</v>
      </c>
      <c r="AC11" s="1729">
        <f t="shared" si="3"/>
        <v>8.92</v>
      </c>
      <c r="AD11" s="1729">
        <f t="shared" si="3"/>
        <v>8.92</v>
      </c>
      <c r="AE11" s="1729">
        <f t="shared" si="3"/>
        <v>8.92</v>
      </c>
      <c r="AF11" s="1729">
        <f t="shared" si="3"/>
        <v>8.92</v>
      </c>
      <c r="AG11" s="1729">
        <f t="shared" si="3"/>
        <v>8.92</v>
      </c>
      <c r="AH11" s="1729">
        <f t="shared" si="3"/>
        <v>8.92</v>
      </c>
      <c r="AI11" s="1729">
        <f t="shared" si="3"/>
        <v>8.92</v>
      </c>
      <c r="AJ11" s="1729">
        <f t="shared" si="3"/>
        <v>8.92</v>
      </c>
    </row>
    <row r="12" spans="1:36" ht="25.5" thickBot="1">
      <c r="A12" s="3090" t="str">
        <f>IF(E2="住宅",2,"")</f>
        <v/>
      </c>
      <c r="B12" s="2554" t="s">
        <v>2660</v>
      </c>
      <c r="C12" s="945">
        <f>ROUND(C15*D15*E15*F15*G15*H15*I15*J15,4)</f>
        <v>1.452</v>
      </c>
      <c r="D12" s="2555" t="s">
        <v>2661</v>
      </c>
      <c r="E12" s="2556"/>
      <c r="F12" s="2556"/>
      <c r="G12" s="2557"/>
      <c r="H12" s="2557"/>
      <c r="I12" s="2557"/>
      <c r="J12" s="2558"/>
      <c r="L12" s="2559" t="s">
        <v>2662</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f t="shared" ca="1" si="0"/>
        <v>0</v>
      </c>
      <c r="U12" s="1716"/>
      <c r="V12" s="1715">
        <f t="shared" ca="1" si="1"/>
        <v>0</v>
      </c>
      <c r="W12" s="3085"/>
      <c r="X12" s="1730" t="s">
        <v>2663</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92"/>
      <c r="B13" s="2560" t="s">
        <v>2664</v>
      </c>
      <c r="C13" s="2561" t="s">
        <v>2665</v>
      </c>
      <c r="D13" s="2562" t="s">
        <v>2666</v>
      </c>
      <c r="E13" s="2562" t="s">
        <v>2667</v>
      </c>
      <c r="F13" s="20" t="s">
        <v>2668</v>
      </c>
      <c r="G13" s="2563" t="s">
        <v>2669</v>
      </c>
      <c r="H13" s="2563" t="s">
        <v>2669</v>
      </c>
      <c r="I13" s="2563" t="s">
        <v>2669</v>
      </c>
      <c r="J13" s="2564" t="s">
        <v>2669</v>
      </c>
      <c r="L13" s="1464"/>
      <c r="M13" s="1464"/>
      <c r="N13" s="1464"/>
      <c r="O13" s="1464"/>
      <c r="P13" s="1464"/>
      <c r="Q13" s="1464"/>
      <c r="R13" s="1715">
        <v>12</v>
      </c>
      <c r="S13" s="1716"/>
      <c r="T13" s="1715">
        <f t="shared" ca="1" si="0"/>
        <v>0</v>
      </c>
      <c r="U13" s="1716"/>
      <c r="V13" s="1715">
        <f t="shared" ca="1" si="1"/>
        <v>0</v>
      </c>
      <c r="W13" s="3085"/>
      <c r="X13" s="1730"/>
      <c r="Y13" s="1727">
        <f>(-0.163*(Y12^2)-0.59*Y12+7617)*(10^(-4))/Y11</f>
        <v>8.5392376681614354E-2</v>
      </c>
      <c r="Z13" s="1727">
        <f t="shared" ref="Z13:AJ13" si="5">(-0.163*(Z12^2)-0.59*Z12+7617)*(10^(-4))/Z11</f>
        <v>8.5392376681614354E-2</v>
      </c>
      <c r="AA13" s="1727">
        <f t="shared" si="5"/>
        <v>8.5392376681614354E-2</v>
      </c>
      <c r="AB13" s="1727">
        <f t="shared" si="5"/>
        <v>8.5392376681614354E-2</v>
      </c>
      <c r="AC13" s="1727">
        <f t="shared" si="5"/>
        <v>8.5392376681614354E-2</v>
      </c>
      <c r="AD13" s="1727">
        <f t="shared" si="5"/>
        <v>8.5392376681614354E-2</v>
      </c>
      <c r="AE13" s="1727">
        <f t="shared" si="5"/>
        <v>8.5392376681614354E-2</v>
      </c>
      <c r="AF13" s="1727">
        <f t="shared" si="5"/>
        <v>8.5392376681614354E-2</v>
      </c>
      <c r="AG13" s="1727">
        <f t="shared" si="5"/>
        <v>8.5392376681614354E-2</v>
      </c>
      <c r="AH13" s="1727">
        <f t="shared" si="5"/>
        <v>8.5392376681614354E-2</v>
      </c>
      <c r="AI13" s="1727">
        <f t="shared" si="5"/>
        <v>8.5392376681614354E-2</v>
      </c>
      <c r="AJ13" s="1727">
        <f t="shared" si="5"/>
        <v>8.5392376681614354E-2</v>
      </c>
    </row>
    <row r="14" spans="1:36" ht="15">
      <c r="A14" s="3092"/>
      <c r="B14" s="2565"/>
      <c r="C14" s="2566" t="s">
        <v>2670</v>
      </c>
      <c r="D14" s="2567" t="s">
        <v>2671</v>
      </c>
      <c r="E14" s="2567" t="s">
        <v>2931</v>
      </c>
      <c r="F14" s="2568" t="s">
        <v>2672</v>
      </c>
      <c r="G14" s="2569" t="s">
        <v>2673</v>
      </c>
      <c r="H14" s="2570"/>
      <c r="I14" s="2571"/>
      <c r="J14" s="2572"/>
      <c r="L14" s="1464"/>
      <c r="M14" s="1464"/>
      <c r="N14" s="1464"/>
      <c r="O14" s="1464"/>
      <c r="P14" s="1464"/>
      <c r="Q14" s="1464"/>
      <c r="R14" s="1715">
        <v>13</v>
      </c>
      <c r="S14" s="1716"/>
      <c r="T14" s="1715">
        <f t="shared" ca="1" si="0"/>
        <v>0</v>
      </c>
      <c r="U14" s="1716"/>
      <c r="V14" s="1715">
        <f t="shared" ca="1" si="1"/>
        <v>0</v>
      </c>
      <c r="W14" s="1719"/>
      <c r="X14" s="1719"/>
      <c r="Y14" s="1719"/>
      <c r="Z14" s="1719"/>
      <c r="AA14" s="1719"/>
      <c r="AB14" s="1719"/>
      <c r="AC14" s="1720"/>
      <c r="AD14" s="1721"/>
      <c r="AE14" s="1721"/>
      <c r="AF14" s="1721"/>
      <c r="AG14" s="1721"/>
      <c r="AH14" s="1721"/>
      <c r="AI14" s="1721"/>
      <c r="AJ14" s="1722"/>
    </row>
    <row r="15" spans="1:36" ht="15.75" thickBot="1">
      <c r="A15" s="3093"/>
      <c r="B15" s="2573" t="s">
        <v>2674</v>
      </c>
      <c r="C15" s="151">
        <f>IF(C14="有",1.1,1)</f>
        <v>1.1000000000000001</v>
      </c>
      <c r="D15" s="151">
        <f>IF(D14="有",1.1,1)</f>
        <v>1</v>
      </c>
      <c r="E15" s="151">
        <f>IF(E14="有",1.1,1)</f>
        <v>1.1000000000000001</v>
      </c>
      <c r="F15" s="151">
        <f>IF(F14="500米范围内",1.2,IF(F14="500-1000米",1.1,1))</f>
        <v>1.2</v>
      </c>
      <c r="G15" s="977">
        <v>1</v>
      </c>
      <c r="H15" s="977">
        <v>1</v>
      </c>
      <c r="I15" s="977">
        <v>1</v>
      </c>
      <c r="J15" s="978">
        <v>1</v>
      </c>
      <c r="L15" s="2574" t="s">
        <v>2675</v>
      </c>
      <c r="M15" s="946" t="s">
        <v>2676</v>
      </c>
      <c r="N15" s="946" t="s">
        <v>2677</v>
      </c>
      <c r="O15" s="946" t="s">
        <v>2678</v>
      </c>
      <c r="P15" s="2575" t="s">
        <v>2679</v>
      </c>
      <c r="Q15" s="1464"/>
      <c r="R15" s="1715">
        <v>14</v>
      </c>
      <c r="S15" s="1716"/>
      <c r="T15" s="1715">
        <f t="shared" ca="1" si="0"/>
        <v>0</v>
      </c>
      <c r="U15" s="1716"/>
      <c r="V15" s="1715">
        <f t="shared" ca="1" si="1"/>
        <v>0</v>
      </c>
      <c r="W15" s="1719"/>
      <c r="X15" s="1719"/>
      <c r="Y15" s="1719"/>
      <c r="Z15" s="1719"/>
      <c r="AA15" s="1719"/>
      <c r="AB15" s="1719"/>
      <c r="AC15" s="1720"/>
      <c r="AD15" s="1721"/>
      <c r="AE15" s="1721"/>
      <c r="AF15" s="1721"/>
      <c r="AG15" s="1721"/>
      <c r="AH15" s="1721"/>
      <c r="AI15" s="1721"/>
      <c r="AJ15" s="1722"/>
    </row>
    <row r="16" spans="1:36" ht="24">
      <c r="A16" s="3090">
        <f>IF(E2="办公",2,IF(E2="工业",2,IF(E2="住宅",3,IF(E2="商业",IF(C8="不临58条商业街",2,3)))))</f>
        <v>2</v>
      </c>
      <c r="B16" s="2541" t="s">
        <v>2680</v>
      </c>
      <c r="C16" s="1891">
        <f>ROUND(SUM(G17:J17)/C17,0)</f>
        <v>31</v>
      </c>
      <c r="D16" s="2576" t="s">
        <v>2681</v>
      </c>
      <c r="E16" s="2577" t="s">
        <v>2932</v>
      </c>
      <c r="F16" s="2578" t="s">
        <v>2924</v>
      </c>
      <c r="G16" s="2579" t="s">
        <v>2925</v>
      </c>
      <c r="H16" s="2579" t="s">
        <v>2926</v>
      </c>
      <c r="I16" s="2579"/>
      <c r="J16" s="2580"/>
      <c r="L16" s="1462" t="s">
        <v>2682</v>
      </c>
      <c r="M16" s="948">
        <v>0.25</v>
      </c>
      <c r="N16" s="948">
        <v>0.2</v>
      </c>
      <c r="O16" s="948">
        <v>0.15</v>
      </c>
      <c r="P16" s="1463">
        <v>0.1</v>
      </c>
      <c r="Q16" s="1464"/>
      <c r="R16" s="1715">
        <v>15</v>
      </c>
      <c r="S16" s="1716"/>
      <c r="T16" s="1715">
        <f t="shared" ca="1" si="0"/>
        <v>0</v>
      </c>
      <c r="U16" s="1716"/>
      <c r="V16" s="1715">
        <f t="shared" ca="1" si="1"/>
        <v>0</v>
      </c>
      <c r="W16" s="1719"/>
      <c r="X16" s="1719"/>
      <c r="Y16" s="1719"/>
      <c r="Z16" s="1719"/>
      <c r="AA16" s="1719"/>
      <c r="AB16" s="1719"/>
      <c r="AC16" s="1720"/>
      <c r="AD16" s="1721"/>
      <c r="AE16" s="1721"/>
      <c r="AF16" s="1721"/>
      <c r="AG16" s="1721"/>
      <c r="AH16" s="1721"/>
      <c r="AI16" s="1721"/>
      <c r="AJ16" s="1722"/>
    </row>
    <row r="17" spans="1:37" ht="13.5" thickBot="1">
      <c r="A17" s="3091"/>
      <c r="B17" s="2581" t="s">
        <v>2683</v>
      </c>
      <c r="C17" s="950">
        <f>SUMPRODUCT((修正!A2:A5=E2)*(修正!B1:M1=G2)*(修正!B2:M5))</f>
        <v>3.5</v>
      </c>
      <c r="D17" s="2582" t="s">
        <v>2684</v>
      </c>
      <c r="E17" s="949" t="str">
        <f>IF(OR(G2="八级",G2="九级",G2="十级",G2="十一级",G2="十二级"),"五通一平","七通一平")</f>
        <v>七通一平</v>
      </c>
      <c r="F17" s="950" t="s">
        <v>2685</v>
      </c>
      <c r="G17" s="950">
        <f>SUMPRODUCT((七通一平=G16)*(修正!B1:M1=G2)*(修正!B6:M14))</f>
        <v>50</v>
      </c>
      <c r="H17" s="950">
        <f>SUMPRODUCT((七通一平=H16)*(修正!B1:M1=G2)*(修正!B6:M14))</f>
        <v>60</v>
      </c>
      <c r="I17" s="950">
        <f>SUMPRODUCT((七通一平=I16)*(修正!B1:M1=G2)*(修正!B6:M14))</f>
        <v>0</v>
      </c>
      <c r="J17" s="951">
        <f>SUMPRODUCT((七通一平=J16)*(修正!B1:M1=G2)*(修正!B6:M14))</f>
        <v>0</v>
      </c>
      <c r="L17" s="1466" t="s">
        <v>2686</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2687</v>
      </c>
      <c r="B18" s="2584" t="s">
        <v>2688</v>
      </c>
      <c r="C18" s="952">
        <f>SUMIF(修正!C18:C39,E3,修正!E18:E39)</f>
        <v>1</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9.25" thickBot="1">
      <c r="A19" s="2583" t="s">
        <v>2689</v>
      </c>
      <c r="B19" s="2584" t="s">
        <v>2690</v>
      </c>
      <c r="C19" s="953">
        <f>ROUND(IF(H19="按公示增长率计算",SUMPRODUCT((地价!A3:A19=YEAR(G19)&amp;"-"&amp;ROUNDUP(MONTH(G19)/3,0))*(地价!X2:AB2=E2)*(地价!X3:AB19)),IF(H19="地价指数",M20/M19,(1+I19)^O19)),4)</f>
        <v>1.2401</v>
      </c>
      <c r="D19" s="2592" t="s">
        <v>2691</v>
      </c>
      <c r="E19" s="954">
        <v>41640</v>
      </c>
      <c r="F19" s="2592" t="s">
        <v>2692</v>
      </c>
      <c r="G19" s="955">
        <f>'数据-取费表'!B2</f>
        <v>43062</v>
      </c>
      <c r="H19" s="2593" t="s">
        <v>2929</v>
      </c>
      <c r="I19" s="956" t="str">
        <f>IF(H19="季度增幅（自定义）",SUMIF(N21:N24,E2,O21:O24),"")</f>
        <v/>
      </c>
      <c r="J19" s="2589"/>
      <c r="K19" s="2590"/>
      <c r="L19" s="2594" t="s">
        <v>2693</v>
      </c>
      <c r="M19" s="1832">
        <f>ROUND(SUMIF(地价!B2:F2,E2,地价!B19:F19),0)</f>
        <v>258</v>
      </c>
      <c r="N19" s="1468" t="s">
        <v>2694</v>
      </c>
      <c r="O19" s="957">
        <f>ROUNDDOWN(DATEDIF(E19,G19,"M")/3,0)</f>
        <v>15</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2695</v>
      </c>
      <c r="B20" s="2599" t="s">
        <v>2696</v>
      </c>
      <c r="C20" s="958">
        <f ca="1">ROUND(POWER(1+G20,J20-I20)*(POWER(1+G20,I20)-1)/(POWER(1+G20,J20)-1),4)</f>
        <v>0.88849999999999996</v>
      </c>
      <c r="D20" s="2600" t="s">
        <v>2697</v>
      </c>
      <c r="E20" s="1862">
        <f ca="1">存贷款利率!D4/100</f>
        <v>4.3499999999999997E-2</v>
      </c>
      <c r="F20" s="2600" t="s">
        <v>2686</v>
      </c>
      <c r="G20" s="964">
        <f ca="1">SUMIF(M15:P15,E2,M17:P17)</f>
        <v>5.1999999999999998E-2</v>
      </c>
      <c r="H20" s="2600" t="s">
        <v>2698</v>
      </c>
      <c r="I20" s="965">
        <f>'数据-取费表'!B13</f>
        <v>33.61</v>
      </c>
      <c r="J20" s="966">
        <f>IF(E2="住宅",70,IF(E2="商业",40,50))</f>
        <v>50</v>
      </c>
      <c r="K20" s="2590"/>
      <c r="L20" s="2601" t="s">
        <v>2699</v>
      </c>
      <c r="M20" s="1833">
        <f>ROUND(SUMPRODUCT((地价!A4:A19=YEAR(G19)&amp;"-"&amp;ROUNDUP(MONTH(G19)/3,0))*(地价!B2:F2=E2)*(地价!B4:F19)),0)</f>
        <v>0</v>
      </c>
      <c r="N20" s="2602" t="s">
        <v>2700</v>
      </c>
      <c r="O20" s="2603" t="s">
        <v>2701</v>
      </c>
      <c r="P20" s="2604" t="s">
        <v>2702</v>
      </c>
      <c r="R20" s="1464"/>
      <c r="S20" s="1464"/>
      <c r="T20" s="1464"/>
      <c r="U20" s="1464"/>
      <c r="V20" s="1464"/>
      <c r="W20" s="1464"/>
      <c r="X20" s="1464"/>
      <c r="Y20" s="1464"/>
      <c r="Z20" s="1464"/>
      <c r="AA20" s="1464"/>
      <c r="AB20" s="1464"/>
      <c r="AC20" s="1464"/>
      <c r="AD20" s="1464"/>
      <c r="AE20" s="2590"/>
      <c r="AF20" s="2590"/>
    </row>
    <row r="21" spans="1:37" s="2533" customFormat="1" ht="15">
      <c r="A21" s="2605" t="s">
        <v>2703</v>
      </c>
      <c r="B21" s="2606" t="s">
        <v>2927</v>
      </c>
      <c r="C21" s="967">
        <f>IF(B21="容积率修正",IF(G3&lt;=10,D22,J22),C23)</f>
        <v>0.84250000000000003</v>
      </c>
      <c r="D21" s="2607"/>
      <c r="E21" s="2607"/>
      <c r="F21" s="2607"/>
      <c r="G21" s="2607"/>
      <c r="H21" s="2607"/>
      <c r="I21" s="2607"/>
      <c r="J21" s="2608"/>
      <c r="K21" s="2590"/>
      <c r="N21" s="2609" t="s">
        <v>2704</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2705</v>
      </c>
      <c r="C22" s="1905" t="s">
        <v>2706</v>
      </c>
      <c r="D22" s="1905">
        <f>IF(E22=G22,F22,IF(G3&lt;=10,ROUND(F22+(H22-F22)*(G3-E22)/(G22-E22),4),"——"))</f>
        <v>0.84250000000000003</v>
      </c>
      <c r="E22" s="942">
        <f>ROUNDDOWN(G3,1)</f>
        <v>8.9</v>
      </c>
      <c r="F22" s="19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0.84279999999999999</v>
      </c>
      <c r="G22" s="942">
        <f>ROUNDUP(G3,1)</f>
        <v>9</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0.84150000000000003</v>
      </c>
      <c r="I22" s="1905" t="s">
        <v>104</v>
      </c>
      <c r="J22" s="968" t="str">
        <f>IF(G3&gt;10,D113,"——")</f>
        <v>——</v>
      </c>
      <c r="K22" s="2590"/>
      <c r="N22" s="2609" t="s">
        <v>2707</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0"/>
      <c r="AF22" s="2590"/>
    </row>
    <row r="23" spans="1:37" ht="27">
      <c r="A23" s="2610">
        <v>2</v>
      </c>
      <c r="B23" s="2611" t="s">
        <v>2708</v>
      </c>
      <c r="C23" s="959">
        <f>ROUND(IF(G3&gt;1,IF(I3&lt;7,SUMPRODUCT((B93:B98=I3)*(C92:N92=G2)*(C93:N98)),SUMIF(C92:N92,G2,C100:N100)),IF(I3&lt;7,SUMPRODUCT((B102:B107=I3)*(C92:N92=G2)*(C102:N107)),SUMIF(C92:N92,G2,C109:N109))),4)</f>
        <v>1.4198</v>
      </c>
      <c r="D23" s="2570"/>
      <c r="E23" s="2570"/>
      <c r="F23" s="2612"/>
      <c r="G23" s="2613"/>
      <c r="H23" s="2614"/>
      <c r="I23" s="2615"/>
      <c r="J23" s="2616"/>
      <c r="N23" s="2609" t="s">
        <v>2709</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2710</v>
      </c>
      <c r="B24" s="2618" t="s">
        <v>2711</v>
      </c>
      <c r="C24" s="969">
        <f>SUMIF(A46:A88,E2,B46:B88)</f>
        <v>1.0295000000000001</v>
      </c>
      <c r="D24" s="2619"/>
      <c r="E24" s="2620"/>
      <c r="F24" s="2620"/>
      <c r="G24" s="2620"/>
      <c r="H24" s="2620"/>
      <c r="I24" s="2620"/>
      <c r="J24" s="2621"/>
      <c r="K24" s="2590"/>
      <c r="N24" s="2622" t="s">
        <v>2712</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0"/>
      <c r="AF24" s="2590"/>
    </row>
    <row r="25" spans="1:37" ht="15" thickBot="1">
      <c r="A25" s="2598" t="s">
        <v>2713</v>
      </c>
      <c r="B25" s="2623" t="s">
        <v>2714</v>
      </c>
      <c r="C25" s="960"/>
      <c r="D25" s="2544"/>
      <c r="E25" s="2544"/>
      <c r="F25" s="2624"/>
      <c r="G25" s="2544"/>
      <c r="H25" s="2544"/>
      <c r="I25" s="2544"/>
      <c r="J25" s="2545"/>
      <c r="L25" s="1464"/>
      <c r="M25" s="1464"/>
      <c r="N25" s="2625" t="s">
        <v>2715</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6"/>
      <c r="B26" s="2611" t="s">
        <v>2716</v>
      </c>
      <c r="C26" s="124">
        <f ca="1">E29+SUM(E33:E39)</f>
        <v>351092</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2717</v>
      </c>
      <c r="C27" s="961">
        <f ca="1">E30+SUM(I33:I39)</f>
        <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2718</v>
      </c>
      <c r="C28" s="2636" t="s">
        <v>2719</v>
      </c>
      <c r="D28" s="2636" t="s">
        <v>2720</v>
      </c>
      <c r="E28" s="2637" t="s">
        <v>2721</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2722</v>
      </c>
      <c r="C29" s="124">
        <f ca="1">ROUND(C5*C18*C19*C20*C21*C24,0)</f>
        <v>22123</v>
      </c>
      <c r="D29" s="2641">
        <v>15.87</v>
      </c>
      <c r="E29" s="973">
        <f ca="1">ROUND(C29*D29,0)</f>
        <v>351092</v>
      </c>
      <c r="F29" s="2642" t="s">
        <v>2723</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2724</v>
      </c>
      <c r="C30" s="151">
        <f ca="1">ROUND(IF(E2="工业",C29*M39,C29*M38),0)</f>
        <v>5531</v>
      </c>
      <c r="D30" s="2647"/>
      <c r="E30" s="973">
        <f ca="1">ROUND(C30*D30,0)</f>
        <v>0</v>
      </c>
      <c r="F30" s="2648" t="s">
        <v>2725</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hidden="1">
      <c r="A31" s="2651"/>
      <c r="B31" s="2652" t="s">
        <v>2726</v>
      </c>
      <c r="C31" s="2653" t="s">
        <v>2727</v>
      </c>
      <c r="D31" s="2557"/>
      <c r="E31" s="2653"/>
      <c r="F31" s="2653"/>
      <c r="G31" s="2555" t="s">
        <v>2728</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hidden="1">
      <c r="A32" s="2639"/>
      <c r="B32" s="2655"/>
      <c r="C32" s="483" t="s">
        <v>2719</v>
      </c>
      <c r="D32" s="480" t="s">
        <v>2720</v>
      </c>
      <c r="E32" s="480" t="s">
        <v>2721</v>
      </c>
      <c r="F32" s="368" t="s">
        <v>2729</v>
      </c>
      <c r="G32" s="959" t="s">
        <v>2719</v>
      </c>
      <c r="H32" s="959" t="s">
        <v>2720</v>
      </c>
      <c r="I32" s="959" t="s">
        <v>2721</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hidden="1">
      <c r="A33" s="3102" t="s">
        <v>2730</v>
      </c>
      <c r="B33" s="2656" t="s">
        <v>2731</v>
      </c>
      <c r="C33" s="124">
        <f ca="1">ROUND(D5*C19*C20*C24*F33,0)</f>
        <v>0</v>
      </c>
      <c r="D33" s="2641"/>
      <c r="E33" s="118">
        <f t="shared" ref="E33:E39" ca="1" si="6">ROUND(C33*D33,0)</f>
        <v>0</v>
      </c>
      <c r="F33" s="118">
        <f>SUMIF(修正!A45:A56,G2,修正!B45:B56)</f>
        <v>0.8</v>
      </c>
      <c r="G33" s="118">
        <f t="shared" ref="G33:G39" ca="1" si="7">ROUND(IF(E2="工业",C33*$M$39,C33*$M$38),0)</f>
        <v>0</v>
      </c>
      <c r="H33" s="118">
        <f>D33</f>
        <v>0</v>
      </c>
      <c r="I33" s="118">
        <f t="shared" ref="I33:I39" ca="1" si="8">ROUND(G33*H33,0)</f>
        <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hidden="1">
      <c r="A34" s="3103"/>
      <c r="B34" s="2561" t="s">
        <v>2732</v>
      </c>
      <c r="C34" s="124">
        <f ca="1">ROUND(D5*C19*C20*C24*F34,0)</f>
        <v>0</v>
      </c>
      <c r="D34" s="2641"/>
      <c r="E34" s="118">
        <f t="shared" ca="1" si="6"/>
        <v>0</v>
      </c>
      <c r="F34" s="118">
        <f>SUMIF(修正!A45:A56,G2,修正!C45:C56)</f>
        <v>0.5</v>
      </c>
      <c r="G34" s="118">
        <f t="shared" ca="1" si="7"/>
        <v>0</v>
      </c>
      <c r="H34" s="118">
        <f t="shared" ref="H34:H39" si="9">D34</f>
        <v>0</v>
      </c>
      <c r="I34" s="118">
        <f t="shared" ca="1" si="8"/>
        <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hidden="1">
      <c r="A35" s="3103"/>
      <c r="B35" s="2561" t="s">
        <v>2733</v>
      </c>
      <c r="C35" s="124">
        <f ca="1">ROUND(D5*C19*C20*C24*F35,0)</f>
        <v>0</v>
      </c>
      <c r="D35" s="2641"/>
      <c r="E35" s="118">
        <f t="shared" ca="1" si="6"/>
        <v>0</v>
      </c>
      <c r="F35" s="118">
        <f>SUMIF(修正!A45:A56,G2,修正!D45:D56)</f>
        <v>0.36</v>
      </c>
      <c r="G35" s="118">
        <f t="shared" ca="1" si="7"/>
        <v>0</v>
      </c>
      <c r="H35" s="118">
        <f t="shared" si="9"/>
        <v>0</v>
      </c>
      <c r="I35" s="118">
        <f t="shared" ca="1" si="8"/>
        <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hidden="1" thickBot="1">
      <c r="A36" s="3104"/>
      <c r="B36" s="2561" t="s">
        <v>2734</v>
      </c>
      <c r="C36" s="124">
        <f ca="1">ROUND(D5*C19*C20*C24*F36,0)</f>
        <v>0</v>
      </c>
      <c r="D36" s="2641"/>
      <c r="E36" s="118">
        <f t="shared" ca="1" si="6"/>
        <v>0</v>
      </c>
      <c r="F36" s="118">
        <f>SUMIF(修正!A45:A56,G2,修正!E45:E56)</f>
        <v>0.3</v>
      </c>
      <c r="G36" s="118">
        <f t="shared" ca="1" si="7"/>
        <v>0</v>
      </c>
      <c r="H36" s="118">
        <f t="shared" si="9"/>
        <v>0</v>
      </c>
      <c r="I36" s="118">
        <f t="shared" ca="1" si="8"/>
        <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hidden="1">
      <c r="A37" s="2659"/>
      <c r="B37" s="2561" t="s">
        <v>2735</v>
      </c>
      <c r="C37" s="118">
        <f ca="1">ROUND(C5*C19*C20*C24*F37,0)</f>
        <v>7878</v>
      </c>
      <c r="D37" s="2641"/>
      <c r="E37" s="118">
        <f t="shared" ca="1" si="6"/>
        <v>0</v>
      </c>
      <c r="F37" s="124">
        <f>SUMIF(修正!A45:A56,G2,修正!F45:F56)</f>
        <v>0.3</v>
      </c>
      <c r="G37" s="118">
        <f t="shared" ca="1" si="7"/>
        <v>1970</v>
      </c>
      <c r="H37" s="118">
        <f t="shared" si="9"/>
        <v>0</v>
      </c>
      <c r="I37" s="118">
        <f t="shared" ca="1" si="8"/>
        <v>0</v>
      </c>
      <c r="J37" s="2657"/>
      <c r="L37" s="2660" t="s">
        <v>2736</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hidden="1">
      <c r="A38" s="2659"/>
      <c r="B38" s="2561" t="s">
        <v>2737</v>
      </c>
      <c r="C38" s="118">
        <f ca="1">ROUND(C5*C19*C20*C24*F38,0)</f>
        <v>7878</v>
      </c>
      <c r="D38" s="2641"/>
      <c r="E38" s="118">
        <f t="shared" ca="1" si="6"/>
        <v>0</v>
      </c>
      <c r="F38" s="124">
        <f>SUMIF(修正!A45:A56,G2,修正!G45:G56)</f>
        <v>0.3</v>
      </c>
      <c r="G38" s="118">
        <f t="shared" ca="1" si="7"/>
        <v>1970</v>
      </c>
      <c r="H38" s="118">
        <f t="shared" si="9"/>
        <v>0</v>
      </c>
      <c r="I38" s="118">
        <f t="shared" ca="1" si="8"/>
        <v>0</v>
      </c>
      <c r="J38" s="2657"/>
      <c r="L38" s="2661" t="s">
        <v>2738</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hidden="1" thickBot="1">
      <c r="A39" s="2645"/>
      <c r="B39" s="2663" t="s">
        <v>2739</v>
      </c>
      <c r="C39" s="151">
        <f ca="1">ROUND(C5*C19*C20*C24*F39,0)</f>
        <v>6565</v>
      </c>
      <c r="D39" s="2647"/>
      <c r="E39" s="151">
        <f t="shared" ca="1" si="6"/>
        <v>0</v>
      </c>
      <c r="F39" s="962">
        <f>SUMIF(修正!A45:A56,G2,修正!H45:H56)</f>
        <v>0.25</v>
      </c>
      <c r="G39" s="151">
        <f t="shared" ca="1" si="7"/>
        <v>1641</v>
      </c>
      <c r="H39" s="151">
        <f t="shared" si="9"/>
        <v>0</v>
      </c>
      <c r="I39" s="151">
        <f t="shared" ca="1" si="8"/>
        <v>0</v>
      </c>
      <c r="J39" s="2664"/>
      <c r="L39" s="2665" t="s">
        <v>2679</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hidden="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hidden="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hidden="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2740</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hidden="1">
      <c r="A46" s="2672" t="s">
        <v>2741</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hidden="1">
      <c r="A47" s="2677" t="s">
        <v>2742</v>
      </c>
      <c r="B47" s="824" t="s">
        <v>2743</v>
      </c>
      <c r="C47" s="824" t="s">
        <v>2744</v>
      </c>
      <c r="D47" s="824" t="s">
        <v>2745</v>
      </c>
      <c r="E47" s="825" t="s">
        <v>2746</v>
      </c>
      <c r="F47" s="2678" t="s">
        <v>2747</v>
      </c>
      <c r="G47" s="824" t="s">
        <v>2748</v>
      </c>
      <c r="H47" s="2679" t="s">
        <v>2749</v>
      </c>
      <c r="I47" s="824" t="s">
        <v>2750</v>
      </c>
      <c r="J47" s="588" t="s">
        <v>2751</v>
      </c>
      <c r="K47" s="588" t="s">
        <v>2752</v>
      </c>
      <c r="L47" s="588" t="s">
        <v>2753</v>
      </c>
      <c r="M47" s="588" t="s">
        <v>2754</v>
      </c>
      <c r="N47" s="588" t="s">
        <v>2755</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hidden="1">
      <c r="A48" s="2677" t="s">
        <v>2756</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hidden="1">
      <c r="A49" s="2677" t="s">
        <v>2757</v>
      </c>
      <c r="B49" s="2681" t="str">
        <f>估价对象房地状况!C18</f>
        <v>估价对象紧邻城市主干道——中关村大街，临近地铁4号线（中关村站）；以估价对象为中心半径2公里范围内有302路、307路、320路、332路、355路等二十余条公交线路，综合评价交通便捷度好</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hidden="1">
      <c r="A50" s="2677" t="s">
        <v>2758</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hidden="1">
      <c r="A51" s="2677" t="s">
        <v>2759</v>
      </c>
      <c r="B51" s="2682" t="s">
        <v>2760</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5.5" hidden="1">
      <c r="A52" s="2677" t="s">
        <v>2761</v>
      </c>
      <c r="B52" s="2681" t="str">
        <f>估价对象房地状况!C24</f>
        <v>城市主干道——中关村大街</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hidden="1">
      <c r="A53" s="2677" t="s">
        <v>2762</v>
      </c>
      <c r="B53" s="2683" t="s">
        <v>2763</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hidden="1">
      <c r="A54" s="2684" t="s">
        <v>2764</v>
      </c>
      <c r="B54" s="2685" t="str">
        <f>估价对象房地状况!C21</f>
        <v>估价对象所在区域公共配套设施齐备情况好</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hidden="1">
      <c r="A55" s="2684" t="s">
        <v>2765</v>
      </c>
      <c r="B55" s="2681" t="str">
        <f>估价对象房地状况!C22</f>
        <v>估价对象所在区域基础设施水平——五通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39" hidden="1" thickBot="1">
      <c r="A56" s="2686" t="s">
        <v>2766</v>
      </c>
      <c r="B56" s="2687" t="str">
        <f>估价对象房地状况!C20</f>
        <v>自然环境：海淀公园等；人文环境：北京大学等，综合评价环境状况较好</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2767</v>
      </c>
      <c r="B57" s="2688">
        <f>1+E59</f>
        <v>1.0295000000000001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2742</v>
      </c>
      <c r="B58" s="2681"/>
      <c r="C58" s="824" t="s">
        <v>2744</v>
      </c>
      <c r="D58" s="824" t="s">
        <v>2745</v>
      </c>
      <c r="E58" s="825" t="s">
        <v>2746</v>
      </c>
      <c r="F58" s="2678" t="s">
        <v>2747</v>
      </c>
      <c r="G58" s="824" t="s">
        <v>2768</v>
      </c>
      <c r="H58" s="2679" t="s">
        <v>2769</v>
      </c>
      <c r="I58" s="824" t="s">
        <v>2770</v>
      </c>
      <c r="J58" s="588" t="s">
        <v>2404</v>
      </c>
      <c r="K58" s="588" t="s">
        <v>2405</v>
      </c>
      <c r="L58" s="588" t="s">
        <v>2406</v>
      </c>
      <c r="M58" s="588" t="s">
        <v>2407</v>
      </c>
      <c r="N58" s="588" t="s">
        <v>2408</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5.5">
      <c r="A59" s="2677" t="s">
        <v>2771</v>
      </c>
      <c r="B59" s="2680" t="str">
        <f>估价对象房地状况!C17</f>
        <v>周边有中科大厦、海龙大厦、四通大厦等写字楼</v>
      </c>
      <c r="C59" s="2567" t="s">
        <v>30</v>
      </c>
      <c r="D59" s="1378">
        <f t="shared" ref="D59:D67" si="15">SUMIF($J$58:$N$58,C59,J59:N59)</f>
        <v>8.5000000000000006E-3</v>
      </c>
      <c r="E59" s="830">
        <f>ROUND(SUM(D59:D67),4)</f>
        <v>2.9499999999999998E-2</v>
      </c>
      <c r="F59" s="2283">
        <f>IF(E2="办公",SUMIF(L1:L12,G2,N1:N12),"——")</f>
        <v>7.0999999999999994E-2</v>
      </c>
      <c r="G59" s="1379">
        <v>8.5000000000000006E-3</v>
      </c>
      <c r="H59" s="1383">
        <f t="shared" ref="H59:H67" si="16">IFERROR(ROUNDDOWN($F$59*I59/2,4),"——")</f>
        <v>8.5000000000000006E-3</v>
      </c>
      <c r="I59" s="829">
        <v>0.24</v>
      </c>
      <c r="J59" s="1380">
        <f t="shared" ref="J59:J67" si="17">K59+$G59</f>
        <v>1.7000000000000001E-2</v>
      </c>
      <c r="K59" s="1380">
        <f t="shared" ref="K59:K67" si="18">$L59+$G59</f>
        <v>8.5000000000000006E-3</v>
      </c>
      <c r="L59" s="1380">
        <v>0</v>
      </c>
      <c r="M59" s="1380">
        <f t="shared" ref="M59:N67" si="19">L59-$G59</f>
        <v>-8.5000000000000006E-3</v>
      </c>
      <c r="N59" s="1380">
        <f t="shared" si="19"/>
        <v>-1.7000000000000001E-2</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c r="A60" s="2677" t="s">
        <v>2757</v>
      </c>
      <c r="B60" s="2681" t="str">
        <f>估价对象房地状况!C18</f>
        <v>估价对象紧邻城市主干道——中关村大街，临近地铁4号线（中关村站）；以估价对象为中心半径2公里范围内有302路、307路、320路、332路、355路等二十余条公交线路，综合评价交通便捷度好</v>
      </c>
      <c r="C60" s="2567" t="s">
        <v>30</v>
      </c>
      <c r="D60" s="1378">
        <f t="shared" si="15"/>
        <v>1.06E-2</v>
      </c>
      <c r="E60" s="833"/>
      <c r="F60" s="2283"/>
      <c r="G60" s="1379">
        <v>1.06E-2</v>
      </c>
      <c r="H60" s="1383">
        <f t="shared" si="16"/>
        <v>1.06E-2</v>
      </c>
      <c r="I60" s="829">
        <v>0.3</v>
      </c>
      <c r="J60" s="1380">
        <f t="shared" si="17"/>
        <v>2.12E-2</v>
      </c>
      <c r="K60" s="1380">
        <f t="shared" si="18"/>
        <v>1.06E-2</v>
      </c>
      <c r="L60" s="1380">
        <v>0</v>
      </c>
      <c r="M60" s="1380">
        <f t="shared" si="19"/>
        <v>-1.06E-2</v>
      </c>
      <c r="N60" s="1380">
        <f t="shared" si="19"/>
        <v>-2.12E-2</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2758</v>
      </c>
      <c r="B61" s="2681">
        <f>估价对象房地状况!C19</f>
        <v>0</v>
      </c>
      <c r="C61" s="2567" t="s">
        <v>30</v>
      </c>
      <c r="D61" s="1378">
        <f t="shared" si="15"/>
        <v>2.8E-3</v>
      </c>
      <c r="E61" s="833"/>
      <c r="F61" s="2283"/>
      <c r="G61" s="1379">
        <v>2.8E-3</v>
      </c>
      <c r="H61" s="1383">
        <f t="shared" si="16"/>
        <v>2.8E-3</v>
      </c>
      <c r="I61" s="829">
        <v>0.08</v>
      </c>
      <c r="J61" s="1380">
        <f t="shared" si="17"/>
        <v>5.5999999999999999E-3</v>
      </c>
      <c r="K61" s="1380">
        <f t="shared" si="18"/>
        <v>2.8E-3</v>
      </c>
      <c r="L61" s="1380">
        <v>0</v>
      </c>
      <c r="M61" s="1380">
        <f t="shared" si="19"/>
        <v>-2.8E-3</v>
      </c>
      <c r="N61" s="1380">
        <f t="shared" si="19"/>
        <v>-5.5999999999999999E-3</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2759</v>
      </c>
      <c r="B62" s="2682" t="s">
        <v>2760</v>
      </c>
      <c r="C62" s="2567" t="s">
        <v>31</v>
      </c>
      <c r="D62" s="1378">
        <f t="shared" si="15"/>
        <v>0</v>
      </c>
      <c r="E62" s="833"/>
      <c r="F62" s="2283"/>
      <c r="G62" s="1379">
        <v>1.4E-3</v>
      </c>
      <c r="H62" s="1383">
        <f t="shared" si="16"/>
        <v>1.4E-3</v>
      </c>
      <c r="I62" s="829">
        <v>0.04</v>
      </c>
      <c r="J62" s="1380">
        <f t="shared" si="17"/>
        <v>2.8E-3</v>
      </c>
      <c r="K62" s="1380">
        <f t="shared" si="18"/>
        <v>1.4E-3</v>
      </c>
      <c r="L62" s="1380">
        <v>0</v>
      </c>
      <c r="M62" s="1380">
        <f t="shared" si="19"/>
        <v>-1.4E-3</v>
      </c>
      <c r="N62" s="1380">
        <f t="shared" si="19"/>
        <v>-2.8E-3</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5.5">
      <c r="A63" s="2677" t="s">
        <v>2761</v>
      </c>
      <c r="B63" s="2681" t="str">
        <f>估价对象房地状况!C24</f>
        <v>城市主干道——中关村大街</v>
      </c>
      <c r="C63" s="2567" t="s">
        <v>30</v>
      </c>
      <c r="D63" s="1378">
        <f t="shared" si="15"/>
        <v>1.6999999999999999E-3</v>
      </c>
      <c r="E63" s="833"/>
      <c r="F63" s="2283"/>
      <c r="G63" s="1379">
        <v>1.6999999999999999E-3</v>
      </c>
      <c r="H63" s="1383">
        <f t="shared" si="16"/>
        <v>1.6999999999999999E-3</v>
      </c>
      <c r="I63" s="829">
        <v>0.05</v>
      </c>
      <c r="J63" s="1380">
        <f t="shared" si="17"/>
        <v>3.3999999999999998E-3</v>
      </c>
      <c r="K63" s="1380">
        <f t="shared" si="18"/>
        <v>1.6999999999999999E-3</v>
      </c>
      <c r="L63" s="1380">
        <v>0</v>
      </c>
      <c r="M63" s="1380">
        <f t="shared" si="19"/>
        <v>-1.6999999999999999E-3</v>
      </c>
      <c r="N63" s="1380">
        <f t="shared" si="19"/>
        <v>-3.3999999999999998E-3</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2762</v>
      </c>
      <c r="B64" s="2683" t="s">
        <v>2763</v>
      </c>
      <c r="C64" s="2567" t="s">
        <v>30</v>
      </c>
      <c r="D64" s="1378">
        <f t="shared" si="15"/>
        <v>1.6999999999999999E-3</v>
      </c>
      <c r="E64" s="833"/>
      <c r="F64" s="2283"/>
      <c r="G64" s="1379">
        <v>1.6999999999999999E-3</v>
      </c>
      <c r="H64" s="1383">
        <f t="shared" si="16"/>
        <v>1.6999999999999999E-3</v>
      </c>
      <c r="I64" s="829">
        <v>0.05</v>
      </c>
      <c r="J64" s="1380">
        <f t="shared" si="17"/>
        <v>3.3999999999999998E-3</v>
      </c>
      <c r="K64" s="1380">
        <f t="shared" si="18"/>
        <v>1.6999999999999999E-3</v>
      </c>
      <c r="L64" s="1380">
        <v>0</v>
      </c>
      <c r="M64" s="1380">
        <f t="shared" si="19"/>
        <v>-1.6999999999999999E-3</v>
      </c>
      <c r="N64" s="1380">
        <f t="shared" si="19"/>
        <v>-3.3999999999999998E-3</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2764</v>
      </c>
      <c r="B65" s="2685" t="str">
        <f>估价对象房地状况!C21</f>
        <v>估价对象所在区域公共配套设施齐备情况好</v>
      </c>
      <c r="C65" s="2567" t="s">
        <v>30</v>
      </c>
      <c r="D65" s="1378">
        <f t="shared" si="15"/>
        <v>2.0999999999999999E-3</v>
      </c>
      <c r="E65" s="833"/>
      <c r="F65" s="2283"/>
      <c r="G65" s="1379">
        <v>2.0999999999999999E-3</v>
      </c>
      <c r="H65" s="1383">
        <f t="shared" si="16"/>
        <v>2.0999999999999999E-3</v>
      </c>
      <c r="I65" s="829">
        <v>0.06</v>
      </c>
      <c r="J65" s="1380">
        <f t="shared" si="17"/>
        <v>4.1999999999999997E-3</v>
      </c>
      <c r="K65" s="1380">
        <f t="shared" si="18"/>
        <v>2.0999999999999999E-3</v>
      </c>
      <c r="L65" s="1380">
        <v>0</v>
      </c>
      <c r="M65" s="1380">
        <f t="shared" si="19"/>
        <v>-2.0999999999999999E-3</v>
      </c>
      <c r="N65" s="1380">
        <f t="shared" si="19"/>
        <v>-4.1999999999999997E-3</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2765</v>
      </c>
      <c r="B66" s="2685" t="str">
        <f>估价对象房地状况!C22</f>
        <v>估价对象所在区域基础设施水平——五通</v>
      </c>
      <c r="C66" s="2567" t="s">
        <v>31</v>
      </c>
      <c r="D66" s="1378">
        <f t="shared" si="15"/>
        <v>0</v>
      </c>
      <c r="E66" s="833"/>
      <c r="F66" s="2283"/>
      <c r="G66" s="1379">
        <v>4.1999999999999997E-3</v>
      </c>
      <c r="H66" s="1383">
        <f t="shared" si="16"/>
        <v>4.1999999999999997E-3</v>
      </c>
      <c r="I66" s="829">
        <v>0.12</v>
      </c>
      <c r="J66" s="1380">
        <f t="shared" si="17"/>
        <v>8.3999999999999995E-3</v>
      </c>
      <c r="K66" s="1380">
        <f t="shared" si="18"/>
        <v>4.1999999999999997E-3</v>
      </c>
      <c r="L66" s="1380">
        <v>0</v>
      </c>
      <c r="M66" s="1380">
        <f t="shared" si="19"/>
        <v>-4.1999999999999997E-3</v>
      </c>
      <c r="N66" s="1380">
        <f t="shared" si="19"/>
        <v>-8.3999999999999995E-3</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39" thickBot="1">
      <c r="A67" s="2686" t="s">
        <v>2766</v>
      </c>
      <c r="B67" s="2689" t="str">
        <f>估价对象房地状况!C20</f>
        <v>自然环境：海淀公园等；人文环境：北京大学等，综合评价环境状况较好</v>
      </c>
      <c r="C67" s="2567" t="s">
        <v>30</v>
      </c>
      <c r="D67" s="1378">
        <f t="shared" si="15"/>
        <v>2.0999999999999999E-3</v>
      </c>
      <c r="E67" s="839"/>
      <c r="F67" s="2283"/>
      <c r="G67" s="1379">
        <v>2.0999999999999999E-3</v>
      </c>
      <c r="H67" s="1383">
        <f t="shared" si="16"/>
        <v>2.0999999999999999E-3</v>
      </c>
      <c r="I67" s="838">
        <v>0.06</v>
      </c>
      <c r="J67" s="1380">
        <f t="shared" si="17"/>
        <v>4.1999999999999997E-3</v>
      </c>
      <c r="K67" s="1380">
        <f t="shared" si="18"/>
        <v>2.0999999999999999E-3</v>
      </c>
      <c r="L67" s="1380">
        <v>0</v>
      </c>
      <c r="M67" s="1380">
        <f t="shared" si="19"/>
        <v>-2.0999999999999999E-3</v>
      </c>
      <c r="N67" s="1380">
        <f t="shared" si="19"/>
        <v>-4.1999999999999997E-3</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2772</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2742</v>
      </c>
      <c r="B69" s="2681"/>
      <c r="C69" s="824" t="s">
        <v>2744</v>
      </c>
      <c r="D69" s="824" t="s">
        <v>2745</v>
      </c>
      <c r="E69" s="825" t="s">
        <v>2746</v>
      </c>
      <c r="F69" s="2678" t="s">
        <v>2747</v>
      </c>
      <c r="G69" s="824" t="s">
        <v>2768</v>
      </c>
      <c r="H69" s="2679" t="s">
        <v>2769</v>
      </c>
      <c r="I69" s="824" t="s">
        <v>2770</v>
      </c>
      <c r="J69" s="588" t="s">
        <v>2404</v>
      </c>
      <c r="K69" s="588" t="s">
        <v>2405</v>
      </c>
      <c r="L69" s="588" t="s">
        <v>2406</v>
      </c>
      <c r="M69" s="588" t="s">
        <v>2407</v>
      </c>
      <c r="N69" s="588" t="s">
        <v>2408</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24">
      <c r="A70" s="2677" t="s">
        <v>2773</v>
      </c>
      <c r="B70" s="2680">
        <f>估价对象房地状况!C15</f>
        <v>0</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c r="A71" s="2677" t="s">
        <v>2757</v>
      </c>
      <c r="B71" s="2681" t="str">
        <f>估价对象房地状况!C18</f>
        <v>估价对象紧邻城市主干道——中关村大街，临近地铁4号线（中关村站）；以估价对象为中心半径2公里范围内有302路、307路、320路、332路、355路等二十余条公交线路，综合评价交通便捷度好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2758</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25.5">
      <c r="A73" s="2677" t="s">
        <v>2774</v>
      </c>
      <c r="B73" s="2681" t="str">
        <f>估价对象房地状况!C24</f>
        <v>城市主干道——中关村大街</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2764</v>
      </c>
      <c r="B74" s="2685" t="str">
        <f>估价对象房地状况!C21</f>
        <v>估价对象所在区域公共配套设施齐备情况好</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2765</v>
      </c>
      <c r="B75" s="2685" t="str">
        <f>估价对象房地状况!C22</f>
        <v>估价对象所在区域基础设施水平——五通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2762</v>
      </c>
      <c r="B76" s="2683" t="s">
        <v>2763</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38.25">
      <c r="A77" s="2677" t="s">
        <v>2766</v>
      </c>
      <c r="B77" s="2680" t="str">
        <f>估价对象房地状况!C20</f>
        <v>自然环境：海淀公园等；人文环境：北京大学等，综合评价环境状况较好</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2775</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2776</v>
      </c>
      <c r="B79" s="2688">
        <f>1+E81</f>
        <v>1</v>
      </c>
      <c r="C79" s="818"/>
      <c r="D79" s="818"/>
      <c r="E79" s="819"/>
      <c r="F79" s="2675"/>
      <c r="G79" s="7"/>
      <c r="H79" s="7"/>
      <c r="I79" s="7"/>
      <c r="J79" s="9"/>
      <c r="K79" s="9"/>
      <c r="L79" s="9"/>
      <c r="M79" s="9"/>
      <c r="N79" s="9"/>
      <c r="Z79" s="2514"/>
      <c r="AA79" s="2591"/>
      <c r="AG79" s="2667"/>
      <c r="AK79" s="2591"/>
    </row>
    <row r="80" spans="1:37" ht="24.75">
      <c r="A80" s="2677" t="s">
        <v>2742</v>
      </c>
      <c r="B80" s="2681"/>
      <c r="C80" s="824" t="s">
        <v>2744</v>
      </c>
      <c r="D80" s="824" t="s">
        <v>2745</v>
      </c>
      <c r="E80" s="825" t="s">
        <v>2746</v>
      </c>
      <c r="F80" s="2678" t="s">
        <v>2747</v>
      </c>
      <c r="G80" s="824" t="s">
        <v>2768</v>
      </c>
      <c r="H80" s="2679" t="s">
        <v>2769</v>
      </c>
      <c r="I80" s="824" t="s">
        <v>2770</v>
      </c>
      <c r="J80" s="588" t="s">
        <v>2404</v>
      </c>
      <c r="K80" s="588" t="s">
        <v>2405</v>
      </c>
      <c r="L80" s="588" t="s">
        <v>2406</v>
      </c>
      <c r="M80" s="588" t="s">
        <v>2407</v>
      </c>
      <c r="N80" s="588" t="s">
        <v>2408</v>
      </c>
      <c r="Z80" s="2514"/>
      <c r="AA80" s="2591"/>
      <c r="AG80" s="2667"/>
      <c r="AK80" s="2591"/>
    </row>
    <row r="81" spans="1:37" ht="38.25">
      <c r="A81" s="2677" t="s">
        <v>2777</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2757</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2758</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2774</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2764</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2765</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2762</v>
      </c>
      <c r="B87" s="2683" t="s">
        <v>2763</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2778</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94" t="s">
        <v>2779</v>
      </c>
      <c r="B90" s="3094"/>
      <c r="C90" s="3094"/>
      <c r="D90" s="3094"/>
      <c r="E90" s="3094"/>
      <c r="F90" s="3094"/>
      <c r="G90" s="3094"/>
      <c r="H90" s="3094"/>
      <c r="I90" s="3094"/>
      <c r="J90" s="3094"/>
      <c r="K90" s="2694"/>
      <c r="L90" s="2694"/>
      <c r="M90" s="2694"/>
      <c r="N90" s="2694"/>
    </row>
    <row r="91" spans="1:37">
      <c r="A91" s="3096" t="s">
        <v>2780</v>
      </c>
      <c r="B91" s="3096" t="s">
        <v>2781</v>
      </c>
      <c r="C91" s="2642" t="s">
        <v>2782</v>
      </c>
      <c r="D91" s="2643"/>
      <c r="E91" s="2643"/>
      <c r="F91" s="2643"/>
      <c r="G91" s="2643"/>
      <c r="H91" s="2643"/>
      <c r="I91" s="2643"/>
      <c r="J91" s="2695"/>
      <c r="K91" s="2696"/>
      <c r="L91" s="2696"/>
      <c r="M91" s="2696"/>
      <c r="N91" s="2696"/>
    </row>
    <row r="92" spans="1:37">
      <c r="A92" s="3096"/>
      <c r="B92" s="3096"/>
      <c r="C92" s="973" t="s">
        <v>2635</v>
      </c>
      <c r="D92" s="973" t="s">
        <v>2636</v>
      </c>
      <c r="E92" s="973" t="s">
        <v>2637</v>
      </c>
      <c r="F92" s="973" t="s">
        <v>2638</v>
      </c>
      <c r="G92" s="973" t="s">
        <v>2639</v>
      </c>
      <c r="H92" s="973" t="s">
        <v>2640</v>
      </c>
      <c r="I92" s="973" t="s">
        <v>2641</v>
      </c>
      <c r="J92" s="973" t="s">
        <v>2642</v>
      </c>
      <c r="K92" s="973" t="s">
        <v>2643</v>
      </c>
      <c r="L92" s="973" t="s">
        <v>2644</v>
      </c>
      <c r="M92" s="973" t="s">
        <v>2645</v>
      </c>
      <c r="N92" s="973" t="s">
        <v>2646</v>
      </c>
    </row>
    <row r="93" spans="1:37">
      <c r="A93" s="3097" t="s">
        <v>2783</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98"/>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98"/>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98"/>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98"/>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98"/>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98"/>
      <c r="B99" s="2697" t="s">
        <v>2651</v>
      </c>
      <c r="C99" s="2699">
        <f>$I$3</f>
        <v>2</v>
      </c>
      <c r="D99" s="2699">
        <f t="shared" ref="D99:M99" si="30">$I$3</f>
        <v>2</v>
      </c>
      <c r="E99" s="2699">
        <f t="shared" si="30"/>
        <v>2</v>
      </c>
      <c r="F99" s="2699">
        <f t="shared" si="30"/>
        <v>2</v>
      </c>
      <c r="G99" s="2699">
        <f t="shared" si="30"/>
        <v>2</v>
      </c>
      <c r="H99" s="2699">
        <f t="shared" si="30"/>
        <v>2</v>
      </c>
      <c r="I99" s="2699">
        <f t="shared" si="30"/>
        <v>2</v>
      </c>
      <c r="J99" s="2699">
        <f t="shared" si="30"/>
        <v>2</v>
      </c>
      <c r="K99" s="2699">
        <f t="shared" si="30"/>
        <v>2</v>
      </c>
      <c r="L99" s="2699">
        <f t="shared" si="30"/>
        <v>2</v>
      </c>
      <c r="M99" s="2699">
        <f t="shared" si="30"/>
        <v>2</v>
      </c>
      <c r="N99" s="2699">
        <f>$I$3</f>
        <v>2</v>
      </c>
    </row>
    <row r="100" spans="1:14">
      <c r="A100" s="3099"/>
      <c r="B100" s="2697">
        <v>7</v>
      </c>
      <c r="C100" s="2700">
        <f>(-0.163*(C99^2)-0.59*C99+7617)*(10^(-4))</f>
        <v>0.76151679999999999</v>
      </c>
      <c r="D100" s="2700">
        <f>(-0.163*(D99^2)-0.59*D99+7617)*(10^(-4))</f>
        <v>0.76151679999999999</v>
      </c>
      <c r="E100" s="2700">
        <f>(-0.161*(E99^2)-7.509*E99+6533)*(10^(-4))</f>
        <v>0.65173380000000003</v>
      </c>
      <c r="F100" s="2700">
        <f>(-0.161*(F99^2)-7.509*F99+6533)*(10^(-4))</f>
        <v>0.65173380000000003</v>
      </c>
      <c r="G100" s="2700">
        <f>(-0.161*(G99^2)-7.509*G99+6533)*(10^(-4))</f>
        <v>0.65173380000000003</v>
      </c>
      <c r="H100" s="2700">
        <f>(-0.161*(H99^2)-7.509*H99+6533)*(10^(-4))</f>
        <v>0.65173380000000003</v>
      </c>
      <c r="I100" s="2700">
        <f>(-0.161*(I99^2)-7.509*I99+6533)*(10^(-4))</f>
        <v>0.65173380000000003</v>
      </c>
      <c r="J100" s="2700">
        <f>(-0.214*(J99^2)-21.991*J99+4665)*(10^(-4))</f>
        <v>0.46201620000000004</v>
      </c>
      <c r="K100" s="2700">
        <f>(-0.214*(K99^2)-21.991*K99+4665)*(10^(-4))</f>
        <v>0.46201620000000004</v>
      </c>
      <c r="L100" s="2700">
        <f>(-0.214*(L99^2)-21.991*L99+4665)*(10^(-4))</f>
        <v>0.46201620000000004</v>
      </c>
      <c r="M100" s="2700">
        <f>(-0.214*(M99^2)-21.991*M99+4665)*(10^(-4))</f>
        <v>0.46201620000000004</v>
      </c>
      <c r="N100" s="2700">
        <f>(-0.214*(N99^2)-21.991*N99+4665)*(10^(-4))</f>
        <v>0.46201620000000004</v>
      </c>
    </row>
    <row r="101" spans="1:14">
      <c r="A101" s="3097" t="s">
        <v>2784</v>
      </c>
      <c r="B101" s="2701" t="s">
        <v>2785</v>
      </c>
      <c r="C101" s="2702">
        <f>$G$3</f>
        <v>8.92</v>
      </c>
      <c r="D101" s="2702">
        <f t="shared" ref="D101:N101" si="31">$G$3</f>
        <v>8.92</v>
      </c>
      <c r="E101" s="2702">
        <f t="shared" si="31"/>
        <v>8.92</v>
      </c>
      <c r="F101" s="2702">
        <f t="shared" si="31"/>
        <v>8.92</v>
      </c>
      <c r="G101" s="2702">
        <f t="shared" si="31"/>
        <v>8.92</v>
      </c>
      <c r="H101" s="2702">
        <f t="shared" si="31"/>
        <v>8.92</v>
      </c>
      <c r="I101" s="2702">
        <f t="shared" si="31"/>
        <v>8.92</v>
      </c>
      <c r="J101" s="2702">
        <f t="shared" si="31"/>
        <v>8.92</v>
      </c>
      <c r="K101" s="2702">
        <f t="shared" si="31"/>
        <v>8.92</v>
      </c>
      <c r="L101" s="2702">
        <f t="shared" si="31"/>
        <v>8.92</v>
      </c>
      <c r="M101" s="2702">
        <f t="shared" si="31"/>
        <v>8.92</v>
      </c>
      <c r="N101" s="2702">
        <f t="shared" si="31"/>
        <v>8.92</v>
      </c>
    </row>
    <row r="102" spans="1:14">
      <c r="A102" s="3098"/>
      <c r="B102" s="2697">
        <v>1</v>
      </c>
      <c r="C102" s="2698">
        <f>1.9362/C101</f>
        <v>0.21706278026905829</v>
      </c>
      <c r="D102" s="2698">
        <f>1.9362/D101</f>
        <v>0.21706278026905829</v>
      </c>
      <c r="E102" s="2698">
        <f>1.8629/E101</f>
        <v>0.20884529147982062</v>
      </c>
      <c r="F102" s="2698">
        <f>1.8629/F101</f>
        <v>0.20884529147982062</v>
      </c>
      <c r="G102" s="2698">
        <f>1.8629/G101</f>
        <v>0.20884529147982062</v>
      </c>
      <c r="H102" s="2698">
        <f>1.8629/H101</f>
        <v>0.20884529147982062</v>
      </c>
      <c r="I102" s="2698">
        <f>1.8629/I101</f>
        <v>0.20884529147982062</v>
      </c>
      <c r="J102" s="2698">
        <f>1.942/J101</f>
        <v>0.21771300448430492</v>
      </c>
      <c r="K102" s="2698">
        <f>1.942/K101</f>
        <v>0.21771300448430492</v>
      </c>
      <c r="L102" s="2698">
        <f>1.942/L101</f>
        <v>0.21771300448430492</v>
      </c>
      <c r="M102" s="2698">
        <f>1.942/M101</f>
        <v>0.21771300448430492</v>
      </c>
      <c r="N102" s="2698">
        <f>1.942/N101</f>
        <v>0.21771300448430492</v>
      </c>
    </row>
    <row r="103" spans="1:14">
      <c r="A103" s="3098"/>
      <c r="B103" s="2697">
        <v>2</v>
      </c>
      <c r="C103" s="2698">
        <f>1.4198/C101</f>
        <v>0.15917040358744394</v>
      </c>
      <c r="D103" s="2698">
        <f>1.4198/D101</f>
        <v>0.15917040358744394</v>
      </c>
      <c r="E103" s="2698">
        <f>1.3372/E101</f>
        <v>0.14991031390134529</v>
      </c>
      <c r="F103" s="2698">
        <f>1.3372/F101</f>
        <v>0.14991031390134529</v>
      </c>
      <c r="G103" s="2698">
        <f>1.3372/G101</f>
        <v>0.14991031390134529</v>
      </c>
      <c r="H103" s="2698">
        <f>1.3372/H101</f>
        <v>0.14991031390134529</v>
      </c>
      <c r="I103" s="2698">
        <f>1.3372/I101</f>
        <v>0.14991031390134529</v>
      </c>
      <c r="J103" s="2698">
        <f>1.2799/J101</f>
        <v>0.14348654708520181</v>
      </c>
      <c r="K103" s="2698">
        <f>1.2799/K101</f>
        <v>0.14348654708520181</v>
      </c>
      <c r="L103" s="2698">
        <f>1.2799/L101</f>
        <v>0.14348654708520181</v>
      </c>
      <c r="M103" s="2698">
        <f>1.2799/M101</f>
        <v>0.14348654708520181</v>
      </c>
      <c r="N103" s="2698">
        <f>1.2799/N101</f>
        <v>0.14348654708520181</v>
      </c>
    </row>
    <row r="104" spans="1:14">
      <c r="A104" s="3098"/>
      <c r="B104" s="2697">
        <v>3</v>
      </c>
      <c r="C104" s="2698">
        <f>1.1594/C101</f>
        <v>0.12997757847533634</v>
      </c>
      <c r="D104" s="2698">
        <f>1.1594/D101</f>
        <v>0.12997757847533634</v>
      </c>
      <c r="E104" s="2698">
        <f>1.0788/E101</f>
        <v>0.12094170403587444</v>
      </c>
      <c r="F104" s="2698">
        <f>1.0788/F101</f>
        <v>0.12094170403587444</v>
      </c>
      <c r="G104" s="2698">
        <f>1.0788/G101</f>
        <v>0.12094170403587444</v>
      </c>
      <c r="H104" s="2698">
        <f>1.0788/H101</f>
        <v>0.12094170403587444</v>
      </c>
      <c r="I104" s="2698">
        <f>1.0788/I101</f>
        <v>0.12094170403587444</v>
      </c>
      <c r="J104" s="2698">
        <f>1.0072/J101</f>
        <v>0.11291479820627803</v>
      </c>
      <c r="K104" s="2698">
        <f>1.0072/K101</f>
        <v>0.11291479820627803</v>
      </c>
      <c r="L104" s="2698">
        <f>1.0072/L101</f>
        <v>0.11291479820627803</v>
      </c>
      <c r="M104" s="2698">
        <f>1.0072/M101</f>
        <v>0.11291479820627803</v>
      </c>
      <c r="N104" s="2698">
        <f>1.0072/N101</f>
        <v>0.11291479820627803</v>
      </c>
    </row>
    <row r="105" spans="1:14">
      <c r="A105" s="3098"/>
      <c r="B105" s="2697">
        <v>4</v>
      </c>
      <c r="C105" s="2698">
        <f>0.9622/C101</f>
        <v>0.10786995515695068</v>
      </c>
      <c r="D105" s="2698">
        <f>0.9622/D101</f>
        <v>0.10786995515695068</v>
      </c>
      <c r="E105" s="2698">
        <f>0.8656/E101</f>
        <v>9.7040358744394623E-2</v>
      </c>
      <c r="F105" s="2698">
        <f>0.8656/F101</f>
        <v>9.7040358744394623E-2</v>
      </c>
      <c r="G105" s="2698">
        <f>0.8656/G101</f>
        <v>9.7040358744394623E-2</v>
      </c>
      <c r="H105" s="2698">
        <f>0.8656/H101</f>
        <v>9.7040358744394623E-2</v>
      </c>
      <c r="I105" s="2698">
        <f>0.8656/I101</f>
        <v>9.7040358744394623E-2</v>
      </c>
      <c r="J105" s="2698">
        <f>0.7525/J101</f>
        <v>8.4360986547085196E-2</v>
      </c>
      <c r="K105" s="2698">
        <f>0.7525/K101</f>
        <v>8.4360986547085196E-2</v>
      </c>
      <c r="L105" s="2698">
        <f>0.7525/L101</f>
        <v>8.4360986547085196E-2</v>
      </c>
      <c r="M105" s="2698">
        <f>0.7525/M101</f>
        <v>8.4360986547085196E-2</v>
      </c>
      <c r="N105" s="2698">
        <f>0.7525/N101</f>
        <v>8.4360986547085196E-2</v>
      </c>
    </row>
    <row r="106" spans="1:14">
      <c r="A106" s="3098"/>
      <c r="B106" s="2697">
        <v>5</v>
      </c>
      <c r="C106" s="2698">
        <f>0.8417/C101</f>
        <v>9.4360986547085204E-2</v>
      </c>
      <c r="D106" s="2698">
        <f>0.8417/D101</f>
        <v>9.4360986547085204E-2</v>
      </c>
      <c r="E106" s="2698">
        <f>0.7371/E101</f>
        <v>8.2634529147982055E-2</v>
      </c>
      <c r="F106" s="2698">
        <f>0.7371/F101</f>
        <v>8.2634529147982055E-2</v>
      </c>
      <c r="G106" s="2698">
        <f>0.7371/G101</f>
        <v>8.2634529147982055E-2</v>
      </c>
      <c r="H106" s="2698">
        <f>0.7371/H101</f>
        <v>8.2634529147982055E-2</v>
      </c>
      <c r="I106" s="2698">
        <f>0.7371/I101</f>
        <v>8.2634529147982055E-2</v>
      </c>
      <c r="J106" s="2698">
        <f>0.5659/J101</f>
        <v>6.344170403587443E-2</v>
      </c>
      <c r="K106" s="2698">
        <f>0.5659/K101</f>
        <v>6.344170403587443E-2</v>
      </c>
      <c r="L106" s="2698">
        <f>0.5659/L101</f>
        <v>6.344170403587443E-2</v>
      </c>
      <c r="M106" s="2698">
        <f>0.5659/M101</f>
        <v>6.344170403587443E-2</v>
      </c>
      <c r="N106" s="2698">
        <f>0.5659/N101</f>
        <v>6.344170403587443E-2</v>
      </c>
    </row>
    <row r="107" spans="1:14">
      <c r="A107" s="3098"/>
      <c r="B107" s="2697">
        <v>6</v>
      </c>
      <c r="C107" s="2698">
        <f>0.7608/C101</f>
        <v>8.5291479820627805E-2</v>
      </c>
      <c r="D107" s="2698">
        <f>0.7608/D101</f>
        <v>8.5291479820627805E-2</v>
      </c>
      <c r="E107" s="2698">
        <f>0.6482/E101</f>
        <v>7.2668161434977577E-2</v>
      </c>
      <c r="F107" s="2698">
        <f>0.6482/F101</f>
        <v>7.2668161434977577E-2</v>
      </c>
      <c r="G107" s="2698">
        <f>0.6482/G101</f>
        <v>7.2668161434977577E-2</v>
      </c>
      <c r="H107" s="2698">
        <f>0.6482/H101</f>
        <v>7.2668161434977577E-2</v>
      </c>
      <c r="I107" s="2698">
        <f>0.6482/I101</f>
        <v>7.2668161434977577E-2</v>
      </c>
      <c r="J107" s="2698">
        <f>0.4525/J101</f>
        <v>5.0728699551569507E-2</v>
      </c>
      <c r="K107" s="2698">
        <f>0.4525/K101</f>
        <v>5.0728699551569507E-2</v>
      </c>
      <c r="L107" s="2698">
        <f>0.4525/L101</f>
        <v>5.0728699551569507E-2</v>
      </c>
      <c r="M107" s="2698">
        <f>0.4525/M101</f>
        <v>5.0728699551569507E-2</v>
      </c>
      <c r="N107" s="2698">
        <f>0.4525/N101</f>
        <v>5.0728699551569507E-2</v>
      </c>
    </row>
    <row r="108" spans="1:14">
      <c r="A108" s="3098"/>
      <c r="B108" s="3100" t="s">
        <v>2786</v>
      </c>
      <c r="C108" s="2699">
        <f>C99</f>
        <v>2</v>
      </c>
      <c r="D108" s="2699">
        <f t="shared" ref="D108:N108" si="32">D99</f>
        <v>2</v>
      </c>
      <c r="E108" s="2699">
        <f t="shared" si="32"/>
        <v>2</v>
      </c>
      <c r="F108" s="2699">
        <f t="shared" si="32"/>
        <v>2</v>
      </c>
      <c r="G108" s="2699">
        <f t="shared" si="32"/>
        <v>2</v>
      </c>
      <c r="H108" s="2699">
        <f t="shared" si="32"/>
        <v>2</v>
      </c>
      <c r="I108" s="2699">
        <f t="shared" si="32"/>
        <v>2</v>
      </c>
      <c r="J108" s="2699">
        <f t="shared" si="32"/>
        <v>2</v>
      </c>
      <c r="K108" s="2699">
        <f t="shared" si="32"/>
        <v>2</v>
      </c>
      <c r="L108" s="2699">
        <f t="shared" si="32"/>
        <v>2</v>
      </c>
      <c r="M108" s="2699">
        <f t="shared" si="32"/>
        <v>2</v>
      </c>
      <c r="N108" s="2699">
        <f t="shared" si="32"/>
        <v>2</v>
      </c>
    </row>
    <row r="109" spans="1:14">
      <c r="A109" s="3099"/>
      <c r="B109" s="3101"/>
      <c r="C109" s="2700">
        <f>(-0.163*(C108^2)-0.59*C108+7617)*(10^(-4))/C101</f>
        <v>8.5371838565022423E-2</v>
      </c>
      <c r="D109" s="2700">
        <f>(-0.163*(D108^2)-0.59*D108+7617)*(10^(-4))/D101</f>
        <v>8.5371838565022423E-2</v>
      </c>
      <c r="E109" s="2700">
        <f>(-0.161*(E108^2)-7.509*E108+6533)*(10^(-4))/E101</f>
        <v>7.3064327354260092E-2</v>
      </c>
      <c r="F109" s="2700">
        <f>(-0.161*(F108^2)-7.509*F108+6533)*(10^(-4))/F101</f>
        <v>7.3064327354260092E-2</v>
      </c>
      <c r="G109" s="2700">
        <f>(-0.161*(G108^2)-7.509*G108+6533)*(10^(-4))/G101</f>
        <v>7.3064327354260092E-2</v>
      </c>
      <c r="H109" s="2700">
        <f>(-0.161*(H108^2)-7.509*H108+6533)*(10^(-4))/H101</f>
        <v>7.3064327354260092E-2</v>
      </c>
      <c r="I109" s="2700">
        <f>(-0.161*(I108^2)-7.509*I108+6533)*(10^(-4))/I101</f>
        <v>7.3064327354260092E-2</v>
      </c>
      <c r="J109" s="2700">
        <f>(-0.214*(J108^2)-21.991*J108+4665)*(10^(-4))/J101</f>
        <v>5.1795538116591933E-2</v>
      </c>
      <c r="K109" s="2700">
        <f>(-0.214*(K108^2)-21.991*K108+4665)*(10^(-4))/K101</f>
        <v>5.1795538116591933E-2</v>
      </c>
      <c r="L109" s="2700">
        <f>(-0.214*(L108^2)-21.991*L108+4665)*(10^(-4))/L101</f>
        <v>5.1795538116591933E-2</v>
      </c>
      <c r="M109" s="2700">
        <f>(-0.214*(M108^2)-21.991*M108+4665)*(10^(-4))/M101</f>
        <v>5.1795538116591933E-2</v>
      </c>
      <c r="N109" s="2700">
        <f>(-0.214*(N108^2)-21.991*N108+4665)*(10^(-4))/N101</f>
        <v>5.1795538116591933E-2</v>
      </c>
    </row>
    <row r="110" spans="1:14">
      <c r="A110" s="3095" t="s">
        <v>2787</v>
      </c>
      <c r="B110" s="3095"/>
      <c r="C110" s="3095"/>
      <c r="D110" s="3095"/>
      <c r="E110" s="3095"/>
      <c r="F110" s="3095"/>
      <c r="G110" s="3095"/>
      <c r="H110" s="3095"/>
      <c r="I110" s="3095"/>
      <c r="J110" s="3095"/>
      <c r="K110" s="2703"/>
      <c r="L110" s="2703"/>
      <c r="M110" s="2703"/>
      <c r="N110" s="2703"/>
    </row>
    <row r="112" spans="1:14" ht="13.5" thickBot="1"/>
    <row r="113" spans="1:13" ht="25.5" thickBot="1">
      <c r="A113" s="929" t="s">
        <v>2788</v>
      </c>
      <c r="B113" s="1381">
        <f>G3</f>
        <v>8.92</v>
      </c>
      <c r="C113" s="930" t="s">
        <v>2789</v>
      </c>
      <c r="D113" s="931">
        <f>SUMPRODUCT((A115:A118=F113)*(B114:M114=H113)*B115:M118)</f>
        <v>0.84199999999999997</v>
      </c>
      <c r="E113" s="2705" t="s">
        <v>2675</v>
      </c>
      <c r="F113" s="2706" t="str">
        <f>E2</f>
        <v>办公</v>
      </c>
      <c r="G113" s="2705" t="s">
        <v>2609</v>
      </c>
      <c r="H113" s="2706" t="str">
        <f>G2</f>
        <v>二级</v>
      </c>
      <c r="I113" s="2705"/>
      <c r="J113" s="2707"/>
      <c r="K113" s="2707"/>
      <c r="L113" s="2707"/>
      <c r="M113" s="2707"/>
    </row>
    <row r="114" spans="1:13">
      <c r="A114" s="934"/>
      <c r="B114" s="2708" t="s">
        <v>2790</v>
      </c>
      <c r="C114" s="2708" t="s">
        <v>2791</v>
      </c>
      <c r="D114" s="2708" t="s">
        <v>2792</v>
      </c>
      <c r="E114" s="2709" t="s">
        <v>2793</v>
      </c>
      <c r="F114" s="2709" t="s">
        <v>2794</v>
      </c>
      <c r="G114" s="2709" t="s">
        <v>2795</v>
      </c>
      <c r="H114" s="2710" t="s">
        <v>2796</v>
      </c>
      <c r="I114" s="2710" t="s">
        <v>2797</v>
      </c>
      <c r="J114" s="2711" t="s">
        <v>2798</v>
      </c>
      <c r="K114" s="2711" t="s">
        <v>2799</v>
      </c>
      <c r="L114" s="2711" t="s">
        <v>2800</v>
      </c>
      <c r="M114" s="2712" t="s">
        <v>2801</v>
      </c>
    </row>
    <row r="115" spans="1:13">
      <c r="A115" s="935" t="s">
        <v>2676</v>
      </c>
      <c r="B115" s="936">
        <f>ROUND(0.9335-0.0094*B113,4)</f>
        <v>0.84970000000000001</v>
      </c>
      <c r="C115" s="936">
        <f>B115</f>
        <v>0.84970000000000001</v>
      </c>
      <c r="D115" s="936">
        <f>ROUND(0.8331-0.0109*B113,4)</f>
        <v>0.7359</v>
      </c>
      <c r="E115" s="936">
        <f>D115</f>
        <v>0.7359</v>
      </c>
      <c r="F115" s="936">
        <f>E115</f>
        <v>0.7359</v>
      </c>
      <c r="G115" s="936">
        <f>F115</f>
        <v>0.7359</v>
      </c>
      <c r="H115" s="936">
        <f>G115</f>
        <v>0.7359</v>
      </c>
      <c r="I115" s="936">
        <f>ROUND(0.689-0.0155*B113,4)</f>
        <v>0.55069999999999997</v>
      </c>
      <c r="J115" s="936">
        <f t="shared" ref="J115:M118" si="33">I115</f>
        <v>0.55069999999999997</v>
      </c>
      <c r="K115" s="936">
        <f t="shared" si="33"/>
        <v>0.55069999999999997</v>
      </c>
      <c r="L115" s="936">
        <f t="shared" si="33"/>
        <v>0.55069999999999997</v>
      </c>
      <c r="M115" s="937">
        <f t="shared" si="33"/>
        <v>0.55069999999999997</v>
      </c>
    </row>
    <row r="116" spans="1:13">
      <c r="A116" s="935" t="s">
        <v>2677</v>
      </c>
      <c r="B116" s="936">
        <f>ROUND(0.949-0.012*B113,4)</f>
        <v>0.84199999999999997</v>
      </c>
      <c r="C116" s="936">
        <f>B116</f>
        <v>0.84199999999999997</v>
      </c>
      <c r="D116" s="936">
        <f>ROUND(0.8567-0.013*B113,4)</f>
        <v>0.74070000000000003</v>
      </c>
      <c r="E116" s="936">
        <f t="shared" ref="E116:H117" si="34">D116</f>
        <v>0.74070000000000003</v>
      </c>
      <c r="F116" s="936">
        <f t="shared" si="34"/>
        <v>0.74070000000000003</v>
      </c>
      <c r="G116" s="936">
        <f t="shared" si="34"/>
        <v>0.74070000000000003</v>
      </c>
      <c r="H116" s="936">
        <f t="shared" si="34"/>
        <v>0.74070000000000003</v>
      </c>
      <c r="I116" s="936">
        <f>ROUND(0.7694-0.014*B113,4)</f>
        <v>0.64449999999999996</v>
      </c>
      <c r="J116" s="936">
        <f t="shared" si="33"/>
        <v>0.64449999999999996</v>
      </c>
      <c r="K116" s="936">
        <f t="shared" si="33"/>
        <v>0.64449999999999996</v>
      </c>
      <c r="L116" s="936">
        <f t="shared" si="33"/>
        <v>0.64449999999999996</v>
      </c>
      <c r="M116" s="937">
        <f t="shared" si="33"/>
        <v>0.64449999999999996</v>
      </c>
    </row>
    <row r="117" spans="1:13">
      <c r="A117" s="935" t="s">
        <v>2678</v>
      </c>
      <c r="B117" s="936">
        <f>ROUND(0.8808-0.006*B113,4)</f>
        <v>0.82730000000000004</v>
      </c>
      <c r="C117" s="936">
        <f>B117</f>
        <v>0.82730000000000004</v>
      </c>
      <c r="D117" s="936">
        <f>ROUND(0.8748-0.008*B113,4)</f>
        <v>0.8034</v>
      </c>
      <c r="E117" s="936">
        <f t="shared" si="34"/>
        <v>0.8034</v>
      </c>
      <c r="F117" s="936">
        <f t="shared" si="34"/>
        <v>0.8034</v>
      </c>
      <c r="G117" s="936">
        <f t="shared" si="34"/>
        <v>0.8034</v>
      </c>
      <c r="H117" s="936">
        <f t="shared" si="34"/>
        <v>0.8034</v>
      </c>
      <c r="I117" s="936">
        <f>ROUND(0.7412-0.0095*B113,4)</f>
        <v>0.65649999999999997</v>
      </c>
      <c r="J117" s="936">
        <f t="shared" si="33"/>
        <v>0.65649999999999997</v>
      </c>
      <c r="K117" s="936">
        <f t="shared" si="33"/>
        <v>0.65649999999999997</v>
      </c>
      <c r="L117" s="936">
        <f t="shared" si="33"/>
        <v>0.65649999999999997</v>
      </c>
      <c r="M117" s="937">
        <f t="shared" si="33"/>
        <v>0.65649999999999997</v>
      </c>
    </row>
    <row r="118" spans="1:13" ht="13.5" thickBot="1">
      <c r="A118" s="703" t="s">
        <v>2679</v>
      </c>
      <c r="B118" s="938">
        <f>ROUND(0.7275-0.01*B113,4)</f>
        <v>0.63829999999999998</v>
      </c>
      <c r="C118" s="938">
        <f>B118</f>
        <v>0.63829999999999998</v>
      </c>
      <c r="D118" s="938">
        <f>ROUND(0.7043-0.012*B113,4)</f>
        <v>0.59730000000000005</v>
      </c>
      <c r="E118" s="938">
        <f>D118</f>
        <v>0.59730000000000005</v>
      </c>
      <c r="F118" s="938">
        <f>E118</f>
        <v>0.59730000000000005</v>
      </c>
      <c r="G118" s="938">
        <f>ROUND(0.6299-0.0122*B113,4)</f>
        <v>0.52110000000000001</v>
      </c>
      <c r="H118" s="938">
        <f>G118</f>
        <v>0.52110000000000001</v>
      </c>
      <c r="I118" s="938">
        <f>ROUND(0.5667-0.0136*B113,4)</f>
        <v>0.44540000000000002</v>
      </c>
      <c r="J118" s="938">
        <f t="shared" si="33"/>
        <v>0.44540000000000002</v>
      </c>
      <c r="K118" s="938">
        <f t="shared" si="33"/>
        <v>0.44540000000000002</v>
      </c>
      <c r="L118" s="938">
        <f t="shared" si="33"/>
        <v>0.44540000000000002</v>
      </c>
      <c r="M118" s="939">
        <f t="shared" si="33"/>
        <v>0.44540000000000002</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32" sqref="C32"/>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t="s">
        <v>2812</v>
      </c>
      <c r="C1" s="163"/>
      <c r="D1" s="163"/>
      <c r="E1" s="163"/>
      <c r="F1" s="163"/>
      <c r="G1" s="164"/>
    </row>
    <row r="2" spans="1:7" s="165" customFormat="1" ht="18" customHeight="1">
      <c r="A2" s="166" t="s">
        <v>2008</v>
      </c>
      <c r="B2" s="167">
        <f ca="1">IF(D2="——",IF(C2="元",C52,ROUND(C52/10000,0)),IF(C2="元",C52,ROUND(C52/10000,0))-E2)</f>
        <v>595070</v>
      </c>
      <c r="C2" s="164" t="str">
        <f>'数据-取费表'!B3</f>
        <v>元</v>
      </c>
      <c r="D2" s="2339" t="s">
        <v>1257</v>
      </c>
      <c r="E2" s="1548">
        <f ca="1">SUMIF(INDIRECT("'"&amp;G2&amp;"'"&amp;"!A:A"),"承租人权益价值",INDIRECT("'"&amp;G2&amp;"'"&amp;"!c:c"))</f>
        <v>-448744</v>
      </c>
      <c r="F2" s="2340" t="str">
        <f>C2</f>
        <v>元</v>
      </c>
      <c r="G2" s="1912" t="s">
        <v>2863</v>
      </c>
    </row>
    <row r="3" spans="1:7" s="165" customFormat="1" ht="18" customHeight="1" thickBot="1">
      <c r="A3" s="168" t="s">
        <v>2009</v>
      </c>
      <c r="B3" s="169">
        <f ca="1">ROUND(C52/IF(B1="仅计算典型户型",'数据-取费表'!E5,'数据-取费表'!B5),0)</f>
        <v>37497</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 ca="1">C6+C7+C8</f>
        <v>361800</v>
      </c>
      <c r="D5" s="196" t="s">
        <v>2014</v>
      </c>
      <c r="E5" s="1534" t="s">
        <v>2015</v>
      </c>
      <c r="F5" s="1534" t="s">
        <v>2016</v>
      </c>
      <c r="G5" s="175"/>
    </row>
    <row r="6" spans="1:7" s="176" customFormat="1" ht="13.5" customHeight="1">
      <c r="A6" s="177" t="s">
        <v>2017</v>
      </c>
      <c r="B6" s="178" t="s">
        <v>2018</v>
      </c>
      <c r="C6" s="1533">
        <f ca="1">基准地价修正!B2</f>
        <v>351092</v>
      </c>
      <c r="D6" s="1535"/>
      <c r="E6" s="1536"/>
      <c r="F6" s="1536"/>
      <c r="G6" s="180"/>
    </row>
    <row r="7" spans="1:7" s="176" customFormat="1" ht="13.5" customHeight="1">
      <c r="A7" s="177" t="s">
        <v>2019</v>
      </c>
      <c r="B7" s="178" t="s">
        <v>2020</v>
      </c>
      <c r="C7" s="200">
        <f ca="1">ROUND(C6*F7,0)</f>
        <v>10708</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t="s">
        <v>2928</v>
      </c>
    </row>
    <row r="9" spans="1:7" s="176" customFormat="1" ht="13.5" customHeight="1">
      <c r="A9" s="1306" t="s">
        <v>954</v>
      </c>
      <c r="B9" s="182" t="s">
        <v>2023</v>
      </c>
      <c r="C9" s="1539">
        <f>ROUND(D9*E9,0)</f>
        <v>0</v>
      </c>
      <c r="D9" s="1540">
        <f>IF('数据-取费表'!B10="住宅",IF(B1="仅计算典型户型",'数据-取费表'!E5,'数据-取费表'!B5),0)</f>
        <v>0</v>
      </c>
      <c r="E9" s="1539">
        <f>'数据-取费表'!E11</f>
        <v>160</v>
      </c>
      <c r="F9" s="1537"/>
      <c r="G9" s="183"/>
    </row>
    <row r="10" spans="1:7" s="176" customFormat="1" ht="13.5" customHeight="1">
      <c r="A10" s="1306" t="s">
        <v>955</v>
      </c>
      <c r="B10" s="182" t="s">
        <v>2024</v>
      </c>
      <c r="C10" s="1539">
        <f>ROUND(D10*E10,0)</f>
        <v>3174</v>
      </c>
      <c r="D10" s="1540">
        <f>IF('数据-取费表'!B10&lt;&gt;"住宅",IF(B1="仅计算典型户型",'数据-取费表'!E5,'数据-取费表'!B5),0)</f>
        <v>15.87</v>
      </c>
      <c r="E10" s="1539">
        <f>'数据-取费表'!E12</f>
        <v>200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15.87</v>
      </c>
      <c r="E19" s="196">
        <f>'数据-取费表'!E15</f>
        <v>0</v>
      </c>
      <c r="F19" s="197"/>
      <c r="G19" s="2341" t="s">
        <v>2937</v>
      </c>
    </row>
    <row r="20" spans="1:7" s="176" customFormat="1" ht="13.5" customHeight="1">
      <c r="A20" s="205" t="s">
        <v>2036</v>
      </c>
      <c r="B20" s="174" t="s">
        <v>2037</v>
      </c>
      <c r="C20" s="184">
        <f ca="1">ROUND((C5+C19)*F20,0)</f>
        <v>10854</v>
      </c>
      <c r="D20" s="184"/>
      <c r="E20" s="184"/>
      <c r="F20" s="188">
        <f>'数据-取费表'!E25</f>
        <v>0.03</v>
      </c>
      <c r="G20" s="185" t="s">
        <v>2038</v>
      </c>
    </row>
    <row r="21" spans="1:7" s="176" customFormat="1" ht="13.5" customHeight="1">
      <c r="A21" s="205" t="s">
        <v>2039</v>
      </c>
      <c r="B21" s="174" t="s">
        <v>2040</v>
      </c>
      <c r="C21" s="186">
        <f>F21</f>
        <v>0.03</v>
      </c>
      <c r="D21" s="187" t="s">
        <v>2041</v>
      </c>
      <c r="E21" s="184"/>
      <c r="F21" s="188">
        <f>'数据-取费表'!E26</f>
        <v>0.03</v>
      </c>
      <c r="G21" s="185" t="s">
        <v>2042</v>
      </c>
    </row>
    <row r="22" spans="1:7" s="176" customFormat="1" ht="13.5" customHeight="1">
      <c r="A22" s="205" t="s">
        <v>2043</v>
      </c>
      <c r="B22" s="174" t="s">
        <v>2044</v>
      </c>
      <c r="C22" s="206">
        <f ca="1">ROUND(SUM(C23:C25),0)</f>
        <v>35703</v>
      </c>
      <c r="D22" s="186">
        <f ca="1">C26</f>
        <v>1.4E-3</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35187</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516</v>
      </c>
      <c r="D25" s="189"/>
      <c r="E25" s="192"/>
      <c r="F25" s="190"/>
      <c r="G25" s="193" t="s">
        <v>2051</v>
      </c>
    </row>
    <row r="26" spans="1:7" s="176" customFormat="1">
      <c r="A26" s="177" t="s">
        <v>2052</v>
      </c>
      <c r="B26" s="178" t="s">
        <v>2053</v>
      </c>
      <c r="C26" s="189">
        <f ca="1">ROUND(IF('数据-取费表'!B23&lt;=1,F21*F22*'数据-取费表'!B24/2,F21*(POWER((1+F22),'数据-取费表'!B24/2)-1)),4)</f>
        <v>1.4E-3</v>
      </c>
      <c r="D26" s="189"/>
      <c r="E26" s="192"/>
      <c r="F26" s="190"/>
      <c r="G26" s="194"/>
    </row>
    <row r="27" spans="1:7" s="176" customFormat="1" ht="25.5">
      <c r="A27" s="1307" t="s">
        <v>2054</v>
      </c>
      <c r="B27" s="195" t="s">
        <v>2055</v>
      </c>
      <c r="C27" s="196">
        <f ca="1">C28</f>
        <v>74531</v>
      </c>
      <c r="D27" s="186">
        <f>C29</f>
        <v>6.0000000000000001E-3</v>
      </c>
      <c r="E27" s="187" t="s">
        <v>2041</v>
      </c>
      <c r="F27" s="197">
        <f>'数据-取费表'!E28</f>
        <v>0.2</v>
      </c>
      <c r="G27" s="198" t="s">
        <v>2056</v>
      </c>
    </row>
    <row r="28" spans="1:7" s="176" customFormat="1" ht="13.5" customHeight="1">
      <c r="A28" s="177" t="s">
        <v>2045</v>
      </c>
      <c r="B28" s="199" t="s">
        <v>2057</v>
      </c>
      <c r="C28" s="200">
        <f ca="1">ROUND((C5+C19+C20)*F27*'数据-取费表'!B22/'数据-取费表'!B21,0)</f>
        <v>74531</v>
      </c>
      <c r="D28" s="186"/>
      <c r="E28" s="187"/>
      <c r="F28" s="197"/>
      <c r="G28" s="198"/>
    </row>
    <row r="29" spans="1:7" s="176" customFormat="1" ht="13.5" customHeight="1">
      <c r="A29" s="177" t="s">
        <v>2019</v>
      </c>
      <c r="B29" s="199" t="s">
        <v>2058</v>
      </c>
      <c r="C29" s="189">
        <f>ROUND(C21*F27*'数据-取费表'!B22/'数据-取费表'!B21,4)</f>
        <v>6.0000000000000001E-3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531055</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61218</v>
      </c>
      <c r="D33" s="184"/>
      <c r="E33" s="1534"/>
      <c r="F33" s="192"/>
      <c r="G33" s="185"/>
    </row>
    <row r="34" spans="1:7" s="207" customFormat="1" ht="13.5" customHeight="1">
      <c r="A34" s="177" t="s">
        <v>2045</v>
      </c>
      <c r="B34" s="178" t="s">
        <v>2067</v>
      </c>
      <c r="C34" s="200">
        <f>IF(B1="仅计算典型户型",'数据-取费表'!F18,'数据-取费表'!E18)</f>
        <v>55545</v>
      </c>
      <c r="D34" s="1535"/>
      <c r="E34" s="200"/>
      <c r="F34" s="1546" t="str">
        <f>IF('数据-取费表'!B25=0,"",'数据-取费表'!E20)</f>
        <v/>
      </c>
      <c r="G34" s="180"/>
    </row>
    <row r="35" spans="1:7" ht="13.5" customHeight="1">
      <c r="A35" s="177" t="s">
        <v>2019</v>
      </c>
      <c r="B35" s="178" t="s">
        <v>2068</v>
      </c>
      <c r="C35" s="200">
        <f>ROUND(C34*F35,0)</f>
        <v>1666</v>
      </c>
      <c r="D35" s="200"/>
      <c r="E35" s="200"/>
      <c r="F35" s="1547">
        <f>'数据-取费表'!E21</f>
        <v>0.03</v>
      </c>
      <c r="G35" s="180" t="s">
        <v>2069</v>
      </c>
    </row>
    <row r="36" spans="1:7" ht="24">
      <c r="A36" s="177" t="s">
        <v>2021</v>
      </c>
      <c r="B36" s="178" t="s">
        <v>2070</v>
      </c>
      <c r="C36" s="200">
        <f>ROUND(IF('数据-取费表'!B10="住宅",C34*F36,0),0)</f>
        <v>0</v>
      </c>
      <c r="D36" s="200"/>
      <c r="E36" s="200"/>
      <c r="F36" s="1547">
        <f>'数据-取费表'!E22</f>
        <v>0.05</v>
      </c>
      <c r="G36" s="208" t="s">
        <v>2071</v>
      </c>
    </row>
    <row r="37" spans="1:7" s="207" customFormat="1" ht="13.5" customHeight="1">
      <c r="A37" s="177" t="s">
        <v>2052</v>
      </c>
      <c r="B37" s="178" t="s">
        <v>2072</v>
      </c>
      <c r="C37" s="200">
        <f>ROUND(E37*D37,0)</f>
        <v>3174</v>
      </c>
      <c r="D37" s="1535">
        <f>IF(B1="仅计算典型户型",'数据-取费表'!E5,'数据-取费表'!B5)</f>
        <v>15.87</v>
      </c>
      <c r="E37" s="200">
        <f>'数据-取费表'!E23</f>
        <v>200</v>
      </c>
      <c r="F37" s="1547"/>
      <c r="G37" s="209" t="s">
        <v>2073</v>
      </c>
    </row>
    <row r="38" spans="1:7" ht="13.5" customHeight="1">
      <c r="A38" s="177" t="s">
        <v>2074</v>
      </c>
      <c r="B38" s="178" t="s">
        <v>2075</v>
      </c>
      <c r="C38" s="200">
        <f>ROUND(C34*F38,0)</f>
        <v>833</v>
      </c>
      <c r="D38" s="200"/>
      <c r="E38" s="200"/>
      <c r="F38" s="1547">
        <f>'数据-取费表'!E24</f>
        <v>1.4999999999999999E-2</v>
      </c>
      <c r="G38" s="180" t="s">
        <v>2069</v>
      </c>
    </row>
    <row r="39" spans="1:7" s="176" customFormat="1" ht="13.5" customHeight="1">
      <c r="A39" s="205" t="s">
        <v>2034</v>
      </c>
      <c r="B39" s="174" t="s">
        <v>2037</v>
      </c>
      <c r="C39" s="184">
        <f>ROUND(C33*F20,0)</f>
        <v>1837</v>
      </c>
      <c r="D39" s="184"/>
      <c r="E39" s="184"/>
      <c r="F39" s="188"/>
      <c r="G39" s="185" t="s">
        <v>2076</v>
      </c>
    </row>
    <row r="40" spans="1:7" s="176" customFormat="1" ht="13.5" customHeight="1">
      <c r="A40" s="205" t="s">
        <v>2036</v>
      </c>
      <c r="B40" s="174" t="s">
        <v>2040</v>
      </c>
      <c r="C40" s="1825">
        <f>F21</f>
        <v>0.03</v>
      </c>
      <c r="D40" s="187" t="s">
        <v>2077</v>
      </c>
      <c r="E40" s="184"/>
      <c r="F40" s="188"/>
      <c r="G40" s="185" t="s">
        <v>2078</v>
      </c>
    </row>
    <row r="41" spans="1:7" s="176" customFormat="1" ht="13.5" customHeight="1">
      <c r="A41" s="205" t="s">
        <v>2039</v>
      </c>
      <c r="B41" s="174" t="s">
        <v>2044</v>
      </c>
      <c r="C41" s="184">
        <f ca="1">ROUND(SUM(C42:C43),0)</f>
        <v>2995</v>
      </c>
      <c r="D41" s="186">
        <f ca="1">C44</f>
        <v>1.4E-3</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2908</v>
      </c>
      <c r="D42" s="189"/>
      <c r="E42" s="189"/>
      <c r="F42" s="190"/>
      <c r="G42" s="3105" t="s">
        <v>2079</v>
      </c>
    </row>
    <row r="43" spans="1:7" ht="13.5" customHeight="1">
      <c r="A43" s="177" t="s">
        <v>2019</v>
      </c>
      <c r="B43" s="178" t="s">
        <v>2048</v>
      </c>
      <c r="C43" s="189">
        <f ca="1">ROUND(IF('数据-取费表'!B23&lt;=1,C39*F22*'数据-取费表'!B22/2,C39*(POWER((1+F22),'数据-取费表'!B22/2)-1)),0)</f>
        <v>87</v>
      </c>
      <c r="D43" s="189"/>
      <c r="E43" s="189"/>
      <c r="F43" s="190"/>
      <c r="G43" s="3106"/>
    </row>
    <row r="44" spans="1:7" ht="13.5" customHeight="1">
      <c r="A44" s="177" t="s">
        <v>2021</v>
      </c>
      <c r="B44" s="178" t="s">
        <v>2050</v>
      </c>
      <c r="C44" s="189">
        <f ca="1">ROUND(IF('数据-取费表'!B23&lt;=1,C40*F22*'数据-取费表'!B22/2,C40*(POWER((1+F22),'数据-取费表'!B22/2)-1)),4)</f>
        <v>1.4E-3</v>
      </c>
      <c r="D44" s="189"/>
      <c r="E44" s="189"/>
      <c r="F44" s="190"/>
      <c r="G44" s="3107"/>
    </row>
    <row r="45" spans="1:7" s="176" customFormat="1" ht="13.5" customHeight="1">
      <c r="A45" s="205" t="s">
        <v>2043</v>
      </c>
      <c r="B45" s="195" t="s">
        <v>2055</v>
      </c>
      <c r="C45" s="196">
        <f>C46</f>
        <v>12611</v>
      </c>
      <c r="D45" s="186">
        <f>C47</f>
        <v>6.0000000000000001E-3</v>
      </c>
      <c r="E45" s="187" t="s">
        <v>2077</v>
      </c>
      <c r="F45" s="197"/>
      <c r="G45" s="198" t="s">
        <v>2080</v>
      </c>
    </row>
    <row r="46" spans="1:7" s="176" customFormat="1" ht="13.5" customHeight="1">
      <c r="A46" s="177" t="s">
        <v>2045</v>
      </c>
      <c r="B46" s="199" t="s">
        <v>2081</v>
      </c>
      <c r="C46" s="200">
        <f>ROUND((C33+C39)*F27,0)</f>
        <v>12611</v>
      </c>
      <c r="D46" s="210"/>
      <c r="E46" s="187"/>
      <c r="F46" s="197"/>
      <c r="G46" s="198"/>
    </row>
    <row r="47" spans="1:7" s="176" customFormat="1" ht="13.5" customHeight="1">
      <c r="A47" s="177" t="s">
        <v>2019</v>
      </c>
      <c r="B47" s="199" t="s">
        <v>2082</v>
      </c>
      <c r="C47" s="189">
        <f>ROUND(C40*F27,4)</f>
        <v>6.0000000000000001E-3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86507</v>
      </c>
      <c r="D49" s="184"/>
      <c r="E49" s="184"/>
      <c r="F49" s="211"/>
      <c r="G49" s="185" t="s">
        <v>2087</v>
      </c>
    </row>
    <row r="50" spans="1:7" s="207" customFormat="1" ht="24">
      <c r="A50" s="1307" t="s">
        <v>2088</v>
      </c>
      <c r="B50" s="174" t="s">
        <v>2089</v>
      </c>
      <c r="C50" s="184"/>
      <c r="D50" s="184"/>
      <c r="E50" s="184"/>
      <c r="F50" s="211">
        <f>IF('数据-取费表'!B25=0,'数据-取费表'!E20,1)</f>
        <v>0.74</v>
      </c>
      <c r="G50" s="198" t="s">
        <v>2090</v>
      </c>
    </row>
    <row r="51" spans="1:7" ht="16.5" customHeight="1">
      <c r="A51" s="1307" t="s">
        <v>2091</v>
      </c>
      <c r="B51" s="174" t="s">
        <v>2092</v>
      </c>
      <c r="C51" s="184">
        <f ca="1">ROUND(C49*F50,0)</f>
        <v>64015</v>
      </c>
      <c r="D51" s="184"/>
      <c r="E51" s="184"/>
      <c r="F51" s="211"/>
      <c r="G51" s="185" t="s">
        <v>2093</v>
      </c>
    </row>
    <row r="52" spans="1:7" s="173" customFormat="1" ht="16.5" thickBot="1">
      <c r="A52" s="212" t="s">
        <v>2094</v>
      </c>
      <c r="B52" s="213"/>
      <c r="C52" s="214">
        <f ca="1">C31+C51</f>
        <v>595070</v>
      </c>
      <c r="D52" s="213"/>
      <c r="E52" s="213"/>
      <c r="F52" s="213"/>
      <c r="G52" s="215"/>
    </row>
    <row r="55" spans="1:7" ht="15">
      <c r="B55" s="217" t="s">
        <v>2095</v>
      </c>
      <c r="C55" s="218"/>
    </row>
    <row r="56" spans="1:7">
      <c r="B56" s="220" t="s">
        <v>2096</v>
      </c>
      <c r="C56" s="221">
        <f ca="1">ROUND(C51/C52,3)</f>
        <v>0.108</v>
      </c>
    </row>
    <row r="57" spans="1:7">
      <c r="B57" s="220" t="s">
        <v>2097</v>
      </c>
      <c r="C57" s="222">
        <f ca="1">1-C56</f>
        <v>0.89200000000000002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88" workbookViewId="0">
      <selection activeCell="J124" sqref="J124"/>
    </sheetView>
  </sheetViews>
  <sheetFormatPr defaultRowHeight="13.5"/>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0" sqref="C30"/>
    </sheetView>
  </sheetViews>
  <sheetFormatPr defaultColWidth="14.625" defaultRowHeight="13.5"/>
  <cols>
    <col min="1" max="1" width="24.375" customWidth="1"/>
  </cols>
  <sheetData>
    <row r="1" spans="1:9" ht="16.5">
      <c r="A1" s="1836" t="s">
        <v>1229</v>
      </c>
      <c r="B1" s="1836">
        <f>SUM(B14:B23)</f>
        <v>15.87</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43062</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45.789700000000003</v>
      </c>
      <c r="C5" s="1836">
        <f ca="1">ROUND(B5*10000/$B$1,0)</f>
        <v>28853</v>
      </c>
      <c r="D5" s="1836" t="e">
        <f ca="1">ROUND(B5*10000/$B$2,0)</f>
        <v>#DIV/0!</v>
      </c>
      <c r="E5" s="1837"/>
      <c r="F5" s="1841"/>
      <c r="G5" s="1841"/>
    </row>
    <row r="6" spans="1:9" ht="16.5">
      <c r="A6" s="1836" t="s">
        <v>1237</v>
      </c>
      <c r="B6" s="1836">
        <f ca="1">SUM(G14:G23)</f>
        <v>45.789700000000003</v>
      </c>
      <c r="C6" s="1836">
        <f t="shared" ref="C6:C8" ca="1" si="0">ROUND(B6*10000/$B$1,0)</f>
        <v>28853</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2865</v>
      </c>
      <c r="B14" s="1840">
        <f>项目基本情况!C12</f>
        <v>15.87</v>
      </c>
      <c r="C14" s="1840">
        <f>项目基本情况!C13</f>
        <v>0</v>
      </c>
      <c r="D14" s="1840">
        <f ca="1">IF('数据-取费表'!B3="万元",IF(A14="估价对象1（结果表）",结果表!H121,'结果表 (1修多)'!H124),IF(A14="估价对象1（结果表）",结果表!H121,'结果表 (1修多)'!H124)/10000)</f>
        <v>45.789700000000003</v>
      </c>
      <c r="E14" s="1840">
        <f ca="1">ROUND(D14*10000/B14,0)</f>
        <v>28853</v>
      </c>
      <c r="F14" s="1840" t="e">
        <f ca="1">ROUND(D14*10000/C14,0)</f>
        <v>#DIV/0!</v>
      </c>
      <c r="G14" s="1840">
        <f ca="1">IF('数据-取费表'!B3="万元",IF(A14="估价对象1（结果表）",结果表!D125,'结果表 (1修多)'!D128),IF(A14="估价对象1（结果表）",结果表!D125,'结果表 (1修多)'!D128)/10000)</f>
        <v>45.789700000000003</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8" t="s">
        <v>788</v>
      </c>
      <c r="B1" s="3108"/>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估价对象紧邻城市主干道——中关村大街，临近地铁4号线（中关村站）；以估价对象为中心半径2公里范围内有302路、307路、320路、332路、355路等二十余条公交线路，综合评价交通便捷度好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城市主干道——中关村大街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自然环境：海淀公园等；人文环境：北京大学等，综合评价环境状况较好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t="str">
        <f>估价对象房地状况!C5</f>
        <v>周边有中科大厦、海龙大厦、四通大厦等写字楼</v>
      </c>
      <c r="C15" s="808" t="s">
        <v>713</v>
      </c>
      <c r="D15" s="828">
        <f t="shared" ref="D15:D23" si="4">SUMIF($I$3:$M$3,C15,I15:M15)</f>
        <v>0.02</v>
      </c>
      <c r="E15" s="829">
        <v>0.24</v>
      </c>
      <c r="F15" s="830">
        <f>D15*E15+D16*E16+D17*E17+D18*E18+D19*E19+D20*E20+D21*E21+D22*E22+D23*E23</f>
        <v>1.49E-2</v>
      </c>
      <c r="G15" s="831">
        <f>IF(基准地价修正!E2="办公",SUMIF(基准地价修正!L1:L12,基准地价修正!G2,基准地价修正!N1:N12),"——")</f>
        <v>7.0999999999999994E-2</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估价对象紧邻城市主干道——中关村大街，临近地铁4号线（中关村站）；以估价对象为中心半径2公里范围内有302路、307路、320路、332路、355路等二十余条公交线路，综合评价交通便捷度好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城市主干道——中关村大街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自然环境：海淀公园等；人文环境：北京大学等，综合评价环境状况较好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14.25">
      <c r="A26" s="821" t="s">
        <v>723</v>
      </c>
      <c r="B26" s="827">
        <f>估价对象房地状况!C3</f>
        <v>0</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估价对象紧邻城市主干道——中关村大街，临近地铁4号线（中关村站）；以估价对象为中心半径2公里范围内有302路、307路、320路、332路、355路等二十余条公交线路，综合评价交通便捷度好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城市主干道——中关村大街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自然环境：海淀公园等；人文环境：北京大学等，综合评价环境状况较好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8" t="s">
        <v>105</v>
      </c>
      <c r="B1" s="3108"/>
      <c r="C1" s="3108"/>
      <c r="D1" s="3108"/>
      <c r="E1" s="3108"/>
      <c r="F1" s="3108"/>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9" t="s">
        <v>118</v>
      </c>
      <c r="B2" s="3109"/>
      <c r="C2" s="3109"/>
      <c r="D2" s="3109"/>
      <c r="E2" s="3109"/>
      <c r="F2" s="3109"/>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0"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1"/>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23180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2" t="s">
        <v>132</v>
      </c>
      <c r="B18" s="908" t="s">
        <v>517</v>
      </c>
      <c r="C18" s="909" t="s">
        <v>518</v>
      </c>
      <c r="D18" s="910"/>
      <c r="E18" s="908">
        <v>1</v>
      </c>
      <c r="F18" s="911" t="s">
        <v>519</v>
      </c>
      <c r="G18" s="912"/>
      <c r="H18" s="904"/>
      <c r="I18" s="904"/>
    </row>
    <row r="19" spans="1:9" s="913" customFormat="1" ht="19.5" customHeight="1">
      <c r="A19" s="3112"/>
      <c r="B19" s="3112" t="s">
        <v>520</v>
      </c>
      <c r="C19" s="909" t="s">
        <v>521</v>
      </c>
      <c r="D19" s="910"/>
      <c r="E19" s="908">
        <v>0.9</v>
      </c>
      <c r="F19" s="911" t="s">
        <v>522</v>
      </c>
      <c r="G19" s="912"/>
      <c r="H19" s="904"/>
      <c r="I19" s="904"/>
    </row>
    <row r="20" spans="1:9" s="913" customFormat="1" ht="19.5" customHeight="1">
      <c r="A20" s="3112"/>
      <c r="B20" s="3112"/>
      <c r="C20" s="909" t="s">
        <v>523</v>
      </c>
      <c r="D20" s="910"/>
      <c r="E20" s="908">
        <v>1.1000000000000001</v>
      </c>
      <c r="F20" s="911" t="s">
        <v>524</v>
      </c>
      <c r="G20" s="912"/>
      <c r="H20" s="904"/>
      <c r="I20" s="904"/>
    </row>
    <row r="21" spans="1:9" s="913" customFormat="1" ht="19.5" customHeight="1">
      <c r="A21" s="3112"/>
      <c r="B21" s="3112"/>
      <c r="C21" s="909" t="s">
        <v>525</v>
      </c>
      <c r="D21" s="910"/>
      <c r="E21" s="908">
        <v>0.8</v>
      </c>
      <c r="F21" s="911" t="s">
        <v>526</v>
      </c>
      <c r="G21" s="912"/>
      <c r="H21" s="904"/>
      <c r="I21" s="904"/>
    </row>
    <row r="22" spans="1:9" s="913" customFormat="1" ht="19.5" customHeight="1">
      <c r="A22" s="3112"/>
      <c r="B22" s="3112"/>
      <c r="C22" s="909" t="s">
        <v>527</v>
      </c>
      <c r="D22" s="910"/>
      <c r="E22" s="908">
        <v>0.5</v>
      </c>
      <c r="F22" s="911"/>
      <c r="G22" s="912"/>
      <c r="H22" s="904"/>
      <c r="I22" s="904"/>
    </row>
    <row r="23" spans="1:9" s="913" customFormat="1" ht="19.5" customHeight="1">
      <c r="A23" s="3112" t="s">
        <v>133</v>
      </c>
      <c r="B23" s="908" t="s">
        <v>517</v>
      </c>
      <c r="C23" s="909" t="s">
        <v>528</v>
      </c>
      <c r="D23" s="910"/>
      <c r="E23" s="908">
        <v>1</v>
      </c>
      <c r="F23" s="911" t="s">
        <v>529</v>
      </c>
      <c r="G23" s="912"/>
      <c r="H23" s="904"/>
      <c r="I23" s="904"/>
    </row>
    <row r="24" spans="1:9" s="913" customFormat="1" ht="19.5" customHeight="1">
      <c r="A24" s="3112"/>
      <c r="B24" s="3112" t="s">
        <v>520</v>
      </c>
      <c r="C24" s="909" t="s">
        <v>530</v>
      </c>
      <c r="D24" s="910"/>
      <c r="E24" s="908">
        <v>0.5</v>
      </c>
      <c r="F24" s="911"/>
      <c r="G24" s="912"/>
      <c r="H24" s="904"/>
      <c r="I24" s="904"/>
    </row>
    <row r="25" spans="1:9" s="913" customFormat="1" ht="19.5" customHeight="1">
      <c r="A25" s="3112"/>
      <c r="B25" s="3112"/>
      <c r="C25" s="909" t="s">
        <v>531</v>
      </c>
      <c r="D25" s="910"/>
      <c r="E25" s="908">
        <v>1.1000000000000001</v>
      </c>
      <c r="F25" s="911"/>
      <c r="G25" s="912"/>
      <c r="H25" s="904"/>
      <c r="I25" s="904"/>
    </row>
    <row r="26" spans="1:9" s="913" customFormat="1" ht="19.5" customHeight="1">
      <c r="A26" s="3112"/>
      <c r="B26" s="3112"/>
      <c r="C26" s="909" t="s">
        <v>532</v>
      </c>
      <c r="D26" s="910"/>
      <c r="E26" s="908">
        <v>1.1000000000000001</v>
      </c>
      <c r="F26" s="911"/>
      <c r="G26" s="912"/>
      <c r="H26" s="904"/>
      <c r="I26" s="904"/>
    </row>
    <row r="27" spans="1:9" s="913" customFormat="1" ht="19.5" customHeight="1">
      <c r="A27" s="3112"/>
      <c r="B27" s="3112"/>
      <c r="C27" s="909" t="s">
        <v>533</v>
      </c>
      <c r="D27" s="910"/>
      <c r="E27" s="908">
        <v>0.9</v>
      </c>
      <c r="F27" s="911" t="s">
        <v>534</v>
      </c>
      <c r="G27" s="912"/>
      <c r="H27" s="904"/>
      <c r="I27" s="904"/>
    </row>
    <row r="28" spans="1:9" s="913" customFormat="1" ht="19.5" customHeight="1">
      <c r="A28" s="3112"/>
      <c r="B28" s="3112"/>
      <c r="C28" s="909" t="s">
        <v>535</v>
      </c>
      <c r="D28" s="910"/>
      <c r="E28" s="908">
        <v>0.9</v>
      </c>
      <c r="F28" s="911" t="s">
        <v>536</v>
      </c>
      <c r="G28" s="912"/>
      <c r="H28" s="904"/>
      <c r="I28" s="904"/>
    </row>
    <row r="29" spans="1:9" s="913" customFormat="1" ht="19.5" customHeight="1">
      <c r="A29" s="3112"/>
      <c r="B29" s="3112"/>
      <c r="C29" s="909" t="s">
        <v>537</v>
      </c>
      <c r="D29" s="910"/>
      <c r="E29" s="908">
        <v>0.9</v>
      </c>
      <c r="F29" s="911" t="s">
        <v>538</v>
      </c>
      <c r="G29" s="912"/>
      <c r="H29" s="904"/>
      <c r="I29" s="904"/>
    </row>
    <row r="30" spans="1:9" s="913" customFormat="1" ht="19.5" customHeight="1">
      <c r="A30" s="3112"/>
      <c r="B30" s="3112"/>
      <c r="C30" s="909" t="s">
        <v>539</v>
      </c>
      <c r="D30" s="910"/>
      <c r="E30" s="908">
        <v>0.9</v>
      </c>
      <c r="F30" s="911" t="s">
        <v>540</v>
      </c>
      <c r="G30" s="912"/>
      <c r="H30" s="904"/>
      <c r="I30" s="904"/>
    </row>
    <row r="31" spans="1:9" s="913" customFormat="1" ht="19.5" customHeight="1">
      <c r="A31" s="3112"/>
      <c r="B31" s="3112"/>
      <c r="C31" s="909" t="s">
        <v>541</v>
      </c>
      <c r="D31" s="910"/>
      <c r="E31" s="908">
        <v>0.8</v>
      </c>
      <c r="F31" s="911" t="s">
        <v>542</v>
      </c>
      <c r="G31" s="912"/>
      <c r="H31" s="904"/>
      <c r="I31" s="904"/>
    </row>
    <row r="32" spans="1:9" s="913" customFormat="1" ht="19.5" customHeight="1">
      <c r="A32" s="3112"/>
      <c r="B32" s="3112"/>
      <c r="C32" s="909" t="s">
        <v>543</v>
      </c>
      <c r="D32" s="910"/>
      <c r="E32" s="908">
        <v>0.8</v>
      </c>
      <c r="F32" s="911" t="s">
        <v>544</v>
      </c>
      <c r="G32" s="912"/>
      <c r="H32" s="904"/>
      <c r="I32" s="904"/>
    </row>
    <row r="33" spans="1:9" s="913" customFormat="1" ht="19.5" customHeight="1">
      <c r="A33" s="3112" t="s">
        <v>134</v>
      </c>
      <c r="B33" s="908" t="s">
        <v>517</v>
      </c>
      <c r="C33" s="909" t="s">
        <v>545</v>
      </c>
      <c r="D33" s="910"/>
      <c r="E33" s="908">
        <v>1</v>
      </c>
      <c r="F33" s="911" t="s">
        <v>546</v>
      </c>
      <c r="G33" s="912"/>
      <c r="H33" s="904"/>
      <c r="I33" s="904"/>
    </row>
    <row r="34" spans="1:9" s="913" customFormat="1" ht="19.5" customHeight="1">
      <c r="A34" s="3112"/>
      <c r="B34" s="908" t="s">
        <v>520</v>
      </c>
      <c r="C34" s="909" t="s">
        <v>547</v>
      </c>
      <c r="D34" s="910"/>
      <c r="E34" s="908">
        <v>1.5</v>
      </c>
      <c r="F34" s="911" t="s">
        <v>548</v>
      </c>
      <c r="G34" s="912"/>
      <c r="H34" s="904"/>
      <c r="I34" s="904"/>
    </row>
    <row r="35" spans="1:9" s="913" customFormat="1" ht="19.5" customHeight="1">
      <c r="A35" s="3112" t="s">
        <v>135</v>
      </c>
      <c r="B35" s="908" t="s">
        <v>517</v>
      </c>
      <c r="C35" s="909" t="s">
        <v>549</v>
      </c>
      <c r="D35" s="910"/>
      <c r="E35" s="908">
        <v>1</v>
      </c>
      <c r="F35" s="911" t="s">
        <v>550</v>
      </c>
      <c r="G35" s="912"/>
      <c r="H35" s="904"/>
      <c r="I35" s="904"/>
    </row>
    <row r="36" spans="1:9" s="913" customFormat="1" ht="19.5" customHeight="1">
      <c r="A36" s="3112"/>
      <c r="B36" s="3112" t="s">
        <v>520</v>
      </c>
      <c r="C36" s="909" t="s">
        <v>551</v>
      </c>
      <c r="D36" s="910"/>
      <c r="E36" s="908">
        <v>1</v>
      </c>
      <c r="F36" s="911" t="s">
        <v>552</v>
      </c>
      <c r="G36" s="912"/>
      <c r="H36" s="904"/>
      <c r="I36" s="904"/>
    </row>
    <row r="37" spans="1:9" s="913" customFormat="1" ht="19.5" customHeight="1">
      <c r="A37" s="3112"/>
      <c r="B37" s="3112"/>
      <c r="C37" s="909" t="s">
        <v>553</v>
      </c>
      <c r="D37" s="910"/>
      <c r="E37" s="908">
        <v>1.5</v>
      </c>
      <c r="F37" s="911" t="s">
        <v>554</v>
      </c>
      <c r="G37" s="912"/>
      <c r="H37" s="904"/>
      <c r="I37" s="904"/>
    </row>
    <row r="38" spans="1:9" s="913" customFormat="1" ht="19.5" customHeight="1">
      <c r="A38" s="3112"/>
      <c r="B38" s="3112"/>
      <c r="C38" s="909" t="s">
        <v>555</v>
      </c>
      <c r="D38" s="910"/>
      <c r="E38" s="908">
        <v>1</v>
      </c>
      <c r="F38" s="911" t="s">
        <v>556</v>
      </c>
      <c r="G38" s="912"/>
      <c r="H38" s="904"/>
      <c r="I38" s="904"/>
    </row>
    <row r="39" spans="1:9" s="913" customFormat="1" ht="19.5" customHeight="1">
      <c r="A39" s="3112"/>
      <c r="B39" s="3112"/>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2" t="s">
        <v>571</v>
      </c>
      <c r="C61" s="822" t="s">
        <v>572</v>
      </c>
      <c r="D61" s="822" t="s">
        <v>573</v>
      </c>
      <c r="E61" s="921">
        <v>0.5</v>
      </c>
      <c r="F61" s="908">
        <v>80</v>
      </c>
    </row>
    <row r="62" spans="1:8" s="904" customFormat="1" ht="24">
      <c r="A62" s="908">
        <v>2</v>
      </c>
      <c r="B62" s="3112"/>
      <c r="C62" s="822" t="s">
        <v>574</v>
      </c>
      <c r="D62" s="822" t="s">
        <v>575</v>
      </c>
      <c r="E62" s="921">
        <v>0.5</v>
      </c>
      <c r="F62" s="908">
        <v>80</v>
      </c>
    </row>
    <row r="63" spans="1:8" s="904" customFormat="1" ht="36">
      <c r="A63" s="908">
        <v>3</v>
      </c>
      <c r="B63" s="3112"/>
      <c r="C63" s="822" t="s">
        <v>576</v>
      </c>
      <c r="D63" s="822" t="s">
        <v>577</v>
      </c>
      <c r="E63" s="921">
        <v>0.5</v>
      </c>
      <c r="F63" s="908">
        <v>80</v>
      </c>
    </row>
    <row r="64" spans="1:8" s="904" customFormat="1" ht="36">
      <c r="A64" s="908">
        <v>4</v>
      </c>
      <c r="B64" s="3112"/>
      <c r="C64" s="822" t="s">
        <v>578</v>
      </c>
      <c r="D64" s="822" t="s">
        <v>579</v>
      </c>
      <c r="E64" s="921">
        <v>0.4</v>
      </c>
      <c r="F64" s="908">
        <v>60</v>
      </c>
    </row>
    <row r="65" spans="1:6" s="904" customFormat="1" ht="36">
      <c r="A65" s="908">
        <v>5</v>
      </c>
      <c r="B65" s="3112"/>
      <c r="C65" s="822" t="s">
        <v>580</v>
      </c>
      <c r="D65" s="822" t="s">
        <v>581</v>
      </c>
      <c r="E65" s="921">
        <v>0.2</v>
      </c>
      <c r="F65" s="908">
        <v>30</v>
      </c>
    </row>
    <row r="66" spans="1:6" s="904" customFormat="1" ht="36">
      <c r="A66" s="908">
        <v>6</v>
      </c>
      <c r="B66" s="3112"/>
      <c r="C66" s="822" t="s">
        <v>582</v>
      </c>
      <c r="D66" s="822" t="s">
        <v>583</v>
      </c>
      <c r="E66" s="921">
        <v>0.3</v>
      </c>
      <c r="F66" s="908">
        <v>50</v>
      </c>
    </row>
    <row r="67" spans="1:6" s="904" customFormat="1" ht="36">
      <c r="A67" s="908">
        <v>7</v>
      </c>
      <c r="B67" s="3112"/>
      <c r="C67" s="822" t="s">
        <v>584</v>
      </c>
      <c r="D67" s="822" t="s">
        <v>585</v>
      </c>
      <c r="E67" s="921">
        <v>0.2</v>
      </c>
      <c r="F67" s="908">
        <v>30</v>
      </c>
    </row>
    <row r="68" spans="1:6" s="904" customFormat="1" ht="36">
      <c r="A68" s="908">
        <v>8</v>
      </c>
      <c r="B68" s="3112"/>
      <c r="C68" s="822" t="s">
        <v>586</v>
      </c>
      <c r="D68" s="822" t="s">
        <v>587</v>
      </c>
      <c r="E68" s="921">
        <v>0.2</v>
      </c>
      <c r="F68" s="908">
        <v>30</v>
      </c>
    </row>
    <row r="69" spans="1:6" s="904" customFormat="1" ht="36">
      <c r="A69" s="908">
        <v>9</v>
      </c>
      <c r="B69" s="3112"/>
      <c r="C69" s="822" t="s">
        <v>588</v>
      </c>
      <c r="D69" s="822" t="s">
        <v>589</v>
      </c>
      <c r="E69" s="921">
        <v>0.2</v>
      </c>
      <c r="F69" s="908">
        <v>30</v>
      </c>
    </row>
    <row r="70" spans="1:6" s="904" customFormat="1" ht="48">
      <c r="A70" s="908">
        <v>10</v>
      </c>
      <c r="B70" s="3112"/>
      <c r="C70" s="822" t="s">
        <v>590</v>
      </c>
      <c r="D70" s="822" t="s">
        <v>591</v>
      </c>
      <c r="E70" s="921">
        <v>0.2</v>
      </c>
      <c r="F70" s="908">
        <v>30</v>
      </c>
    </row>
    <row r="71" spans="1:6" s="904" customFormat="1" ht="48">
      <c r="A71" s="908">
        <v>11</v>
      </c>
      <c r="B71" s="3112"/>
      <c r="C71" s="822" t="s">
        <v>592</v>
      </c>
      <c r="D71" s="822" t="s">
        <v>593</v>
      </c>
      <c r="E71" s="921">
        <v>0.2</v>
      </c>
      <c r="F71" s="908">
        <v>30</v>
      </c>
    </row>
    <row r="72" spans="1:6" s="904" customFormat="1" ht="36">
      <c r="A72" s="908">
        <v>12</v>
      </c>
      <c r="B72" s="3112"/>
      <c r="C72" s="822" t="s">
        <v>594</v>
      </c>
      <c r="D72" s="822" t="s">
        <v>595</v>
      </c>
      <c r="E72" s="921">
        <v>0.5</v>
      </c>
      <c r="F72" s="908">
        <v>80</v>
      </c>
    </row>
    <row r="73" spans="1:6" s="904" customFormat="1" ht="24">
      <c r="A73" s="908">
        <v>13</v>
      </c>
      <c r="B73" s="3112"/>
      <c r="C73" s="822" t="s">
        <v>596</v>
      </c>
      <c r="D73" s="822" t="s">
        <v>597</v>
      </c>
      <c r="E73" s="921">
        <v>0.4</v>
      </c>
      <c r="F73" s="908">
        <v>60</v>
      </c>
    </row>
    <row r="74" spans="1:6" s="904" customFormat="1" ht="24">
      <c r="A74" s="908">
        <v>14</v>
      </c>
      <c r="B74" s="3112"/>
      <c r="C74" s="822" t="s">
        <v>598</v>
      </c>
      <c r="D74" s="822" t="s">
        <v>599</v>
      </c>
      <c r="E74" s="921">
        <v>0.2</v>
      </c>
      <c r="F74" s="908">
        <v>30</v>
      </c>
    </row>
    <row r="75" spans="1:6" s="904" customFormat="1" ht="24">
      <c r="A75" s="908">
        <v>15</v>
      </c>
      <c r="B75" s="3112"/>
      <c r="C75" s="822" t="s">
        <v>600</v>
      </c>
      <c r="D75" s="822" t="s">
        <v>601</v>
      </c>
      <c r="E75" s="921">
        <v>0.2</v>
      </c>
      <c r="F75" s="908">
        <v>30</v>
      </c>
    </row>
    <row r="76" spans="1:6" s="904" customFormat="1" ht="24">
      <c r="A76" s="908">
        <v>16</v>
      </c>
      <c r="B76" s="3112" t="s">
        <v>602</v>
      </c>
      <c r="C76" s="822" t="s">
        <v>603</v>
      </c>
      <c r="D76" s="822" t="s">
        <v>604</v>
      </c>
      <c r="E76" s="921">
        <v>0.5</v>
      </c>
      <c r="F76" s="908">
        <v>80</v>
      </c>
    </row>
    <row r="77" spans="1:6" s="904" customFormat="1" ht="24">
      <c r="A77" s="908">
        <v>17</v>
      </c>
      <c r="B77" s="3112"/>
      <c r="C77" s="822" t="s">
        <v>605</v>
      </c>
      <c r="D77" s="822" t="s">
        <v>606</v>
      </c>
      <c r="E77" s="921">
        <v>0.5</v>
      </c>
      <c r="F77" s="908">
        <v>80</v>
      </c>
    </row>
    <row r="78" spans="1:6" s="904" customFormat="1" ht="24">
      <c r="A78" s="908">
        <v>18</v>
      </c>
      <c r="B78" s="3112"/>
      <c r="C78" s="822" t="s">
        <v>607</v>
      </c>
      <c r="D78" s="822" t="s">
        <v>608</v>
      </c>
      <c r="E78" s="921">
        <v>0.2</v>
      </c>
      <c r="F78" s="908">
        <v>30</v>
      </c>
    </row>
    <row r="79" spans="1:6" s="904" customFormat="1" ht="24">
      <c r="A79" s="908">
        <v>19</v>
      </c>
      <c r="B79" s="3112"/>
      <c r="C79" s="822" t="s">
        <v>609</v>
      </c>
      <c r="D79" s="822" t="s">
        <v>610</v>
      </c>
      <c r="E79" s="921">
        <v>0.5</v>
      </c>
      <c r="F79" s="908">
        <v>80</v>
      </c>
    </row>
    <row r="80" spans="1:6" s="904" customFormat="1" ht="36">
      <c r="A80" s="908">
        <v>20</v>
      </c>
      <c r="B80" s="3112"/>
      <c r="C80" s="822" t="s">
        <v>611</v>
      </c>
      <c r="D80" s="822" t="s">
        <v>612</v>
      </c>
      <c r="E80" s="921">
        <v>0.2</v>
      </c>
      <c r="F80" s="908">
        <v>30</v>
      </c>
    </row>
    <row r="81" spans="1:6" s="904" customFormat="1" ht="36">
      <c r="A81" s="908">
        <v>21</v>
      </c>
      <c r="B81" s="3112"/>
      <c r="C81" s="822" t="s">
        <v>613</v>
      </c>
      <c r="D81" s="822" t="s">
        <v>614</v>
      </c>
      <c r="E81" s="921">
        <v>0.2</v>
      </c>
      <c r="F81" s="908">
        <v>30</v>
      </c>
    </row>
    <row r="82" spans="1:6" s="904" customFormat="1" ht="48">
      <c r="A82" s="908">
        <v>22</v>
      </c>
      <c r="B82" s="3112"/>
      <c r="C82" s="822" t="s">
        <v>615</v>
      </c>
      <c r="D82" s="822" t="s">
        <v>616</v>
      </c>
      <c r="E82" s="921">
        <v>0.2</v>
      </c>
      <c r="F82" s="908">
        <v>30</v>
      </c>
    </row>
    <row r="83" spans="1:6" s="904" customFormat="1" ht="48">
      <c r="A83" s="908">
        <v>23</v>
      </c>
      <c r="B83" s="3112"/>
      <c r="C83" s="822" t="s">
        <v>617</v>
      </c>
      <c r="D83" s="822" t="s">
        <v>618</v>
      </c>
      <c r="E83" s="921">
        <v>0.2</v>
      </c>
      <c r="F83" s="908">
        <v>30</v>
      </c>
    </row>
    <row r="84" spans="1:6" s="904" customFormat="1" ht="36">
      <c r="A84" s="908">
        <v>24</v>
      </c>
      <c r="B84" s="3112"/>
      <c r="C84" s="822" t="s">
        <v>619</v>
      </c>
      <c r="D84" s="822" t="s">
        <v>620</v>
      </c>
      <c r="E84" s="921">
        <v>0.2</v>
      </c>
      <c r="F84" s="908">
        <v>30</v>
      </c>
    </row>
    <row r="85" spans="1:6" s="904" customFormat="1" ht="36">
      <c r="A85" s="908">
        <v>25</v>
      </c>
      <c r="B85" s="3112"/>
      <c r="C85" s="822" t="s">
        <v>621</v>
      </c>
      <c r="D85" s="822" t="s">
        <v>622</v>
      </c>
      <c r="E85" s="921">
        <v>0.5</v>
      </c>
      <c r="F85" s="908">
        <v>80</v>
      </c>
    </row>
    <row r="86" spans="1:6" s="904" customFormat="1" ht="36">
      <c r="A86" s="908">
        <v>26</v>
      </c>
      <c r="B86" s="3112"/>
      <c r="C86" s="822" t="s">
        <v>623</v>
      </c>
      <c r="D86" s="822" t="s">
        <v>624</v>
      </c>
      <c r="E86" s="921">
        <v>0.2</v>
      </c>
      <c r="F86" s="908">
        <v>30</v>
      </c>
    </row>
    <row r="87" spans="1:6" s="904" customFormat="1" ht="36">
      <c r="A87" s="908">
        <v>27</v>
      </c>
      <c r="B87" s="3112"/>
      <c r="C87" s="822" t="s">
        <v>625</v>
      </c>
      <c r="D87" s="822" t="s">
        <v>626</v>
      </c>
      <c r="E87" s="921">
        <v>0.2</v>
      </c>
      <c r="F87" s="908">
        <v>30</v>
      </c>
    </row>
    <row r="88" spans="1:6" s="904" customFormat="1" ht="36">
      <c r="A88" s="908">
        <v>28</v>
      </c>
      <c r="B88" s="3112"/>
      <c r="C88" s="822" t="s">
        <v>627</v>
      </c>
      <c r="D88" s="822" t="s">
        <v>628</v>
      </c>
      <c r="E88" s="921">
        <v>0.2</v>
      </c>
      <c r="F88" s="908">
        <v>30</v>
      </c>
    </row>
    <row r="89" spans="1:6" s="904" customFormat="1" ht="24">
      <c r="A89" s="908">
        <v>29</v>
      </c>
      <c r="B89" s="3112"/>
      <c r="C89" s="822" t="s">
        <v>629</v>
      </c>
      <c r="D89" s="822" t="s">
        <v>630</v>
      </c>
      <c r="E89" s="921">
        <v>0.2</v>
      </c>
      <c r="F89" s="908">
        <v>30</v>
      </c>
    </row>
    <row r="90" spans="1:6" s="904" customFormat="1" ht="24">
      <c r="A90" s="908">
        <v>30</v>
      </c>
      <c r="B90" s="3112"/>
      <c r="C90" s="822" t="s">
        <v>631</v>
      </c>
      <c r="D90" s="822" t="s">
        <v>632</v>
      </c>
      <c r="E90" s="921">
        <v>0.2</v>
      </c>
      <c r="F90" s="908">
        <v>30</v>
      </c>
    </row>
    <row r="91" spans="1:6" s="904" customFormat="1" ht="36">
      <c r="A91" s="908">
        <v>31</v>
      </c>
      <c r="B91" s="3112"/>
      <c r="C91" s="822" t="s">
        <v>633</v>
      </c>
      <c r="D91" s="822" t="s">
        <v>634</v>
      </c>
      <c r="E91" s="921">
        <v>0.2</v>
      </c>
      <c r="F91" s="908">
        <v>30</v>
      </c>
    </row>
    <row r="92" spans="1:6" s="904" customFormat="1" ht="24">
      <c r="A92" s="908">
        <v>32</v>
      </c>
      <c r="B92" s="3112" t="s">
        <v>635</v>
      </c>
      <c r="C92" s="908" t="s">
        <v>636</v>
      </c>
      <c r="D92" s="822" t="s">
        <v>637</v>
      </c>
      <c r="E92" s="921">
        <v>0.2</v>
      </c>
      <c r="F92" s="908">
        <v>30</v>
      </c>
    </row>
    <row r="93" spans="1:6" s="904" customFormat="1" ht="36">
      <c r="A93" s="908">
        <v>33</v>
      </c>
      <c r="B93" s="3112"/>
      <c r="C93" s="908" t="s">
        <v>638</v>
      </c>
      <c r="D93" s="822" t="s">
        <v>639</v>
      </c>
      <c r="E93" s="921">
        <v>0.2</v>
      </c>
      <c r="F93" s="908">
        <v>30</v>
      </c>
    </row>
    <row r="94" spans="1:6" s="904" customFormat="1" ht="48">
      <c r="A94" s="908">
        <v>34</v>
      </c>
      <c r="B94" s="3112"/>
      <c r="C94" s="908" t="s">
        <v>640</v>
      </c>
      <c r="D94" s="822" t="s">
        <v>641</v>
      </c>
      <c r="E94" s="921">
        <v>0.2</v>
      </c>
      <c r="F94" s="908">
        <v>30</v>
      </c>
    </row>
    <row r="95" spans="1:6" s="904" customFormat="1" ht="36">
      <c r="A95" s="908">
        <v>35</v>
      </c>
      <c r="B95" s="3112"/>
      <c r="C95" s="908" t="s">
        <v>642</v>
      </c>
      <c r="D95" s="822" t="s">
        <v>643</v>
      </c>
      <c r="E95" s="921">
        <v>0.2</v>
      </c>
      <c r="F95" s="908">
        <v>30</v>
      </c>
    </row>
    <row r="96" spans="1:6" s="904" customFormat="1" ht="48">
      <c r="A96" s="908">
        <v>36</v>
      </c>
      <c r="B96" s="3112"/>
      <c r="C96" s="822" t="s">
        <v>644</v>
      </c>
      <c r="D96" s="822" t="s">
        <v>645</v>
      </c>
      <c r="E96" s="921">
        <v>0.2</v>
      </c>
      <c r="F96" s="908">
        <v>30</v>
      </c>
    </row>
    <row r="97" spans="1:6" s="904" customFormat="1" ht="36">
      <c r="A97" s="908">
        <v>37</v>
      </c>
      <c r="B97" s="3112"/>
      <c r="C97" s="908" t="s">
        <v>646</v>
      </c>
      <c r="D97" s="822" t="s">
        <v>647</v>
      </c>
      <c r="E97" s="921">
        <v>0.2</v>
      </c>
      <c r="F97" s="908">
        <v>30</v>
      </c>
    </row>
    <row r="98" spans="1:6" s="904" customFormat="1" ht="36">
      <c r="A98" s="908">
        <v>38</v>
      </c>
      <c r="B98" s="3112"/>
      <c r="C98" s="908" t="s">
        <v>648</v>
      </c>
      <c r="D98" s="822" t="s">
        <v>649</v>
      </c>
      <c r="E98" s="921">
        <v>0.2</v>
      </c>
      <c r="F98" s="908">
        <v>30</v>
      </c>
    </row>
    <row r="99" spans="1:6" s="904" customFormat="1" ht="36">
      <c r="A99" s="908">
        <v>39</v>
      </c>
      <c r="B99" s="3112" t="s">
        <v>650</v>
      </c>
      <c r="C99" s="908" t="s">
        <v>651</v>
      </c>
      <c r="D99" s="822" t="s">
        <v>652</v>
      </c>
      <c r="E99" s="921">
        <v>0.3</v>
      </c>
      <c r="F99" s="908">
        <v>50</v>
      </c>
    </row>
    <row r="100" spans="1:6" s="904" customFormat="1" ht="24">
      <c r="A100" s="908">
        <v>40</v>
      </c>
      <c r="B100" s="3112"/>
      <c r="C100" s="908" t="s">
        <v>653</v>
      </c>
      <c r="D100" s="822" t="s">
        <v>654</v>
      </c>
      <c r="E100" s="921">
        <v>0.2</v>
      </c>
      <c r="F100" s="908">
        <v>30</v>
      </c>
    </row>
    <row r="101" spans="1:6" s="904" customFormat="1" ht="36">
      <c r="A101" s="908">
        <v>41</v>
      </c>
      <c r="B101" s="3112"/>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2" t="s">
        <v>665</v>
      </c>
      <c r="C105" s="908" t="s">
        <v>666</v>
      </c>
      <c r="D105" s="822" t="s">
        <v>667</v>
      </c>
      <c r="E105" s="921">
        <v>0.2</v>
      </c>
      <c r="F105" s="908">
        <v>30</v>
      </c>
    </row>
    <row r="106" spans="1:6" s="904" customFormat="1" ht="36">
      <c r="A106" s="908">
        <v>46</v>
      </c>
      <c r="B106" s="3112"/>
      <c r="C106" s="908" t="s">
        <v>668</v>
      </c>
      <c r="D106" s="822" t="s">
        <v>669</v>
      </c>
      <c r="E106" s="921">
        <v>0.2</v>
      </c>
      <c r="F106" s="908">
        <v>30</v>
      </c>
    </row>
    <row r="107" spans="1:6" s="904" customFormat="1" ht="36">
      <c r="A107" s="908">
        <v>47</v>
      </c>
      <c r="B107" s="3112" t="s">
        <v>670</v>
      </c>
      <c r="C107" s="908" t="s">
        <v>671</v>
      </c>
      <c r="D107" s="822" t="s">
        <v>672</v>
      </c>
      <c r="E107" s="921">
        <v>0.3</v>
      </c>
      <c r="F107" s="908">
        <v>50</v>
      </c>
    </row>
    <row r="108" spans="1:6" s="904" customFormat="1" ht="36">
      <c r="A108" s="908">
        <v>48</v>
      </c>
      <c r="B108" s="3112"/>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2" t="s">
        <v>681</v>
      </c>
      <c r="C111" s="908" t="s">
        <v>682</v>
      </c>
      <c r="D111" s="822" t="s">
        <v>683</v>
      </c>
      <c r="E111" s="921">
        <v>0.2</v>
      </c>
      <c r="F111" s="908">
        <v>30</v>
      </c>
    </row>
    <row r="112" spans="1:6" s="904" customFormat="1" ht="24">
      <c r="A112" s="908">
        <v>52</v>
      </c>
      <c r="B112" s="3112"/>
      <c r="C112" s="908" t="s">
        <v>684</v>
      </c>
      <c r="D112" s="822" t="s">
        <v>685</v>
      </c>
      <c r="E112" s="921">
        <v>0.2</v>
      </c>
      <c r="F112" s="908">
        <v>30</v>
      </c>
    </row>
    <row r="113" spans="1:6" s="904" customFormat="1" ht="24">
      <c r="A113" s="908">
        <v>53</v>
      </c>
      <c r="B113" s="3112"/>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2" t="s">
        <v>694</v>
      </c>
      <c r="C116" s="908" t="s">
        <v>695</v>
      </c>
      <c r="D116" s="822" t="s">
        <v>696</v>
      </c>
      <c r="E116" s="921">
        <v>0.2</v>
      </c>
      <c r="F116" s="908">
        <v>30</v>
      </c>
    </row>
    <row r="117" spans="1:6" ht="36">
      <c r="A117" s="908">
        <v>57</v>
      </c>
      <c r="B117" s="3112"/>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0.84279999999999999</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8" t="s">
        <v>1034</v>
      </c>
      <c r="C1" s="3118"/>
      <c r="D1" s="3118"/>
      <c r="E1" s="3118"/>
      <c r="F1" s="3118"/>
      <c r="G1" s="3114" t="s">
        <v>1035</v>
      </c>
      <c r="H1" s="3114"/>
      <c r="I1" s="3114"/>
      <c r="J1" s="3114"/>
      <c r="K1" s="3114"/>
      <c r="L1" s="3114"/>
      <c r="N1" s="3114" t="s">
        <v>1036</v>
      </c>
      <c r="O1" s="3114"/>
      <c r="P1" s="3114"/>
      <c r="Q1" s="3114"/>
      <c r="R1" s="1550"/>
      <c r="S1" s="3114" t="s">
        <v>1037</v>
      </c>
      <c r="T1" s="3114"/>
      <c r="U1" s="3114"/>
      <c r="V1" s="3114"/>
      <c r="X1" s="3113" t="s">
        <v>1038</v>
      </c>
      <c r="Y1" s="3114"/>
      <c r="Z1" s="3114"/>
      <c r="AA1" s="3114"/>
      <c r="AB1" s="3114"/>
      <c r="AD1" s="3113" t="s">
        <v>1039</v>
      </c>
      <c r="AE1" s="3114"/>
      <c r="AF1" s="3114"/>
      <c r="AG1" s="3114"/>
      <c r="AH1" s="3114"/>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19">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6"/>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6"/>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7"/>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19">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6"/>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6"/>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7"/>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5">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6"/>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6"/>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7"/>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5">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6"/>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6"/>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7"/>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0">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1"/>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1"/>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2"/>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5">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6"/>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6"/>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7"/>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5">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6">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6">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7">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5">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6">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6">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7">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5">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6">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6">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7">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5">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6">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6">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7">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5">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6">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6">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7">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5">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6">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6">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7">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5">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6">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6">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7">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5">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6">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6">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7">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5">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6">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6">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7">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5">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6">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6">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7">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7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79"/>
      <c r="C2" s="2779"/>
      <c r="D2" s="2779"/>
      <c r="E2" s="2779"/>
    </row>
    <row r="3" spans="1:5" ht="13.5" customHeight="1">
      <c r="A3" s="1936"/>
      <c r="B3" s="1936"/>
      <c r="C3" s="1936"/>
      <c r="D3" s="1936"/>
      <c r="E3" s="1936"/>
    </row>
    <row r="4" spans="1:5" ht="19.5" thickBot="1">
      <c r="A4" s="2780" t="str">
        <f>IF(项目基本情况!D5="房地产市场价值","估价结果一览表（市场价值不需本页表格)","估价结果一览表")</f>
        <v>估价结果一览表（市场价值不需本页表格)</v>
      </c>
      <c r="B4" s="2780"/>
      <c r="C4" s="2780"/>
      <c r="D4" s="2780"/>
      <c r="E4" s="2780"/>
    </row>
    <row r="5" spans="1:5" ht="14.25" customHeight="1" thickTop="1">
      <c r="A5" s="1933"/>
      <c r="B5" s="1937" t="s">
        <v>742</v>
      </c>
      <c r="C5" s="2781" t="s">
        <v>784</v>
      </c>
      <c r="D5" s="2782"/>
      <c r="E5" s="1933"/>
    </row>
    <row r="6" spans="1:5" ht="14.25">
      <c r="A6" s="1933"/>
      <c r="B6" s="1938" t="str">
        <f>项目基本情况!I1</f>
        <v>房地产</v>
      </c>
      <c r="C6" s="2783">
        <f>项目基本情况!C12</f>
        <v>15.87</v>
      </c>
      <c r="D6" s="2783"/>
      <c r="E6" s="1933"/>
    </row>
    <row r="7" spans="1:5" ht="14.25">
      <c r="A7" s="1933"/>
      <c r="B7" s="2777" t="s">
        <v>785</v>
      </c>
      <c r="C7" s="1939" t="str">
        <f>IF('数据-取费表'!B3="万元","总价（万元）","总价（元）")</f>
        <v>总价（元）</v>
      </c>
      <c r="D7" s="1940">
        <f ca="1">IF('数据-取费表'!E3="否",结果表!I102,'结果表 (1修多)'!I103)</f>
        <v>457897</v>
      </c>
      <c r="E7" s="1933"/>
    </row>
    <row r="8" spans="1:5" ht="28.5">
      <c r="A8" s="1933"/>
      <c r="B8" s="2777"/>
      <c r="C8" s="1941" t="s">
        <v>1179</v>
      </c>
      <c r="D8" s="1942" t="str">
        <f ca="1">IF('数据-取费表'!B3="万元",NUMBERSTRING(INT(D7*10000),2)&amp;"元整",NUMBERSTRING(INT(D7),2)&amp;"元整")</f>
        <v>肆拾伍万柒仟捌佰玖拾柒元整</v>
      </c>
      <c r="E8" s="1933"/>
    </row>
    <row r="9" spans="1:5" ht="14.25">
      <c r="A9" s="1933"/>
      <c r="B9" s="2777"/>
      <c r="C9" s="1943" t="s">
        <v>1277</v>
      </c>
      <c r="D9" s="1940">
        <f ca="1">IF('数据-取费表'!E3="否",结果表!I103,'结果表 (1修多)'!I104)</f>
        <v>28853</v>
      </c>
      <c r="E9" s="1933"/>
    </row>
    <row r="10" spans="1:5" ht="14.25">
      <c r="A10" s="1933"/>
      <c r="B10" s="2784"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84"/>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84" t="str">
        <f>IF('数据-取费表'!E3="否",结果表!F110,'结果表 (1修多)'!F111)</f>
        <v>3.房地产抵押价值</v>
      </c>
      <c r="C15" s="1934" t="str">
        <f>C7</f>
        <v>总价（元）</v>
      </c>
      <c r="D15" s="1940">
        <f ca="1">IF('数据-取费表'!E3="否",结果表!I110,'结果表 (1修多)'!I111)</f>
        <v>457897</v>
      </c>
      <c r="E15" s="1933"/>
    </row>
    <row r="16" spans="1:5" ht="28.5">
      <c r="A16" s="1933"/>
      <c r="B16" s="2784"/>
      <c r="C16" s="1941" t="s">
        <v>1179</v>
      </c>
      <c r="D16" s="1940" t="str">
        <f ca="1">IF('数据-取费表'!B3="万元",NUMBERSTRING(INT(D15*10000),2)&amp;"元整",NUMBERSTRING(INT(D15),2)&amp;"元整")</f>
        <v>肆拾伍万柒仟捌佰玖拾柒元整</v>
      </c>
      <c r="E16" s="1933"/>
    </row>
    <row r="17" spans="1:5" ht="14.25">
      <c r="A17" s="1933"/>
      <c r="B17" s="2784"/>
      <c r="C17" s="1943" t="s">
        <v>1277</v>
      </c>
      <c r="D17" s="1940">
        <f ca="1">IF('数据-取费表'!E3="否",结果表!I111,'结果表 (1修多)'!I112)</f>
        <v>28853</v>
      </c>
      <c r="E17" s="1933"/>
    </row>
    <row r="18" spans="1:5" ht="14.25">
      <c r="A18" s="1933"/>
      <c r="B18" s="2784" t="str">
        <f>IF('数据-取费表'!E3="否",结果表!F112,'结果表 (1修多)'!F113)</f>
        <v>——</v>
      </c>
      <c r="C18" s="1934" t="str">
        <f>C7</f>
        <v>总价（元）</v>
      </c>
      <c r="D18" s="1940" t="str">
        <f>IF('数据-取费表'!E3="否",结果表!I112,'结果表 (1修多)'!I113)</f>
        <v>——</v>
      </c>
      <c r="E18" s="1933"/>
    </row>
    <row r="19" spans="1:5" ht="14.25">
      <c r="A19" s="1933"/>
      <c r="B19" s="2784"/>
      <c r="C19" s="1941" t="s">
        <v>1179</v>
      </c>
      <c r="D19" s="1940" t="e">
        <f>IF('数据-取费表'!B3="万元",NUMBERSTRING(INT(D18*10000),2)&amp;"元整",NUMBERSTRING(INT(D18),2)&amp;"元整")</f>
        <v>#VALUE!</v>
      </c>
      <c r="E19" s="1933"/>
    </row>
    <row r="20" spans="1:5" ht="14.25">
      <c r="A20" s="1933"/>
      <c r="B20" s="2784"/>
      <c r="C20" s="1943" t="s">
        <v>1277</v>
      </c>
      <c r="D20" s="1940" t="str">
        <f>IF('数据-取费表'!E3="否",结果表!I113,'结果表 (1修多)'!I114)</f>
        <v>——</v>
      </c>
      <c r="E20" s="1933"/>
    </row>
    <row r="21" spans="1:5" ht="14.25">
      <c r="A21" s="1933"/>
      <c r="B21" s="2777" t="str">
        <f>IF('数据-取费表'!E3="否",结果表!F114,'结果表 (1修多)'!F115)</f>
        <v>——</v>
      </c>
      <c r="C21" s="1939" t="str">
        <f>C7</f>
        <v>总价（元）</v>
      </c>
      <c r="D21" s="1940" t="str">
        <f>IF('数据-取费表'!E3="否",结果表!I114,'结果表 (1修多)'!I115)</f>
        <v>——</v>
      </c>
      <c r="E21" s="1933"/>
    </row>
    <row r="22" spans="1:5" ht="14.25">
      <c r="A22" s="1933"/>
      <c r="B22" s="2777"/>
      <c r="C22" s="1941" t="s">
        <v>1179</v>
      </c>
      <c r="D22" s="1942" t="e">
        <f>IF('数据-取费表'!B3="万元",NUMBERSTRING(INT(D21*10000),2)&amp;"元整",NUMBERSTRING(INT(D21),2)&amp;"元整")</f>
        <v>#VALUE!</v>
      </c>
      <c r="E22" s="1933"/>
    </row>
    <row r="23" spans="1:5" ht="15" thickBot="1">
      <c r="A23" s="1933"/>
      <c r="B23" s="2778"/>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69" t="s">
        <v>1278</v>
      </c>
      <c r="C25" s="2769"/>
      <c r="D25" s="2769"/>
      <c r="E25" s="1933"/>
    </row>
    <row r="26" spans="1:5" ht="18.75" customHeight="1" thickTop="1">
      <c r="A26" s="1933"/>
      <c r="B26" s="2772" t="s">
        <v>1178</v>
      </c>
      <c r="C26" s="2773"/>
      <c r="D26" s="2770" t="s">
        <v>1177</v>
      </c>
      <c r="E26" s="1933"/>
    </row>
    <row r="27" spans="1:5" ht="18.75" customHeight="1">
      <c r="A27" s="1933"/>
      <c r="B27" s="2774"/>
      <c r="C27" s="2775"/>
      <c r="D27" s="2771"/>
      <c r="E27" s="1933"/>
    </row>
    <row r="28" spans="1:5" ht="14.25">
      <c r="A28" s="1933"/>
      <c r="B28" s="2762" t="s">
        <v>785</v>
      </c>
      <c r="C28" s="1950" t="s">
        <v>1180</v>
      </c>
      <c r="D28" s="1951">
        <f ca="1">IF('数据-取费表'!E3="否",结果表!I102,'结果表 (1修多)'!I103)</f>
        <v>457897</v>
      </c>
      <c r="E28" s="1933"/>
    </row>
    <row r="29" spans="1:5" ht="28.5">
      <c r="A29" s="1933"/>
      <c r="B29" s="2763"/>
      <c r="C29" s="1952" t="s">
        <v>1179</v>
      </c>
      <c r="D29" s="1953" t="str">
        <f ca="1">IF('数据-取费表'!B3="万元",NUMBERSTRING(INT(D28*10000),2)&amp;"元整",NUMBERSTRING(INT(D28),2)&amp;"元整")</f>
        <v>肆拾伍万柒仟捌佰玖拾柒元整</v>
      </c>
      <c r="E29" s="1933"/>
    </row>
    <row r="30" spans="1:5" ht="14.25">
      <c r="A30" s="1933"/>
      <c r="B30" s="2764"/>
      <c r="C30" s="1943" t="s">
        <v>1182</v>
      </c>
      <c r="D30" s="1954">
        <f ca="1">IF('数据-取费表'!E3="否",结果表!I103,'结果表 (1修多)'!I104)</f>
        <v>28853</v>
      </c>
      <c r="E30" s="1933"/>
    </row>
    <row r="31" spans="1:5" ht="14.25">
      <c r="A31" s="1933"/>
      <c r="B31" s="2767" t="str">
        <f>B10</f>
        <v>2.估价师所知悉的法定优先受偿款</v>
      </c>
      <c r="C31" s="1955" t="s">
        <v>1181</v>
      </c>
      <c r="D31" s="1956">
        <f>IF('数据-取费表'!E3="否",结果表!I105,'结果表 (1修多)'!I106)</f>
        <v>0</v>
      </c>
      <c r="E31" s="1933"/>
    </row>
    <row r="32" spans="1:5" ht="14.25">
      <c r="A32" s="1933"/>
      <c r="B32" s="2776"/>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65" t="str">
        <f>B15</f>
        <v>3.房地产抵押价值</v>
      </c>
      <c r="C36" s="1955" t="str">
        <f>C28</f>
        <v>总价</v>
      </c>
      <c r="D36" s="1956">
        <f ca="1">IF('数据-取费表'!E3="否",结果表!I110,'结果表 (1修多)'!I111)</f>
        <v>457897</v>
      </c>
      <c r="E36" s="1933"/>
    </row>
    <row r="37" spans="1:5" ht="28.5">
      <c r="A37" s="1933"/>
      <c r="B37" s="2765"/>
      <c r="C37" s="1952" t="s">
        <v>1179</v>
      </c>
      <c r="D37" s="1957" t="str">
        <f ca="1">IF('数据-取费表'!B3="万元",NUMBERSTRING(INT(D36*10000),2)&amp;"元整",NUMBERSTRING(INT(D36),2)&amp;"元整")</f>
        <v>肆拾伍万柒仟捌佰玖拾柒元整</v>
      </c>
      <c r="E37" s="1933"/>
    </row>
    <row r="38" spans="1:5" ht="14.25">
      <c r="A38" s="1933"/>
      <c r="B38" s="2765"/>
      <c r="C38" s="1943" t="s">
        <v>1183</v>
      </c>
      <c r="D38" s="1954">
        <f ca="1">IF('数据-取费表'!E3="否",结果表!D113,'结果表 (1修多)'!D116)</f>
        <v>28853</v>
      </c>
      <c r="E38" s="1933"/>
    </row>
    <row r="39" spans="1:5" ht="14.25">
      <c r="A39" s="1933"/>
      <c r="B39" s="2766" t="str">
        <f>B18</f>
        <v>——</v>
      </c>
      <c r="C39" s="1955" t="str">
        <f>C28</f>
        <v>总价</v>
      </c>
      <c r="D39" s="1956" t="str">
        <f>IF('数据-取费表'!E3="否",结果表!I112,'结果表 (1修多)'!I113)</f>
        <v>——</v>
      </c>
      <c r="E39" s="1933"/>
    </row>
    <row r="40" spans="1:5" ht="14.25">
      <c r="A40" s="1933"/>
      <c r="B40" s="2766"/>
      <c r="C40" s="1952" t="s">
        <v>1179</v>
      </c>
      <c r="D40" s="1957" t="e">
        <f>IF('数据-取费表'!B3="万元",NUMBERSTRING(INT(D39*10000),2)&amp;"元整",NUMBERSTRING(INT(D39),2)&amp;"元整")</f>
        <v>#VALUE!</v>
      </c>
      <c r="E40" s="1933"/>
    </row>
    <row r="41" spans="1:5" ht="14.25">
      <c r="A41" s="1933"/>
      <c r="B41" s="2766"/>
      <c r="C41" s="1943" t="s">
        <v>1183</v>
      </c>
      <c r="D41" s="1954" t="str">
        <f>IF('数据-取费表'!E3="否",结果表!D115,'结果表 (1修多)'!D118)</f>
        <v>——</v>
      </c>
      <c r="E41" s="1933"/>
    </row>
    <row r="42" spans="1:5" ht="14.25">
      <c r="A42" s="1933"/>
      <c r="B42" s="2765" t="str">
        <f>B21</f>
        <v>——</v>
      </c>
      <c r="C42" s="1955" t="str">
        <f>C28</f>
        <v>总价</v>
      </c>
      <c r="D42" s="1956" t="str">
        <f>IF('数据-取费表'!E3="否",结果表!I114,'结果表 (1修多)'!I115)</f>
        <v>——</v>
      </c>
      <c r="E42" s="1933"/>
    </row>
    <row r="43" spans="1:5" ht="14.25">
      <c r="A43" s="1933"/>
      <c r="B43" s="2767"/>
      <c r="C43" s="1952" t="s">
        <v>1179</v>
      </c>
      <c r="D43" s="1958" t="e">
        <f>IF('数据-取费表'!B3="万元",NUMBERSTRING(INT(D42*10000),2)&amp;"元整",NUMBERSTRING(INT(D42),2)&amp;"元整")</f>
        <v>#VALUE!</v>
      </c>
      <c r="E43" s="1933"/>
    </row>
    <row r="44" spans="1:5" ht="15" thickBot="1">
      <c r="A44" s="1933"/>
      <c r="B44" s="2768"/>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43062</v>
      </c>
      <c r="D1" s="1808" t="s">
        <v>1190</v>
      </c>
      <c r="E1" s="1814">
        <f>'数据-取费表'!B23</f>
        <v>2</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1279</v>
      </c>
      <c r="B2" s="2792" t="s">
        <v>1280</v>
      </c>
      <c r="C2" s="2792" t="s">
        <v>1281</v>
      </c>
      <c r="D2" s="2792" t="str">
        <f>IF('数据-取费表'!E3="否",结果表!D119,'结果表 (1修多)'!D122)</f>
        <v>出让国有建设用地使用权价值</v>
      </c>
      <c r="E2" s="2792"/>
      <c r="F2" s="2792" t="s">
        <v>1282</v>
      </c>
      <c r="G2" s="2792"/>
      <c r="H2" s="2792" t="s">
        <v>1283</v>
      </c>
      <c r="I2" s="2792"/>
    </row>
    <row r="3" spans="1:9" ht="15">
      <c r="A3" s="2785"/>
      <c r="B3" s="2785"/>
      <c r="C3" s="2785"/>
      <c r="D3" s="1050" t="s">
        <v>1284</v>
      </c>
      <c r="E3" s="1050" t="s">
        <v>1285</v>
      </c>
      <c r="F3" s="1050" t="s">
        <v>1284</v>
      </c>
      <c r="G3" s="1050" t="s">
        <v>1286</v>
      </c>
      <c r="H3" s="1050" t="s">
        <v>1284</v>
      </c>
      <c r="I3" s="1050" t="s">
        <v>1286</v>
      </c>
    </row>
    <row r="4" spans="1:9" ht="46.5" customHeight="1">
      <c r="A4" s="1050" t="str">
        <f>项目基本情况!I1</f>
        <v>房地产</v>
      </c>
      <c r="B4" s="1050">
        <f>结果表!B121</f>
        <v>15.87</v>
      </c>
      <c r="C4" s="1050">
        <f>结果表!C121</f>
        <v>0</v>
      </c>
      <c r="D4" s="1050">
        <f ca="1">IF('数据-取费表'!E3="否",结果表!D121,'结果表 (1修多)'!D124)</f>
        <v>388752</v>
      </c>
      <c r="E4" s="1050">
        <f ca="1">IF('数据-取费表'!E3="否",结果表!E121,'结果表 (1修多)'!E124)</f>
        <v>24496</v>
      </c>
      <c r="F4" s="1050">
        <f ca="1">IF('数据-取费表'!E3="否",结果表!F121,'结果表 (1修多)'!F124)</f>
        <v>69146</v>
      </c>
      <c r="G4" s="1050">
        <f ca="1">IF('数据-取费表'!E3="否",结果表!G121,'结果表 (1修多)'!G124)</f>
        <v>4357</v>
      </c>
      <c r="H4" s="1050">
        <f ca="1">IF('数据-取费表'!E3="否",结果表!H121,'结果表 (1修多)'!H124)</f>
        <v>457897</v>
      </c>
      <c r="I4" s="1050">
        <f ca="1">IF('数据-取费表'!E3="否",结果表!I121,'结果表 (1修多)'!I124)</f>
        <v>28853</v>
      </c>
    </row>
    <row r="5" spans="1:9" ht="15">
      <c r="A5" s="2785" t="s">
        <v>1287</v>
      </c>
      <c r="B5" s="2785"/>
      <c r="C5" s="2785"/>
      <c r="D5" s="2786" t="str">
        <f ca="1">IF('数据-取费表'!E3="否",结果表!D122,'结果表 (1修多)'!D125)</f>
        <v>叁拾捌万捌仟柒佰伍拾贰元整</v>
      </c>
      <c r="E5" s="2786"/>
      <c r="F5" s="2786" t="str">
        <f ca="1">IF('数据-取费表'!E3="否",结果表!F122,'结果表 (1修多)'!F125)</f>
        <v>陆万玖仟壹佰肆拾陆元整</v>
      </c>
      <c r="G5" s="2786"/>
      <c r="H5" s="2786" t="str">
        <f ca="1">IF('数据-取费表'!E3="否",结果表!H122,'结果表 (1修多)'!H125)</f>
        <v>肆拾伍万柒仟捌佰玖拾柒元整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5" t="s">
        <v>1287</v>
      </c>
      <c r="B7" s="2785"/>
      <c r="C7" s="2785"/>
      <c r="D7" s="2793">
        <f>IF('数据-取费表'!E3="否",结果表!D124,'结果表 (1修多)'!D127)</f>
        <v>0</v>
      </c>
      <c r="E7" s="2794"/>
      <c r="F7" s="2794"/>
      <c r="G7" s="2794"/>
      <c r="H7" s="2794"/>
      <c r="I7" s="2795"/>
    </row>
    <row r="8" spans="1:9" ht="15.75">
      <c r="A8" s="2787" t="str">
        <f>IF('数据-取费表'!E3="否",结果表!A125,'结果表 (1修多)'!A128)</f>
        <v>——</v>
      </c>
      <c r="B8" s="2787"/>
      <c r="C8" s="2787"/>
      <c r="D8" s="2787">
        <f ca="1">IF('数据-取费表'!E3="否",结果表!D125,'结果表 (1修多)'!D128)</f>
        <v>457897</v>
      </c>
      <c r="E8" s="2787"/>
      <c r="F8" s="2787"/>
      <c r="G8" s="2787"/>
      <c r="H8" s="2787"/>
      <c r="I8" s="2787"/>
    </row>
    <row r="9" spans="1:9" ht="15">
      <c r="A9" s="2785" t="s">
        <v>1287</v>
      </c>
      <c r="B9" s="2785"/>
      <c r="C9" s="2785"/>
      <c r="D9" s="2786">
        <f ca="1">IF('数据-取费表'!E3="否",结果表!D126,'结果表 (1修多)'!D129)</f>
        <v>28853</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5" t="s">
        <v>1287</v>
      </c>
      <c r="B11" s="2785"/>
      <c r="C11" s="2785"/>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88" t="s">
        <v>1287</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单位：平方米、元、元/平方米（币种：人民币）</v>
      </c>
      <c r="B14" s="2790"/>
      <c r="C14" s="2790"/>
      <c r="D14" s="2790"/>
      <c r="E14" s="2790"/>
      <c r="F14" s="2790"/>
      <c r="G14" s="2790"/>
      <c r="H14" s="2790"/>
      <c r="I14" s="2790"/>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97" t="s">
        <v>1301</v>
      </c>
      <c r="B1" s="2797"/>
      <c r="C1" s="2797"/>
      <c r="D1" s="2797"/>
    </row>
    <row r="2" spans="1:4" ht="18">
      <c r="A2" s="2796" t="s">
        <v>1289</v>
      </c>
      <c r="B2" s="2796"/>
      <c r="C2" s="2796"/>
      <c r="D2" s="2796"/>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6" t="s">
        <v>1294</v>
      </c>
      <c r="B7" s="2796"/>
      <c r="C7" s="2796"/>
      <c r="D7" s="2796"/>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8" t="s">
        <v>1303</v>
      </c>
      <c r="B12" s="2799"/>
      <c r="C12" s="2799"/>
      <c r="D12" s="2799"/>
    </row>
    <row r="13" spans="1:4" ht="15.75">
      <c r="A13" s="27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8" t="str">
        <f>IF(项目基本情况!D4="抵押","3.抵押双方在办理抵押登记手续时，应使用本公司出具的正式《房地产评估报告》，特提醒报告使用者注意。","——")</f>
        <v>——</v>
      </c>
      <c r="B14" s="2799"/>
      <c r="C14" s="2799"/>
      <c r="D14" s="2799"/>
    </row>
    <row r="15" spans="1:4" ht="15.75" customHeight="1">
      <c r="A15" s="2798" t="str">
        <f>IF(项目基本情况!D4="抵押","4.本次评估估价师所知悉的法定优先受偿款情况说明如下：","——")</f>
        <v>——</v>
      </c>
      <c r="B15" s="2799"/>
      <c r="C15" s="2799"/>
      <c r="D15" s="2799"/>
    </row>
    <row r="16" spans="1:4" ht="75" customHeight="1">
      <c r="A16" s="2798" t="str">
        <f>IF(项目基本情况!D4="抵押",CONCATENATE(项目基本情况!J13,项目基本情况!J14,项目基本情况!J15),"——")</f>
        <v>——</v>
      </c>
      <c r="B16" s="2798"/>
      <c r="C16" s="2798"/>
      <c r="D16" s="2798"/>
    </row>
    <row r="17" spans="1:4" ht="63.75" customHeight="1">
      <c r="A17" s="2800" t="s">
        <v>1304</v>
      </c>
      <c r="B17" s="2800"/>
      <c r="C17" s="2800"/>
      <c r="D17" s="2800"/>
    </row>
    <row r="18" spans="1:4" ht="15.75" customHeight="1">
      <c r="A18" s="2798" t="str">
        <f>IF(项目基本情况!D4="抵押",结果表!K106,"——")</f>
        <v>——</v>
      </c>
      <c r="B18" s="2798"/>
      <c r="C18" s="2798"/>
      <c r="D18" s="2798"/>
    </row>
    <row r="19" spans="1:4" ht="46.5" customHeight="1">
      <c r="A19" s="27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8"/>
      <c r="C19" s="2798"/>
      <c r="D19" s="2798"/>
    </row>
    <row r="20" spans="1:4" ht="15">
      <c r="A20" s="2800" t="s">
        <v>1297</v>
      </c>
      <c r="B20" s="2800"/>
      <c r="C20" s="2800"/>
      <c r="D20" s="2800"/>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6" t="s">
        <v>1383</v>
      </c>
      <c r="B15" s="2801" t="s">
        <v>1384</v>
      </c>
      <c r="C15" s="2802"/>
    </row>
    <row r="16" spans="1:7" ht="14.25">
      <c r="A16" s="2807"/>
      <c r="B16" s="2801" t="s">
        <v>1385</v>
      </c>
      <c r="C16" s="2802"/>
    </row>
    <row r="17" spans="1:3" ht="14.25">
      <c r="A17" s="2807"/>
      <c r="B17" s="2801" t="s">
        <v>1386</v>
      </c>
      <c r="C17" s="2802"/>
    </row>
    <row r="18" spans="1:3" ht="14.25">
      <c r="A18" s="2808"/>
      <c r="B18" s="2803" t="s">
        <v>1387</v>
      </c>
      <c r="C18" s="2802"/>
    </row>
    <row r="19" spans="1:3" ht="14.25">
      <c r="A19" s="1986" t="s">
        <v>1388</v>
      </c>
      <c r="B19" s="1987"/>
      <c r="C19" s="1988"/>
    </row>
    <row r="20" spans="1:3" ht="14.25">
      <c r="A20" s="2804" t="s">
        <v>1389</v>
      </c>
      <c r="B20" s="2803" t="s">
        <v>1390</v>
      </c>
      <c r="C20" s="2802"/>
    </row>
    <row r="21" spans="1:3" ht="14.25">
      <c r="A21" s="2804"/>
      <c r="B21" s="2803" t="s">
        <v>1391</v>
      </c>
      <c r="C21" s="2802"/>
    </row>
    <row r="22" spans="1:3" ht="14.25">
      <c r="A22" s="2804"/>
      <c r="B22" s="2803" t="s">
        <v>1392</v>
      </c>
      <c r="C22" s="2802"/>
    </row>
    <row r="23" spans="1:3" ht="14.25">
      <c r="A23" s="2804"/>
      <c r="B23" s="2805" t="s">
        <v>1393</v>
      </c>
      <c r="C23" s="1989" t="s">
        <v>1394</v>
      </c>
    </row>
    <row r="24" spans="1:3" ht="14.25">
      <c r="A24" s="2804"/>
      <c r="B24" s="2805"/>
      <c r="C24" s="1989" t="s">
        <v>1395</v>
      </c>
    </row>
    <row r="25" spans="1:3" ht="14.25">
      <c r="A25" s="2804"/>
      <c r="B25" s="2805"/>
      <c r="C25" s="1989" t="s">
        <v>1396</v>
      </c>
    </row>
    <row r="26" spans="1:3" ht="14.25">
      <c r="A26" s="2804"/>
      <c r="B26" s="2805"/>
      <c r="C26" s="1989" t="s">
        <v>1397</v>
      </c>
    </row>
    <row r="27" spans="1:3" ht="14.25">
      <c r="A27" s="2804"/>
      <c r="B27" s="2805"/>
      <c r="C27" s="1989" t="s">
        <v>1398</v>
      </c>
    </row>
    <row r="28" spans="1:3" ht="14.25">
      <c r="A28" s="2804"/>
      <c r="B28" s="2805"/>
      <c r="C28" s="1989" t="s">
        <v>1399</v>
      </c>
    </row>
    <row r="29" spans="1:3" ht="14.25">
      <c r="A29" s="2804"/>
      <c r="B29" s="2805"/>
      <c r="C29" s="1989" t="s">
        <v>1400</v>
      </c>
    </row>
    <row r="30" spans="1:3" ht="14.25">
      <c r="A30" s="2804"/>
      <c r="B30" s="2805"/>
      <c r="C30" s="1989" t="s">
        <v>1401</v>
      </c>
    </row>
    <row r="31" spans="1:3" ht="14.25">
      <c r="A31" s="2804"/>
      <c r="B31" s="2805"/>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43087</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09" t="s">
        <v>769</v>
      </c>
      <c r="B25" s="2809"/>
      <c r="C25" s="2809"/>
      <c r="D25" s="2809"/>
      <c r="E25" s="2809"/>
      <c r="F25" s="2809"/>
      <c r="G25" s="2809"/>
      <c r="H25" s="2809"/>
    </row>
    <row r="26" spans="1:8" s="1035" customFormat="1" ht="24" customHeight="1">
      <c r="A26" s="2810" t="s">
        <v>770</v>
      </c>
      <c r="B26" s="2810"/>
      <c r="C26" s="2810"/>
      <c r="D26" s="1063"/>
      <c r="E26" s="1063"/>
      <c r="F26" s="2810" t="s">
        <v>771</v>
      </c>
      <c r="G26" s="2810"/>
      <c r="H26" s="2810"/>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1"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本次估价的“房地产价值”是指在正常市场情况下，在价值时点2017年11月23日，估价对象规划用途为，假定未设立法定优先受偿款下的房地产市场价值。</v>
      </c>
    </row>
    <row r="54" spans="1:4">
      <c r="A54" s="2811"/>
      <c r="B54" s="9" t="s">
        <v>1539</v>
      </c>
      <c r="C54" s="9" t="s">
        <v>1540</v>
      </c>
    </row>
    <row r="55" spans="1:4">
      <c r="A55" s="2811"/>
      <c r="B55" s="9" t="s">
        <v>1541</v>
      </c>
      <c r="C55" s="9" t="s">
        <v>1542</v>
      </c>
    </row>
    <row r="56" spans="1:4">
      <c r="A56" s="2811"/>
      <c r="B56" s="9" t="s">
        <v>1543</v>
      </c>
      <c r="C56" s="9" t="s">
        <v>1544</v>
      </c>
    </row>
    <row r="57" spans="1:4">
      <c r="A57" s="2811"/>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假设开发法</vt:lpstr>
      <vt:lpstr>收益法</vt:lpstr>
      <vt:lpstr>酒店收入计算</vt:lpstr>
      <vt:lpstr>典型户型修正</vt:lpstr>
      <vt:lpstr>比较法-住宅</vt:lpstr>
      <vt:lpstr>Sheet2</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实例</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2017-12-18T09:06:43Z</dcterms:modified>
</cp:coreProperties>
</file>