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F6" i="61"/>
  <c r="D4" i="61"/>
  <c r="F5" i="61"/>
  <c r="D5" i="61"/>
  <c r="F4" i="61"/>
  <c r="F3" i="61"/>
  <c r="D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E2" i="11"/>
  <c r="C20" i="57"/>
  <c r="E2" i="35"/>
  <c r="E2" i="34"/>
  <c r="E2" i="36"/>
  <c r="E2" i="33"/>
  <c r="C19" i="57"/>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D20" i="9"/>
  <c r="C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<sst xmlns="http://schemas.openxmlformats.org/spreadsheetml/2006/main" count="6932" uniqueCount="2941">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</sst>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928363</v>
      </c>
    </row>
    <row r="20" spans="1:2">
      <c r="A20" s="1708" t="s">
        <v>1167</v>
      </c>
      <c r="B20" s="1695" t="str">
        <f>'预评函-2（1）'!C7</f>
        <v>总价（元）</v>
      </c>
    </row>
    <row r="21" spans="1:2">
      <c r="A21" s="1708" t="s">
        <v>1130</v>
      </c>
      <c r="B21" s="1695">
        <f ca="1">'预评函-2（1）'!D9</f>
        <v>58498</v>
      </c>
    </row>
    <row r="22" spans="1:2">
      <c r="A22" s="1708" t="s">
        <v>1131</v>
      </c>
      <c r="B22" s="1695" t="str">
        <f ca="1">'预评函-2（1）'!D8</f>
        <v>玖拾贰万捌仟叁佰陆拾叁元整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928363</v>
      </c>
    </row>
    <row r="30" spans="1:2">
      <c r="A30" s="1708" t="s">
        <v>1137</v>
      </c>
      <c r="B30" s="1695" t="str">
        <f ca="1">'预评函-2（1）'!D16</f>
        <v>玖拾贰万捌仟叁佰陆拾叁元整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874516</v>
      </c>
    </row>
    <row r="38" spans="1:2">
      <c r="A38" s="1708" t="s">
        <v>1145</v>
      </c>
      <c r="B38" s="1695">
        <f ca="1">'预评函-2（2）'!E4</f>
        <v>55105</v>
      </c>
    </row>
    <row r="39" spans="1:2">
      <c r="A39" s="1708" t="s">
        <v>1146</v>
      </c>
      <c r="B39" s="1695" t="str">
        <f ca="1">'预评函-2（2）'!D5</f>
        <v>捌拾柒万肆仟伍佰壹拾陆元整</v>
      </c>
    </row>
    <row r="40" spans="1:2">
      <c r="A40" s="1708" t="s">
        <v>1147</v>
      </c>
      <c r="B40" s="1695">
        <f ca="1">'预评函-2（2）'!F4</f>
        <v>53847</v>
      </c>
    </row>
    <row r="41" spans="1:2">
      <c r="A41" s="1708" t="s">
        <v>1148</v>
      </c>
      <c r="B41" s="1695">
        <f ca="1">'预评函-2（2）'!G4</f>
        <v>3393</v>
      </c>
    </row>
    <row r="42" spans="1:2" s="1705" customFormat="1" ht="15.75" thickBot="1">
      <c r="A42" s="1709" t="s">
        <v>1149</v>
      </c>
      <c r="B42" s="1697" t="str">
        <f ca="1">'预评函-2（2）'!F5</f>
        <v>伍万叁仟捌佰肆拾柒元整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58498</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2940</v>
      </c>
      <c r="D9" s="2029"/>
      <c r="E9" s="1011" t="s">
        <v>1565</v>
      </c>
      <c r="F9" s="997" t="s">
        <v>221</v>
      </c>
      <c r="G9" s="1013"/>
    </row>
    <row r="10" spans="1:10" ht="13.5" thickBot="1">
      <c r="A10" s="2822"/>
      <c r="B10" s="345" t="s">
        <v>1566</v>
      </c>
      <c r="C10" s="2836"/>
      <c r="D10" s="2837"/>
      <c r="E10" s="2030" t="s">
        <v>1567</v>
      </c>
      <c r="F10" s="1014" t="s">
        <v>88</v>
      </c>
      <c r="G10" s="1015"/>
    </row>
    <row r="11" spans="1:10" ht="13.5" thickBot="1">
      <c r="A11" s="2822"/>
      <c r="B11" s="2031" t="s">
        <v>1568</v>
      </c>
      <c r="C11" s="2838"/>
      <c r="D11" s="2839"/>
      <c r="E11" s="1023"/>
      <c r="F11" s="1022"/>
      <c r="G11" s="1075"/>
    </row>
    <row r="12" spans="1:10" ht="24.75" thickBot="1">
      <c r="A12" s="2825" t="s">
        <v>1569</v>
      </c>
      <c r="B12" s="2032" t="s">
        <v>1570</v>
      </c>
      <c r="C12" s="1017">
        <v>15.87</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3.5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15.87</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v>55330</v>
      </c>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2810</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0.78300000000000003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47610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0.02</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0.25</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4500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0.2</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2938</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2935</v>
      </c>
      <c r="D8" s="2158"/>
      <c r="E8" s="2158"/>
      <c r="F8" s="1248"/>
      <c r="G8" s="1248"/>
      <c r="H8" s="2148"/>
      <c r="I8" s="2148"/>
      <c r="J8" s="2148"/>
      <c r="K8" s="2148"/>
      <c r="L8" s="2148"/>
      <c r="M8" s="2148"/>
      <c r="N8" s="2148"/>
      <c r="O8" s="2148"/>
      <c r="P8" s="2148"/>
      <c r="Q8" s="2148"/>
      <c r="R8" s="2148"/>
    </row>
    <row r="9" spans="1:29" ht="40.5">
      <c r="A9" s="412"/>
      <c r="B9" s="1893" t="s">
        <v>1756</v>
      </c>
      <c r="C9" s="2727" t="s">
        <v>2936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2937</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E31" sqref="E31"/>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2863</v>
      </c>
      <c r="D4" s="2205" t="s">
        <v>2919</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f>100-C5</f>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987959</v>
      </c>
      <c r="D19" s="60">
        <f ca="1">SUMIF(INDIRECT("'"&amp;D4&amp;"'"&amp;"!A:A"),结果表!B19,INDIRECT("'"&amp;D4&amp;"'"&amp;"!B:B"))</f>
        <v>690021</v>
      </c>
      <c r="E19" s="2212" t="s">
        <v>1797</v>
      </c>
      <c r="F19" s="2213" t="s">
        <v>1796</v>
      </c>
      <c r="G19" s="61">
        <f ca="1">ROUND(C19*$C$18+D19*$D$18,0)</f>
        <v>928371</v>
      </c>
      <c r="H19" s="2214" t="str">
        <f>'数据-取费表'!B3</f>
        <v>元</v>
      </c>
      <c r="I19" s="2201"/>
    </row>
    <row r="20" spans="1:35" ht="15">
      <c r="A20" s="2215"/>
      <c r="B20" s="2216" t="s">
        <v>1798</v>
      </c>
      <c r="C20" s="62">
        <f ca="1">SUMIF(INDIRECT("'"&amp;C4&amp;"'"&amp;"!A:A"),结果表!B20,INDIRECT("'"&amp;C4&amp;"'"&amp;"!B:B"))</f>
        <v>62253</v>
      </c>
      <c r="D20" s="63">
        <f ca="1">SUMIF(INDIRECT("'"&amp;D4&amp;"'"&amp;"!A:A"),结果表!B20,INDIRECT("'"&amp;D4&amp;"'"&amp;"!B:B"))</f>
        <v>43480</v>
      </c>
      <c r="E20" s="2215"/>
      <c r="F20" s="2216" t="s">
        <v>1798</v>
      </c>
      <c r="G20" s="64">
        <f ca="1">ROUND(C20*$C$18+D20*$D$18,0)</f>
        <v>58498</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0.43178106173580222</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58498</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55105</v>
      </c>
      <c r="D34" s="1092">
        <f ca="1">IF(D33="自定义",ROUND(C34/C32,3),1-D35)</f>
        <v>0.94199999999999995</v>
      </c>
      <c r="E34" s="2239" t="s">
        <v>1811</v>
      </c>
      <c r="F34" s="1834">
        <v>2000</v>
      </c>
      <c r="G34" s="2201"/>
      <c r="H34" s="2201"/>
      <c r="I34" s="2201"/>
    </row>
    <row r="35" spans="1:16" ht="15.75" hidden="1" thickBot="1">
      <c r="A35" s="2240"/>
      <c r="B35" s="2241" t="s">
        <v>1812</v>
      </c>
      <c r="C35" s="74">
        <f ca="1">IF(D33="自定义",F35,ROUND(C32*D35,0))</f>
        <v>3393</v>
      </c>
      <c r="D35" s="1091">
        <f ca="1">IF(D33="自定义",ROUND(C35/C32,3),IF(D33="成本法成本比率",成本法!C56,IF(D33="收益法收益比率",收益法!J38,收益法!J41)))</f>
        <v>5.8000000000000003E-2</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928363</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43062</v>
      </c>
      <c r="N47" s="2976"/>
      <c r="O47" s="2976"/>
      <c r="P47" s="1851"/>
    </row>
    <row r="48" spans="1:16" ht="25.5" hidden="1">
      <c r="A48" s="2909" t="s">
        <v>1837</v>
      </c>
      <c r="B48" s="2910"/>
      <c r="C48" s="2910"/>
      <c r="D48" s="56">
        <f ca="1">IF(H48="情况1",0,IF(H48="情况2",D52,IF(H48="情况3",D53,IF(H48="情况4",D54))))</f>
        <v>49513</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928363</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49513</v>
      </c>
      <c r="E52" s="10" t="s">
        <v>1854</v>
      </c>
      <c r="F52" s="101">
        <f>'数据-取费表'!E29</f>
        <v>5.6000000000000001E-2</v>
      </c>
      <c r="G52" s="2268"/>
      <c r="H52" s="2201"/>
      <c r="I52" s="2266"/>
      <c r="J52" s="1889">
        <v>1</v>
      </c>
      <c r="K52" s="2934" t="s">
        <v>1855</v>
      </c>
      <c r="L52" s="2934"/>
      <c r="M52" s="779">
        <f ca="1">D48</f>
        <v>49513</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49513</v>
      </c>
      <c r="E53" s="10" t="s">
        <v>1854</v>
      </c>
      <c r="F53" s="101">
        <f>'数据-取费表'!E29</f>
        <v>5.6000000000000001E-2</v>
      </c>
      <c r="G53" s="2268"/>
      <c r="H53" s="2201"/>
      <c r="I53" s="2266"/>
      <c r="J53" s="1889">
        <v>2</v>
      </c>
      <c r="K53" s="2934" t="s">
        <v>1858</v>
      </c>
      <c r="L53" s="2934"/>
      <c r="M53" s="779">
        <f t="shared" ref="M53:O54" ca="1" si="1">D55</f>
        <v>464</v>
      </c>
      <c r="N53" s="1889" t="str">
        <f t="shared" si="1"/>
        <v>销售额×税（费）率</v>
      </c>
      <c r="O53" s="780">
        <f t="shared" si="1"/>
        <v>5.0000000000000001E-4</v>
      </c>
      <c r="P53" s="1851"/>
    </row>
    <row r="54" spans="1:16" ht="12" hidden="1" customHeight="1">
      <c r="A54" s="100" t="s">
        <v>1859</v>
      </c>
      <c r="B54" s="2903" t="s">
        <v>1860</v>
      </c>
      <c r="C54" s="2831"/>
      <c r="D54" s="99">
        <f ca="1">C68</f>
        <v>49513</v>
      </c>
      <c r="E54" s="20" t="s">
        <v>1861</v>
      </c>
      <c r="F54" s="101">
        <f>'数据-取费表'!E29</f>
        <v>5.6000000000000001E-2</v>
      </c>
      <c r="G54" s="2268"/>
      <c r="H54" s="2269"/>
      <c r="I54" s="2266"/>
      <c r="J54" s="1889">
        <v>3</v>
      </c>
      <c r="K54" s="2934" t="s">
        <v>1862</v>
      </c>
      <c r="L54" s="2934"/>
      <c r="M54" s="779">
        <f t="shared" ca="1" si="1"/>
        <v>525453</v>
      </c>
      <c r="N54" s="1889" t="str">
        <f t="shared" si="1"/>
        <v>增值额×税（费）率</v>
      </c>
      <c r="O54" s="781" t="str">
        <f t="shared" si="1"/>
        <v>——</v>
      </c>
      <c r="P54" s="1851"/>
    </row>
    <row r="55" spans="1:16" ht="24" hidden="1" customHeight="1">
      <c r="A55" s="2823" t="s">
        <v>1863</v>
      </c>
      <c r="B55" s="2910"/>
      <c r="C55" s="2910"/>
      <c r="D55" s="102">
        <f ca="1">IF(H55="个人住宅",0,ROUND(D45*I55,0))</f>
        <v>464</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9284</v>
      </c>
      <c r="N55" s="1892" t="str">
        <f>E59</f>
        <v>销售额×税（费）率</v>
      </c>
      <c r="O55" s="783">
        <f>F59</f>
        <v>0.01</v>
      </c>
      <c r="P55" s="1851"/>
    </row>
    <row r="56" spans="1:16" ht="24.75" hidden="1">
      <c r="A56" s="2823" t="s">
        <v>1866</v>
      </c>
      <c r="B56" s="2910"/>
      <c r="C56" s="2910"/>
      <c r="D56" s="102">
        <f ca="1">IF(H56="个人住宅",D57,D58)</f>
        <v>525453</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584714</v>
      </c>
      <c r="O57" s="2273"/>
      <c r="P57" s="1847" t="e">
        <f ca="1">N57/M49</f>
        <v>#VALUE!</v>
      </c>
    </row>
    <row r="58" spans="1:16" ht="24.75" hidden="1">
      <c r="A58" s="100" t="s">
        <v>1852</v>
      </c>
      <c r="B58" s="2900" t="s">
        <v>1872</v>
      </c>
      <c r="C58" s="2901"/>
      <c r="D58" s="102">
        <f ca="1">IF(H58="转让取得",C81,C97)</f>
        <v>525453</v>
      </c>
      <c r="E58" s="10" t="s">
        <v>1867</v>
      </c>
      <c r="F58" s="14" t="s">
        <v>48</v>
      </c>
      <c r="G58" s="2268"/>
      <c r="H58" s="2271" t="s">
        <v>1873</v>
      </c>
      <c r="I58" s="1023"/>
      <c r="J58" s="2934"/>
      <c r="K58" s="2934"/>
      <c r="L58" s="2272" t="s">
        <v>1874</v>
      </c>
      <c r="M58" s="786"/>
      <c r="N58" s="2274" t="str">
        <f ca="1">IF(H19="元",NUMBERSTRING(INT(N57),2)&amp;"元整",NUMBERSTRING(INT(N57*10000),2)&amp;"元整")</f>
        <v>伍拾捌万肆仟柒佰壹拾肆元整</v>
      </c>
      <c r="O58" s="2275"/>
      <c r="P58" s="1851"/>
    </row>
    <row r="59" spans="1:16" ht="26.25" hidden="1" thickBot="1">
      <c r="A59" s="2824" t="s">
        <v>1875</v>
      </c>
      <c r="B59" s="2827"/>
      <c r="C59" s="2827"/>
      <c r="D59" s="105">
        <f ca="1">IF(H59="非个人房产","——",IF(H59="个人住宅",0,ROUND(D45*I59,0)))</f>
        <v>9284</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884155</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928363</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884155</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49513</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884155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5305</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5305</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878850</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165.66446748350612</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525453</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884155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5305</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5305</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878850</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165.66446748350612</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525453</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987959</v>
      </c>
      <c r="D101" s="722">
        <f ca="1">D19</f>
        <v>690021</v>
      </c>
      <c r="E101" s="2201"/>
      <c r="F101" s="2859" t="str">
        <f>项目基本情况!I1</f>
        <v>房地产</v>
      </c>
      <c r="G101" s="2860"/>
      <c r="H101" s="2857">
        <f>项目基本情况!C12</f>
        <v>15.87</v>
      </c>
      <c r="I101" s="2858"/>
    </row>
    <row r="102" spans="1:35" ht="15.75" hidden="1">
      <c r="A102" s="2941"/>
      <c r="B102" s="2296" t="s">
        <v>1940</v>
      </c>
      <c r="C102" s="723">
        <f ca="1">C20</f>
        <v>62253</v>
      </c>
      <c r="D102" s="724">
        <f ca="1">D20</f>
        <v>43480</v>
      </c>
      <c r="E102" s="2201"/>
      <c r="F102" s="2886" t="s">
        <v>1941</v>
      </c>
      <c r="G102" s="2887"/>
      <c r="H102" s="2297" t="str">
        <f>C106</f>
        <v>总价（元）</v>
      </c>
      <c r="I102" s="1868">
        <f ca="1">H121</f>
        <v>928363</v>
      </c>
    </row>
    <row r="103" spans="1:35" ht="15" hidden="1">
      <c r="A103" s="2941" t="s">
        <v>1942</v>
      </c>
      <c r="B103" s="2298" t="str">
        <f>B101</f>
        <v>总价（元）</v>
      </c>
      <c r="C103" s="725">
        <f ca="1">H121</f>
        <v>928363</v>
      </c>
      <c r="D103" s="726"/>
      <c r="E103" s="2201"/>
      <c r="F103" s="2886"/>
      <c r="G103" s="2887"/>
      <c r="H103" s="2297" t="s">
        <v>1940</v>
      </c>
      <c r="I103" s="1051">
        <f ca="1">I121</f>
        <v>58498</v>
      </c>
    </row>
    <row r="104" spans="1:35" ht="16.5" hidden="1" thickBot="1">
      <c r="A104" s="2942"/>
      <c r="B104" s="2299" t="s">
        <v>1940</v>
      </c>
      <c r="C104" s="727">
        <f ca="1">I121</f>
        <v>58498</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928363</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58498</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928363</v>
      </c>
    </row>
    <row r="111" spans="1:35" ht="15" hidden="1">
      <c r="A111" s="2875" t="s">
        <v>1949</v>
      </c>
      <c r="B111" s="2876"/>
      <c r="C111" s="2300" t="str">
        <f>C108</f>
        <v>总额（元）</v>
      </c>
      <c r="D111" s="638">
        <f>C38</f>
        <v>0</v>
      </c>
      <c r="E111" s="2201"/>
      <c r="F111" s="2977"/>
      <c r="G111" s="2978"/>
      <c r="H111" s="2297" t="s">
        <v>1940</v>
      </c>
      <c r="I111" s="2303">
        <f ca="1">D113</f>
        <v>58498</v>
      </c>
    </row>
    <row r="112" spans="1:35" ht="26.25" hidden="1" customHeight="1">
      <c r="A112" s="2873" t="str">
        <f>IF(项目基本情况!F5="已注销","——","3.房地产抵押价值")</f>
        <v>3.房地产抵押价值</v>
      </c>
      <c r="B112" s="2874"/>
      <c r="C112" s="2297" t="str">
        <f>B101</f>
        <v>总价（元）</v>
      </c>
      <c r="D112" s="1052">
        <f ca="1">IF(A112="——","——",D106-D108)</f>
        <v>928363</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58498</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874516</v>
      </c>
      <c r="E121" s="1893">
        <f ca="1">ROUND(IF(B32="楼面单价",C34,IF(H19="元",D121/B121,D121*10000/B121)),0)</f>
        <v>55105</v>
      </c>
      <c r="F121" s="1893">
        <f ca="1">ROUND(IF(B32="总价",C35,IF('数据-取费表'!B3="万元",G121*B121/10000,G121*B121)),0)</f>
        <v>53847</v>
      </c>
      <c r="G121" s="1893">
        <f ca="1">ROUND(IF(B32="楼面单价",C35,IF(H19="元",F121/B121,F121*10000/B121)),0)</f>
        <v>3393</v>
      </c>
      <c r="H121" s="1893">
        <f ca="1">ROUND(IF(B32="总价",C32,IF('数据-取费表'!B3="万元",I121*B121/10000,I121*B121)),0)</f>
        <v>928363</v>
      </c>
      <c r="I121" s="638">
        <f ca="1">ROUND(IF(B32="楼面单价",C32,IF(H19="元",H121/B121,H121*10000/B121)),0)</f>
        <v>58498</v>
      </c>
    </row>
    <row r="122" spans="1:15" ht="14.25" hidden="1">
      <c r="A122" s="2854" t="s">
        <v>1959</v>
      </c>
      <c r="B122" s="2855"/>
      <c r="C122" s="2855"/>
      <c r="D122" s="2888" t="str">
        <f ca="1">IF(H19="元",NUMBERSTRING(INT(D121),2)&amp;"元整",NUMBERSTRING(INT(D121*10000),2)&amp;"元整")</f>
        <v>捌拾柒万肆仟伍佰壹拾陆元整</v>
      </c>
      <c r="E122" s="2935"/>
      <c r="F122" s="2888" t="str">
        <f ca="1">IF(H19="元",NUMBERSTRING(INT(F121),2)&amp;"元整",NUMBERSTRING(INT(F121*10000),2)&amp;"元整")</f>
        <v>伍万叁仟捌佰肆拾柒元整</v>
      </c>
      <c r="G122" s="2935"/>
      <c r="H122" s="2888" t="str">
        <f ca="1">IF(H19="元",NUMBERSTRING(INT(H121),2)&amp;"元整",NUMBERSTRING(INT(H121*10000),2)&amp;"元整")</f>
        <v>玖拾贰万捌仟叁佰陆拾叁元整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928363</v>
      </c>
      <c r="E125" s="2866"/>
      <c r="F125" s="2866"/>
      <c r="G125" s="2866"/>
      <c r="H125" s="2866"/>
      <c r="I125" s="2867"/>
    </row>
    <row r="126" spans="1:15" ht="14.25" hidden="1">
      <c r="A126" s="2854" t="s">
        <v>1959</v>
      </c>
      <c r="B126" s="2855"/>
      <c r="C126" s="2855"/>
      <c r="D126" s="2868">
        <f ca="1">I111</f>
        <v>58498</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52648</v>
      </c>
      <c r="F134" s="2309">
        <f ca="1">G20</f>
        <v>58498</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682318</v>
      </c>
      <c r="F136" s="2309">
        <f ca="1">ROUND(F134*F135,0)</f>
        <v>170229</v>
      </c>
      <c r="G136" s="2741">
        <f ca="1">E136+F136</f>
        <v>852547</v>
      </c>
      <c r="H136" s="2741">
        <f ca="1">ROUND(G136/项目基本情况!C12,0)</f>
        <v>53721</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43062</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4" zoomScale="90" zoomScaleNormal="90" zoomScaleSheetLayoutView="100" workbookViewId="0">
      <selection activeCell="C22" sqref="C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987959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62253</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43200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43200</v>
      </c>
      <c r="D6" s="81" t="s">
        <v>2803</v>
      </c>
      <c r="E6" s="320" t="s">
        <v>2110</v>
      </c>
      <c r="F6" s="321">
        <f>'数据-取费表'!B29</f>
        <v>4500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57625</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47610</v>
      </c>
      <c r="D14" s="1894" t="s">
        <v>2128</v>
      </c>
      <c r="E14" s="1895"/>
      <c r="F14" s="980"/>
      <c r="G14" s="1241"/>
      <c r="H14" s="338" t="s">
        <v>2108</v>
      </c>
      <c r="I14" s="320" t="s">
        <v>2129</v>
      </c>
      <c r="J14" s="14">
        <f ca="1">C29</f>
        <v>77871</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1428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2381</v>
      </c>
      <c r="D16" s="320" t="s">
        <v>2132</v>
      </c>
      <c r="E16" s="320" t="s">
        <v>2133</v>
      </c>
      <c r="F16" s="343">
        <f>IF('数据-取费表'!B10="住宅",'数据-取费表'!E22,0)</f>
        <v>0.05</v>
      </c>
      <c r="G16" s="1241"/>
      <c r="H16" s="1422" t="s">
        <v>14</v>
      </c>
      <c r="I16" s="1423" t="s">
        <v>2138</v>
      </c>
      <c r="J16" s="328">
        <f ca="1">ROUND(J17+J22+J23+J24,0)</f>
        <v>1557</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714</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55307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1106</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单利计息。建造成本、管理费用、销售费用产生的利息。</v>
      </c>
      <c r="E22" s="1904"/>
      <c r="F22" s="16"/>
      <c r="G22" s="1240"/>
      <c r="H22" s="338" t="s">
        <v>2134</v>
      </c>
      <c r="I22" s="320" t="s">
        <v>2170</v>
      </c>
      <c r="J22" s="14">
        <f ca="1">ROUND(J14*M22,0)</f>
        <v>1557</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1227</v>
      </c>
      <c r="D23" s="2014" t="str">
        <f>IF(F23&lt;=1,"(建造成本+管理费用)×利率×(建设周期÷2)","(建造成本+管理费用)×((1+利率)^(建设周期÷2)-1)")</f>
        <v>(建造成本+管理费用)×利率×(建设周期÷2)</v>
      </c>
      <c r="E23" s="320" t="s">
        <v>2173</v>
      </c>
      <c r="F23" s="348">
        <f>'数据-取费表'!B21</f>
        <v>1</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4.0000000000000002E-4</v>
      </c>
      <c r="D24" s="2014" t="str">
        <f>IF(F23&lt;=1,"销售费用×利率×(建设周期÷2)","销售费用×((1+利率)^(建设周期÷2)-1)")</f>
        <v>销售费用×利率×(建设周期÷2)</v>
      </c>
      <c r="E24" s="320" t="s">
        <v>2179</v>
      </c>
      <c r="F24" s="353">
        <f ca="1">'数据-取费表'!E27</f>
        <v>4.3499999999999997E-2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-1557</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14103</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77871</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4696</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2160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4610</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1557</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115</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864</v>
      </c>
      <c r="D38" s="1435" t="s">
        <v>2180</v>
      </c>
      <c r="E38" s="1433" t="s">
        <v>2176</v>
      </c>
      <c r="F38" s="1428">
        <f>'数据-取费表'!B46</f>
        <v>0.02</v>
      </c>
      <c r="G38" s="792"/>
      <c r="H38" s="1232"/>
      <c r="I38" s="366" t="s">
        <v>2218</v>
      </c>
      <c r="J38" s="221">
        <f ca="1">ROUND(J34/C39,3)</f>
        <v>0.12</v>
      </c>
      <c r="K38" s="1237"/>
      <c r="L38" s="1232"/>
      <c r="M38" s="1232"/>
    </row>
    <row r="39" spans="1:18" ht="18" customHeight="1" thickTop="1">
      <c r="A39" s="1422" t="s">
        <v>22</v>
      </c>
      <c r="B39" s="1437" t="s">
        <v>2219</v>
      </c>
      <c r="C39" s="328">
        <f ca="1">C5-C30</f>
        <v>38504</v>
      </c>
      <c r="D39" s="1438" t="s">
        <v>2220</v>
      </c>
      <c r="E39" s="1439"/>
      <c r="F39" s="1440"/>
      <c r="G39" s="792"/>
      <c r="H39" s="1232"/>
      <c r="I39" s="366" t="s">
        <v>2221</v>
      </c>
      <c r="J39" s="221">
        <f ca="1">1-J38</f>
        <v>0.88</v>
      </c>
      <c r="K39" s="1237"/>
      <c r="L39" s="1232"/>
      <c r="M39" s="1232"/>
    </row>
    <row r="40" spans="1:18" s="792" customFormat="1" ht="18" customHeight="1">
      <c r="A40" s="317" t="s">
        <v>23</v>
      </c>
      <c r="B40" s="318" t="s">
        <v>2222</v>
      </c>
      <c r="C40" s="319">
        <f ca="1">ROUND(C39*(1-((1+F42)/(1+F40))^F41)/(F40-F42),0)</f>
        <v>987959</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5.8000000000000003E-2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0.94199999999999995</v>
      </c>
      <c r="K42" s="1236"/>
      <c r="L42" s="1239"/>
      <c r="M42" s="1239"/>
      <c r="Q42" s="796"/>
    </row>
    <row r="43" spans="1:18" s="792" customFormat="1" ht="18" customHeight="1" thickBot="1">
      <c r="A43" s="357" t="s">
        <v>24</v>
      </c>
      <c r="B43" s="358" t="s">
        <v>2225</v>
      </c>
      <c r="C43" s="359">
        <f ca="1">ROUND(C40/F43,0)</f>
        <v>62253</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987959</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-1016652</v>
      </c>
      <c r="D47" s="2351" t="str">
        <f>C2</f>
        <v>元</v>
      </c>
      <c r="E47" s="777"/>
      <c r="F47" s="777"/>
      <c r="I47" s="2352" t="s">
        <v>2238</v>
      </c>
      <c r="J47" s="1345"/>
      <c r="K47" s="1346"/>
      <c r="L47" s="1359">
        <f>IF(M48="住宅",0,IF(L49&gt;J52,L61,J61))</f>
        <v>0</v>
      </c>
      <c r="O47" s="1373" t="s">
        <v>960</v>
      </c>
      <c r="P47" s="1370" t="s">
        <v>2239</v>
      </c>
      <c r="Q47" s="1371">
        <f ca="1">C29</f>
        <v>77871</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-14</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987959</v>
      </c>
      <c r="R51" s="1372" t="s">
        <v>965</v>
      </c>
    </row>
    <row r="52" spans="1:18" s="792" customFormat="1" ht="16.5" thickBot="1">
      <c r="A52" s="322"/>
      <c r="B52" s="323"/>
      <c r="C52" s="324"/>
      <c r="D52" s="325"/>
      <c r="E52" s="320" t="s">
        <v>2113</v>
      </c>
      <c r="F52" s="321">
        <f>F8</f>
        <v>12</v>
      </c>
      <c r="I52" s="2361" t="s">
        <v>2260</v>
      </c>
      <c r="J52" s="1350">
        <f>IF(J50="",J51,J50+J51-YEAR('数据-取费表'!B2))</f>
        <v>-14</v>
      </c>
      <c r="K52" s="2362" t="s">
        <v>2261</v>
      </c>
      <c r="L52" s="1351">
        <f ca="1">ROUND(-PV('数据-取费表'!B15,L49,(C40-C13*J35)),0)</f>
        <v>18004766</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-14</v>
      </c>
      <c r="K54" s="2991" t="s">
        <v>2802</v>
      </c>
      <c r="L54" s="2992"/>
      <c r="O54" s="1369" t="s">
        <v>958</v>
      </c>
      <c r="P54" s="1370" t="s">
        <v>2233</v>
      </c>
      <c r="Q54" s="1371">
        <f ca="1">C40+J29</f>
        <v>987959</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57625</v>
      </c>
      <c r="D57" s="1296"/>
      <c r="E57" s="1297"/>
      <c r="F57" s="1304"/>
      <c r="I57" s="2371" t="s">
        <v>2271</v>
      </c>
      <c r="J57" s="1357" t="s">
        <v>2866</v>
      </c>
      <c r="K57" s="2356" t="s">
        <v>2272</v>
      </c>
      <c r="L57" s="1129">
        <f>IF(L49&lt;J52,"——",L49-J52)</f>
        <v>47.61</v>
      </c>
      <c r="O57" s="1373" t="s">
        <v>961</v>
      </c>
      <c r="P57" s="1370" t="s">
        <v>2273</v>
      </c>
      <c r="Q57" s="1374">
        <f>L53</f>
        <v>0</v>
      </c>
      <c r="R57" s="1372"/>
    </row>
    <row r="58" spans="1:18" s="792" customFormat="1" ht="29.25" thickBot="1">
      <c r="A58" s="1303"/>
      <c r="B58" s="320" t="s">
        <v>2202</v>
      </c>
      <c r="C58" s="189">
        <f ca="1">C29</f>
        <v>77871</v>
      </c>
      <c r="D58" s="1296"/>
      <c r="E58" s="1297"/>
      <c r="F58" s="1304"/>
      <c r="I58" s="2372" t="s">
        <v>2274</v>
      </c>
      <c r="J58" s="1356" t="str">
        <f>IF(OR(M48="住宅",J52&lt;L49,J57="是"),"——",J52-L49)</f>
        <v>——</v>
      </c>
      <c r="K58" s="2356" t="s">
        <v>2275</v>
      </c>
      <c r="L58" s="1129">
        <f ca="1">IF(L49&lt;J52,"——",IF(L56="比较法",L50,IF(L56="基准地价",L51,L52)))</f>
        <v>18004766</v>
      </c>
      <c r="O58" s="1373" t="s">
        <v>962</v>
      </c>
      <c r="P58" s="1370" t="s">
        <v>2276</v>
      </c>
      <c r="Q58" s="1371" t="e">
        <f>L59</f>
        <v>#DIV/0!</v>
      </c>
      <c r="R58" s="1372" t="s">
        <v>2277</v>
      </c>
    </row>
    <row r="59" spans="1:18" s="792" customFormat="1" ht="29.25" thickBot="1">
      <c r="A59" s="333" t="s">
        <v>14</v>
      </c>
      <c r="B59" s="334" t="s">
        <v>2205</v>
      </c>
      <c r="C59" s="335">
        <f ca="1">ROUND(C60+C65+C66+C67,0)</f>
        <v>1672</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987959</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987959</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1557</v>
      </c>
      <c r="D65" s="1899" t="s">
        <v>2215</v>
      </c>
      <c r="E65" s="320" t="s">
        <v>2159</v>
      </c>
      <c r="F65" s="351">
        <f t="shared" si="0"/>
        <v>0.02</v>
      </c>
      <c r="I65" s="2375" t="s">
        <v>2296</v>
      </c>
      <c r="J65" s="1880">
        <v>50</v>
      </c>
      <c r="K65" s="1880">
        <v>35</v>
      </c>
      <c r="L65" s="1880">
        <v>60</v>
      </c>
      <c r="M65" s="1879">
        <v>0</v>
      </c>
      <c r="O65" s="1373" t="s">
        <v>960</v>
      </c>
      <c r="P65" s="1370" t="s">
        <v>2270</v>
      </c>
      <c r="Q65" s="1375">
        <f ca="1">L52</f>
        <v>18004766</v>
      </c>
      <c r="R65" s="1376" t="s">
        <v>2297</v>
      </c>
    </row>
    <row r="66" spans="1:18" s="792" customFormat="1" ht="20.25" thickBot="1">
      <c r="A66" s="338" t="s">
        <v>20</v>
      </c>
      <c r="B66" s="320" t="s">
        <v>2174</v>
      </c>
      <c r="C66" s="14">
        <f ca="1">ROUND(C57*F66,0)</f>
        <v>115</v>
      </c>
      <c r="D66" s="1899" t="s">
        <v>2175</v>
      </c>
      <c r="E66" s="320" t="s">
        <v>2176</v>
      </c>
      <c r="F66" s="352">
        <f t="shared" si="0"/>
        <v>2E-3</v>
      </c>
      <c r="I66" s="2375" t="s">
        <v>2298</v>
      </c>
      <c r="J66" s="1880">
        <v>40</v>
      </c>
      <c r="K66" s="1880">
        <v>30</v>
      </c>
      <c r="L66" s="1880">
        <v>50</v>
      </c>
      <c r="M66" s="1878">
        <v>0.02</v>
      </c>
      <c r="O66" s="1373" t="s">
        <v>961</v>
      </c>
      <c r="P66" s="1377" t="s">
        <v>2299</v>
      </c>
      <c r="Q66" s="1371">
        <f ca="1">ROUND(Q67-Q68*Q69,0)</f>
        <v>33894</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38504</v>
      </c>
      <c r="R67" s="1372" t="s">
        <v>2234</v>
      </c>
    </row>
    <row r="68" spans="1:18" ht="15.75" thickBot="1">
      <c r="A68" s="333" t="s">
        <v>22</v>
      </c>
      <c r="B68" s="90" t="s">
        <v>2184</v>
      </c>
      <c r="C68" s="335">
        <f ca="1">C49-C59</f>
        <v>-1672</v>
      </c>
      <c r="D68" s="1894" t="s">
        <v>2185</v>
      </c>
      <c r="E68" s="1898"/>
      <c r="F68" s="354"/>
      <c r="H68" s="792"/>
      <c r="I68" s="792"/>
      <c r="J68" s="792"/>
      <c r="K68" s="792"/>
      <c r="L68" s="792"/>
      <c r="M68" s="792"/>
      <c r="O68" s="1373" t="s">
        <v>967</v>
      </c>
      <c r="P68" s="1377" t="s">
        <v>2301</v>
      </c>
      <c r="Q68" s="1371">
        <f ca="1">C13</f>
        <v>57625</v>
      </c>
      <c r="R68" s="1372" t="s">
        <v>2234</v>
      </c>
    </row>
    <row r="69" spans="1:18" ht="15.75" thickBot="1">
      <c r="A69" s="317" t="s">
        <v>23</v>
      </c>
      <c r="B69" s="318" t="s">
        <v>2222</v>
      </c>
      <c r="C69" s="319">
        <f ca="1">ROUND(C68*(1-((1+F71)/(1+F69))^F70)/(F69-F71),0)</f>
        <v>-28693</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-1808</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987959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-1016652</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2881</v>
      </c>
      <c r="D5" s="3039"/>
      <c r="E5" s="3064" t="s">
        <v>2882</v>
      </c>
      <c r="F5" s="3065"/>
      <c r="G5" s="3038" t="s">
        <v>2882</v>
      </c>
      <c r="H5" s="3039"/>
      <c r="I5" s="3038" t="s">
        <v>2882</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128</v>
      </c>
      <c r="G10" s="445"/>
      <c r="H10" s="52">
        <f>ROUND(100/'数据-取费表'!B14,0)</f>
        <v>128</v>
      </c>
      <c r="I10" s="445"/>
      <c r="J10" s="52">
        <f>ROUND(100/'数据-取费表'!B14,0)</f>
        <v>128</v>
      </c>
      <c r="K10" s="656"/>
      <c r="L10" s="1250"/>
      <c r="M10" s="1251"/>
      <c r="N10" s="1251"/>
      <c r="O10" s="1252"/>
      <c r="P10" s="3026"/>
      <c r="Q10" s="1893" t="str">
        <f t="shared" si="6"/>
        <v>土地使用年限（年）</v>
      </c>
      <c r="R10" s="750" t="s">
        <v>25</v>
      </c>
      <c r="S10" s="751">
        <f t="shared" si="0"/>
        <v>128</v>
      </c>
      <c r="T10" s="750" t="s">
        <v>25</v>
      </c>
      <c r="U10" s="751">
        <f t="shared" si="1"/>
        <v>128</v>
      </c>
      <c r="V10" s="750" t="s">
        <v>25</v>
      </c>
      <c r="W10" s="751">
        <f t="shared" si="2"/>
        <v>128</v>
      </c>
      <c r="X10" s="752"/>
      <c r="Y10" s="2855"/>
      <c r="Z10" s="23" t="str">
        <f t="shared" si="7"/>
        <v>土地使用年限（年）</v>
      </c>
      <c r="AA10" s="753">
        <f t="shared" si="3"/>
        <v>0.78125</v>
      </c>
      <c r="AB10" s="753">
        <f t="shared" si="4"/>
        <v>0.78125</v>
      </c>
      <c r="AC10" s="753">
        <f t="shared" si="5"/>
        <v>0.78125</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128</v>
      </c>
      <c r="G10" s="413"/>
      <c r="H10" s="52">
        <f>ROUND(100/'数据-取费表'!B14,0)</f>
        <v>128</v>
      </c>
      <c r="I10" s="413"/>
      <c r="J10" s="52">
        <f>ROUND(100/'数据-取费表'!B14,0)</f>
        <v>128</v>
      </c>
      <c r="K10" s="656"/>
      <c r="L10" s="1250"/>
      <c r="M10" s="1251"/>
      <c r="N10" s="1251"/>
      <c r="O10" s="1252"/>
      <c r="P10" s="3026"/>
      <c r="Q10" s="1893" t="str">
        <f t="shared" si="6"/>
        <v>土地使用年限（年）</v>
      </c>
      <c r="R10" s="750" t="s">
        <v>25</v>
      </c>
      <c r="S10" s="751">
        <f t="shared" si="0"/>
        <v>128</v>
      </c>
      <c r="T10" s="750" t="s">
        <v>25</v>
      </c>
      <c r="U10" s="751">
        <f t="shared" si="1"/>
        <v>128</v>
      </c>
      <c r="V10" s="750" t="s">
        <v>25</v>
      </c>
      <c r="W10" s="751">
        <f t="shared" si="2"/>
        <v>128</v>
      </c>
      <c r="X10" s="752"/>
      <c r="Y10" s="2855"/>
      <c r="Z10" s="23" t="str">
        <f t="shared" si="7"/>
        <v>土地使用年限（年）</v>
      </c>
      <c r="AA10" s="753">
        <f t="shared" si="3"/>
        <v>0.78125</v>
      </c>
      <c r="AB10" s="753">
        <f t="shared" si="4"/>
        <v>0.78125</v>
      </c>
      <c r="AC10" s="753">
        <f t="shared" si="5"/>
        <v>0.78125</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F28" sqref="F28"/>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428665</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52299</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27011</v>
      </c>
      <c r="C3" s="2515" t="s">
        <v>2613</v>
      </c>
      <c r="D3" s="2516" t="s">
        <v>2614</v>
      </c>
      <c r="E3" s="2522" t="s">
        <v>2922</v>
      </c>
      <c r="F3" s="2523" t="s">
        <v>2615</v>
      </c>
      <c r="G3" s="942">
        <f>项目基本情况!C15</f>
        <v>3.5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38350</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31317</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25990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22735</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20550</v>
      </c>
      <c r="U7" s="1716"/>
      <c r="V7" s="1715">
        <f t="shared" ca="1" si="1"/>
        <v>0</v>
      </c>
      <c r="W7" s="1911" t="s">
        <v>2629</v>
      </c>
      <c r="X7" s="1717" t="str">
        <f>G2</f>
        <v>二级</v>
      </c>
      <c r="Y7" s="1717" t="s">
        <v>2630</v>
      </c>
      <c r="Z7" s="1718">
        <f>G3</f>
        <v>3.5</v>
      </c>
      <c r="AA7" s="1719"/>
      <c r="AB7" s="1719"/>
      <c r="AC7" s="1720"/>
      <c r="AD7" s="1721"/>
      <c r="AE7" s="1721"/>
      <c r="AF7" s="1721"/>
      <c r="AG7" s="1721"/>
      <c r="AH7" s="1721"/>
      <c r="AI7" s="1721"/>
      <c r="AJ7" s="1722"/>
    </row>
    <row r="8" spans="1:36" ht="15">
      <c r="A8" s="3091"/>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90"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092"/>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1</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1.0589999999999999</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428665</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27011</v>
      </c>
      <c r="D29" s="2641">
        <v>15.87</v>
      </c>
      <c r="E29" s="973">
        <f ca="1">ROUND(C29*D29,0)</f>
        <v>428665</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6753</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8103</v>
      </c>
      <c r="D37" s="2641"/>
      <c r="E37" s="118">
        <f t="shared" ca="1" si="6"/>
        <v>0</v>
      </c>
      <c r="F37" s="124">
        <f>SUMIF(修正!A45:A56,G2,修正!F45:F56)</f>
        <v>0.3</v>
      </c>
      <c r="G37" s="118">
        <f t="shared" ca="1" si="7"/>
        <v>2026</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8103</v>
      </c>
      <c r="D38" s="2641"/>
      <c r="E38" s="118">
        <f t="shared" ca="1" si="6"/>
        <v>0</v>
      </c>
      <c r="F38" s="124">
        <f>SUMIF(修正!A45:A56,G2,修正!G45:G56)</f>
        <v>0.3</v>
      </c>
      <c r="G38" s="118">
        <f t="shared" ca="1" si="7"/>
        <v>2026</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6753</v>
      </c>
      <c r="D39" s="2647"/>
      <c r="E39" s="151">
        <f t="shared" ca="1" si="6"/>
        <v>0</v>
      </c>
      <c r="F39" s="962">
        <f>SUMIF(修正!A45:A56,G2,修正!H45:H56)</f>
        <v>0.25</v>
      </c>
      <c r="G39" s="151">
        <f t="shared" ca="1" si="7"/>
        <v>1688</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1.0589999999999999</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29</v>
      </c>
      <c r="D59" s="1378">
        <f t="shared" ref="D59:D67" si="15">SUMIF($J$58:$N$58,C59,J59:N59)</f>
        <v>1.7000000000000001E-2</v>
      </c>
      <c r="E59" s="830">
        <f>ROUND(SUM(D59:D67),4)</f>
        <v>5.8999999999999997E-2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29</v>
      </c>
      <c r="D60" s="1378">
        <f t="shared" si="15"/>
        <v>2.12E-2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29</v>
      </c>
      <c r="D61" s="1378">
        <f t="shared" si="15"/>
        <v>5.5999999999999999E-3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29</v>
      </c>
      <c r="D63" s="1378">
        <f t="shared" si="15"/>
        <v>3.3999999999999998E-3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29</v>
      </c>
      <c r="D64" s="1378">
        <f t="shared" si="15"/>
        <v>3.3999999999999998E-3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29</v>
      </c>
      <c r="D65" s="1378">
        <f t="shared" si="15"/>
        <v>4.1999999999999997E-3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29</v>
      </c>
      <c r="D67" s="1378">
        <f t="shared" si="15"/>
        <v>4.1999999999999997E-3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2779</v>
      </c>
      <c r="B90" s="3094"/>
      <c r="C90" s="3094"/>
      <c r="D90" s="3094"/>
      <c r="E90" s="3094"/>
      <c r="F90" s="3094"/>
      <c r="G90" s="3094"/>
      <c r="H90" s="3094"/>
      <c r="I90" s="3094"/>
      <c r="J90" s="3094"/>
      <c r="K90" s="2694"/>
      <c r="L90" s="2694"/>
      <c r="M90" s="2694"/>
      <c r="N90" s="2694"/>
    </row>
    <row r="91" spans="1:37">
      <c r="A91" s="3096" t="s">
        <v>2780</v>
      </c>
      <c r="B91" s="3096" t="s">
        <v>2781</v>
      </c>
      <c r="C91" s="2642" t="s">
        <v>2782</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2784</v>
      </c>
      <c r="B101" s="2701" t="s">
        <v>2785</v>
      </c>
      <c r="C101" s="2702">
        <f>$G$3</f>
        <v>3.5</v>
      </c>
      <c r="D101" s="2702">
        <f t="shared" ref="D101:N101" si="31">$G$3</f>
        <v>3.5</v>
      </c>
      <c r="E101" s="2702">
        <f t="shared" si="31"/>
        <v>3.5</v>
      </c>
      <c r="F101" s="2702">
        <f t="shared" si="31"/>
        <v>3.5</v>
      </c>
      <c r="G101" s="2702">
        <f t="shared" si="31"/>
        <v>3.5</v>
      </c>
      <c r="H101" s="2702">
        <f t="shared" si="31"/>
        <v>3.5</v>
      </c>
      <c r="I101" s="2702">
        <f t="shared" si="31"/>
        <v>3.5</v>
      </c>
      <c r="J101" s="2702">
        <f t="shared" si="31"/>
        <v>3.5</v>
      </c>
      <c r="K101" s="2702">
        <f t="shared" si="31"/>
        <v>3.5</v>
      </c>
      <c r="L101" s="2702">
        <f t="shared" si="31"/>
        <v>3.5</v>
      </c>
      <c r="M101" s="2702">
        <f t="shared" si="31"/>
        <v>3.5</v>
      </c>
      <c r="N101" s="2702">
        <f t="shared" si="31"/>
        <v>3.5</v>
      </c>
    </row>
    <row r="102" spans="1:14">
      <c r="A102" s="3098"/>
      <c r="B102" s="2697">
        <v>1</v>
      </c>
      <c r="C102" s="2698">
        <f>1.9362/C101</f>
        <v>0.55320000000000003</v>
      </c>
      <c r="D102" s="2698">
        <f>1.9362/D101</f>
        <v>0.55320000000000003</v>
      </c>
      <c r="E102" s="2698">
        <f>1.8629/E101</f>
        <v>0.53225714285714287</v>
      </c>
      <c r="F102" s="2698">
        <f>1.8629/F101</f>
        <v>0.53225714285714287</v>
      </c>
      <c r="G102" s="2698">
        <f>1.8629/G101</f>
        <v>0.53225714285714287</v>
      </c>
      <c r="H102" s="2698">
        <f>1.8629/H101</f>
        <v>0.53225714285714287</v>
      </c>
      <c r="I102" s="2698">
        <f>1.8629/I101</f>
        <v>0.53225714285714287</v>
      </c>
      <c r="J102" s="2698">
        <f>1.942/J101</f>
        <v>0.55485714285714283</v>
      </c>
      <c r="K102" s="2698">
        <f>1.942/K101</f>
        <v>0.55485714285714283</v>
      </c>
      <c r="L102" s="2698">
        <f>1.942/L101</f>
        <v>0.55485714285714283</v>
      </c>
      <c r="M102" s="2698">
        <f>1.942/M101</f>
        <v>0.55485714285714283</v>
      </c>
      <c r="N102" s="2698">
        <f>1.942/N101</f>
        <v>0.55485714285714283</v>
      </c>
    </row>
    <row r="103" spans="1:14">
      <c r="A103" s="3098"/>
      <c r="B103" s="2697">
        <v>2</v>
      </c>
      <c r="C103" s="2698">
        <f>1.4198/C101</f>
        <v>0.40565714285714283</v>
      </c>
      <c r="D103" s="2698">
        <f>1.4198/D101</f>
        <v>0.40565714285714283</v>
      </c>
      <c r="E103" s="2698">
        <f>1.3372/E101</f>
        <v>0.38205714285714282</v>
      </c>
      <c r="F103" s="2698">
        <f>1.3372/F101</f>
        <v>0.38205714285714282</v>
      </c>
      <c r="G103" s="2698">
        <f>1.3372/G101</f>
        <v>0.38205714285714282</v>
      </c>
      <c r="H103" s="2698">
        <f>1.3372/H101</f>
        <v>0.38205714285714282</v>
      </c>
      <c r="I103" s="2698">
        <f>1.3372/I101</f>
        <v>0.38205714285714282</v>
      </c>
      <c r="J103" s="2698">
        <f>1.2799/J101</f>
        <v>0.36568571428571428</v>
      </c>
      <c r="K103" s="2698">
        <f>1.2799/K101</f>
        <v>0.36568571428571428</v>
      </c>
      <c r="L103" s="2698">
        <f>1.2799/L101</f>
        <v>0.36568571428571428</v>
      </c>
      <c r="M103" s="2698">
        <f>1.2799/M101</f>
        <v>0.36568571428571428</v>
      </c>
      <c r="N103" s="2698">
        <f>1.2799/N101</f>
        <v>0.36568571428571428</v>
      </c>
    </row>
    <row r="104" spans="1:14">
      <c r="A104" s="3098"/>
      <c r="B104" s="2697">
        <v>3</v>
      </c>
      <c r="C104" s="2698">
        <f>1.1594/C101</f>
        <v>0.33125714285714286</v>
      </c>
      <c r="D104" s="2698">
        <f>1.1594/D101</f>
        <v>0.33125714285714286</v>
      </c>
      <c r="E104" s="2698">
        <f>1.0788/E101</f>
        <v>0.30822857142857141</v>
      </c>
      <c r="F104" s="2698">
        <f>1.0788/F101</f>
        <v>0.30822857142857141</v>
      </c>
      <c r="G104" s="2698">
        <f>1.0788/G101</f>
        <v>0.30822857142857141</v>
      </c>
      <c r="H104" s="2698">
        <f>1.0788/H101</f>
        <v>0.30822857142857141</v>
      </c>
      <c r="I104" s="2698">
        <f>1.0788/I101</f>
        <v>0.30822857142857141</v>
      </c>
      <c r="J104" s="2698">
        <f>1.0072/J101</f>
        <v>0.28777142857142862</v>
      </c>
      <c r="K104" s="2698">
        <f>1.0072/K101</f>
        <v>0.28777142857142862</v>
      </c>
      <c r="L104" s="2698">
        <f>1.0072/L101</f>
        <v>0.28777142857142862</v>
      </c>
      <c r="M104" s="2698">
        <f>1.0072/M101</f>
        <v>0.28777142857142862</v>
      </c>
      <c r="N104" s="2698">
        <f>1.0072/N101</f>
        <v>0.28777142857142862</v>
      </c>
    </row>
    <row r="105" spans="1:14">
      <c r="A105" s="3098"/>
      <c r="B105" s="2697">
        <v>4</v>
      </c>
      <c r="C105" s="2698">
        <f>0.9622/C101</f>
        <v>0.27491428571428572</v>
      </c>
      <c r="D105" s="2698">
        <f>0.9622/D101</f>
        <v>0.27491428571428572</v>
      </c>
      <c r="E105" s="2698">
        <f>0.8656/E101</f>
        <v>0.24731428571428574</v>
      </c>
      <c r="F105" s="2698">
        <f>0.8656/F101</f>
        <v>0.24731428571428574</v>
      </c>
      <c r="G105" s="2698">
        <f>0.8656/G101</f>
        <v>0.24731428571428574</v>
      </c>
      <c r="H105" s="2698">
        <f>0.8656/H101</f>
        <v>0.24731428571428574</v>
      </c>
      <c r="I105" s="2698">
        <f>0.8656/I101</f>
        <v>0.24731428571428574</v>
      </c>
      <c r="J105" s="2698">
        <f>0.7525/J101</f>
        <v>0.215</v>
      </c>
      <c r="K105" s="2698">
        <f>0.7525/K101</f>
        <v>0.215</v>
      </c>
      <c r="L105" s="2698">
        <f>0.7525/L101</f>
        <v>0.215</v>
      </c>
      <c r="M105" s="2698">
        <f>0.7525/M101</f>
        <v>0.215</v>
      </c>
      <c r="N105" s="2698">
        <f>0.7525/N101</f>
        <v>0.215</v>
      </c>
    </row>
    <row r="106" spans="1:14">
      <c r="A106" s="3098"/>
      <c r="B106" s="2697">
        <v>5</v>
      </c>
      <c r="C106" s="2698">
        <f>0.8417/C101</f>
        <v>0.24048571428571427</v>
      </c>
      <c r="D106" s="2698">
        <f>0.8417/D101</f>
        <v>0.24048571428571427</v>
      </c>
      <c r="E106" s="2698">
        <f>0.7371/E101</f>
        <v>0.21059999999999998</v>
      </c>
      <c r="F106" s="2698">
        <f>0.7371/F101</f>
        <v>0.21059999999999998</v>
      </c>
      <c r="G106" s="2698">
        <f>0.7371/G101</f>
        <v>0.21059999999999998</v>
      </c>
      <c r="H106" s="2698">
        <f>0.7371/H101</f>
        <v>0.21059999999999998</v>
      </c>
      <c r="I106" s="2698">
        <f>0.7371/I101</f>
        <v>0.21059999999999998</v>
      </c>
      <c r="J106" s="2698">
        <f>0.5659/J101</f>
        <v>0.16168571428571427</v>
      </c>
      <c r="K106" s="2698">
        <f>0.5659/K101</f>
        <v>0.16168571428571427</v>
      </c>
      <c r="L106" s="2698">
        <f>0.5659/L101</f>
        <v>0.16168571428571427</v>
      </c>
      <c r="M106" s="2698">
        <f>0.5659/M101</f>
        <v>0.16168571428571427</v>
      </c>
      <c r="N106" s="2698">
        <f>0.5659/N101</f>
        <v>0.16168571428571427</v>
      </c>
    </row>
    <row r="107" spans="1:14">
      <c r="A107" s="3098"/>
      <c r="B107" s="2697">
        <v>6</v>
      </c>
      <c r="C107" s="2698">
        <f>0.7608/C101</f>
        <v>0.21737142857142858</v>
      </c>
      <c r="D107" s="2698">
        <f>0.7608/D101</f>
        <v>0.21737142857142858</v>
      </c>
      <c r="E107" s="2698">
        <f>0.6482/E101</f>
        <v>0.1852</v>
      </c>
      <c r="F107" s="2698">
        <f>0.6482/F101</f>
        <v>0.1852</v>
      </c>
      <c r="G107" s="2698">
        <f>0.6482/G101</f>
        <v>0.1852</v>
      </c>
      <c r="H107" s="2698">
        <f>0.6482/H101</f>
        <v>0.1852</v>
      </c>
      <c r="I107" s="2698">
        <f>0.6482/I101</f>
        <v>0.1852</v>
      </c>
      <c r="J107" s="2698">
        <f>0.4525/J101</f>
        <v>0.12928571428571428</v>
      </c>
      <c r="K107" s="2698">
        <f>0.4525/K101</f>
        <v>0.12928571428571428</v>
      </c>
      <c r="L107" s="2698">
        <f>0.4525/L101</f>
        <v>0.12928571428571428</v>
      </c>
      <c r="M107" s="2698">
        <f>0.4525/M101</f>
        <v>0.12928571428571428</v>
      </c>
      <c r="N107" s="2698">
        <f>0.4525/N101</f>
        <v>0.12928571428571428</v>
      </c>
    </row>
    <row r="108" spans="1:14">
      <c r="A108" s="3098"/>
      <c r="B108" s="3100"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0.21757622857142858</v>
      </c>
      <c r="D109" s="2700">
        <f>(-0.163*(D108^2)-0.59*D108+7617)*(10^(-4))/D101</f>
        <v>0.21757622857142858</v>
      </c>
      <c r="E109" s="2700">
        <f>(-0.161*(E108^2)-7.509*E108+6533)*(10^(-4))/E101</f>
        <v>0.18620965714285714</v>
      </c>
      <c r="F109" s="2700">
        <f>(-0.161*(F108^2)-7.509*F108+6533)*(10^(-4))/F101</f>
        <v>0.18620965714285714</v>
      </c>
      <c r="G109" s="2700">
        <f>(-0.161*(G108^2)-7.509*G108+6533)*(10^(-4))/G101</f>
        <v>0.18620965714285714</v>
      </c>
      <c r="H109" s="2700">
        <f>(-0.161*(H108^2)-7.509*H108+6533)*(10^(-4))/H101</f>
        <v>0.18620965714285714</v>
      </c>
      <c r="I109" s="2700">
        <f>(-0.161*(I108^2)-7.509*I108+6533)*(10^(-4))/I101</f>
        <v>0.18620965714285714</v>
      </c>
      <c r="J109" s="2700">
        <f>(-0.214*(J108^2)-21.991*J108+4665)*(10^(-4))/J101</f>
        <v>0.13200462857142858</v>
      </c>
      <c r="K109" s="2700">
        <f>(-0.214*(K108^2)-21.991*K108+4665)*(10^(-4))/K101</f>
        <v>0.13200462857142858</v>
      </c>
      <c r="L109" s="2700">
        <f>(-0.214*(L108^2)-21.991*L108+4665)*(10^(-4))/L101</f>
        <v>0.13200462857142858</v>
      </c>
      <c r="M109" s="2700">
        <f>(-0.214*(M108^2)-21.991*M108+4665)*(10^(-4))/M101</f>
        <v>0.13200462857142858</v>
      </c>
      <c r="N109" s="2700">
        <f>(-0.214*(N108^2)-21.991*N108+4665)*(10^(-4))/N101</f>
        <v>0.13200462857142858</v>
      </c>
    </row>
    <row r="110" spans="1:14">
      <c r="A110" s="3095" t="s">
        <v>2787</v>
      </c>
      <c r="B110" s="3095"/>
      <c r="C110" s="3095"/>
      <c r="D110" s="3095"/>
      <c r="E110" s="3095"/>
      <c r="F110" s="3095"/>
      <c r="G110" s="3095"/>
      <c r="H110" s="3095"/>
      <c r="I110" s="3095"/>
      <c r="J110" s="3095"/>
      <c r="K110" s="2703"/>
      <c r="L110" s="2703"/>
      <c r="M110" s="2703"/>
      <c r="N110" s="2703"/>
    </row>
    <row r="112" spans="1:14" ht="13.5" thickBot="1"/>
    <row r="113" spans="1:13" ht="25.5" thickBot="1">
      <c r="A113" s="929" t="s">
        <v>2788</v>
      </c>
      <c r="B113" s="1381">
        <f>G3</f>
        <v>3.5</v>
      </c>
      <c r="C113" s="930" t="s">
        <v>2789</v>
      </c>
      <c r="D113" s="931">
        <f>SUMPRODUCT((A115:A118=F113)*(B114:M114=H113)*B115:M118)</f>
        <v>0.90700000000000003</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2677</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2678</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2679</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690021</v>
      </c>
      <c r="C2" s="164" t="str">
        <f>'数据-取费表'!B3</f>
        <v>元</v>
      </c>
      <c r="D2" s="2339" t="s">
        <v>1257</v>
      </c>
      <c r="E2" s="1548">
        <f ca="1">SUMIF(INDIRECT("'"&amp;G2&amp;"'"&amp;"!A:A"),"承租人权益价值",INDIRECT("'"&amp;G2&amp;"'"&amp;"!c:c"))</f>
        <v>-1016652</v>
      </c>
      <c r="F2" s="2340" t="str">
        <f>C2</f>
        <v>元</v>
      </c>
      <c r="G2" s="1912" t="s">
        <v>2863</v>
      </c>
    </row>
    <row r="3" spans="1:7" s="165" customFormat="1" ht="18" customHeight="1" thickBot="1">
      <c r="A3" s="168" t="s">
        <v>2009</v>
      </c>
      <c r="B3" s="169">
        <f ca="1">ROUND(C52/IF(B1="仅计算典型户型",'数据-取费表'!E5,'数据-取费表'!B5),0)</f>
        <v>43480</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441739</v>
      </c>
      <c r="D5" s="196" t="s">
        <v>2014</v>
      </c>
      <c r="E5" s="1534" t="s">
        <v>2015</v>
      </c>
      <c r="F5" s="1534" t="s">
        <v>2016</v>
      </c>
      <c r="G5" s="175"/>
    </row>
    <row r="6" spans="1:7" s="176" customFormat="1" ht="13.5" customHeight="1">
      <c r="A6" s="177" t="s">
        <v>2017</v>
      </c>
      <c r="B6" s="178" t="s">
        <v>2018</v>
      </c>
      <c r="C6" s="1533">
        <f ca="1">基准地价修正!B2</f>
        <v>428665</v>
      </c>
      <c r="D6" s="1535"/>
      <c r="E6" s="1536"/>
      <c r="F6" s="1536"/>
      <c r="G6" s="180"/>
    </row>
    <row r="7" spans="1:7" s="176" customFormat="1" ht="13.5" customHeight="1">
      <c r="A7" s="177" t="s">
        <v>2019</v>
      </c>
      <c r="B7" s="178" t="s">
        <v>2020</v>
      </c>
      <c r="C7" s="200">
        <f ca="1">ROUND(C6*F7,0)</f>
        <v>13074</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1270</v>
      </c>
      <c r="D9" s="1540">
        <f>IF('数据-取费表'!B10="住宅",IF(B1="仅计算典型户型",'数据-取费表'!E5,'数据-取费表'!B5),0)</f>
        <v>15.87</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2939</v>
      </c>
    </row>
    <row r="20" spans="1:7" s="176" customFormat="1" ht="13.5" customHeight="1">
      <c r="A20" s="205" t="s">
        <v>2036</v>
      </c>
      <c r="B20" s="174" t="s">
        <v>2037</v>
      </c>
      <c r="C20" s="184">
        <f ca="1">ROUND((C5+C19)*F20,0)</f>
        <v>8835</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19408</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19216</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192</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 ca="1">C28</f>
        <v>112644</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112644</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632396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55307</v>
      </c>
      <c r="D33" s="184"/>
      <c r="E33" s="1534"/>
      <c r="F33" s="192"/>
      <c r="G33" s="185"/>
    </row>
    <row r="34" spans="1:7" s="207" customFormat="1" ht="13.5" customHeight="1">
      <c r="A34" s="177" t="s">
        <v>2045</v>
      </c>
      <c r="B34" s="178" t="s">
        <v>2067</v>
      </c>
      <c r="C34" s="200">
        <f>IF(B1="仅计算典型户型",'数据-取费表'!F18,'数据-取费表'!E18)</f>
        <v>47610</v>
      </c>
      <c r="D34" s="1535"/>
      <c r="E34" s="200"/>
      <c r="F34" s="1546" t="str">
        <f>IF('数据-取费表'!B25=0,"",'数据-取费表'!E20)</f>
        <v/>
      </c>
      <c r="G34" s="180"/>
    </row>
    <row r="35" spans="1:7" ht="13.5" customHeight="1">
      <c r="A35" s="177" t="s">
        <v>2019</v>
      </c>
      <c r="B35" s="178" t="s">
        <v>2068</v>
      </c>
      <c r="C35" s="200">
        <f>ROUND(C34*F35,0)</f>
        <v>1428</v>
      </c>
      <c r="D35" s="200"/>
      <c r="E35" s="200"/>
      <c r="F35" s="1547">
        <f>'数据-取费表'!E21</f>
        <v>0.03</v>
      </c>
      <c r="G35" s="180" t="s">
        <v>2069</v>
      </c>
    </row>
    <row r="36" spans="1:7" ht="24">
      <c r="A36" s="177" t="s">
        <v>2021</v>
      </c>
      <c r="B36" s="178" t="s">
        <v>2070</v>
      </c>
      <c r="C36" s="200">
        <f>ROUND(IF('数据-取费表'!B10="住宅",C34*F36,0),0)</f>
        <v>2381</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714</v>
      </c>
      <c r="D38" s="200"/>
      <c r="E38" s="200"/>
      <c r="F38" s="1547">
        <f>'数据-取费表'!E24</f>
        <v>1.4999999999999999E-2</v>
      </c>
      <c r="G38" s="180" t="s">
        <v>2069</v>
      </c>
    </row>
    <row r="39" spans="1:7" s="176" customFormat="1" ht="13.5" customHeight="1">
      <c r="A39" s="205" t="s">
        <v>2034</v>
      </c>
      <c r="B39" s="174" t="s">
        <v>2037</v>
      </c>
      <c r="C39" s="184">
        <f>ROUND(C33*F20,0)</f>
        <v>1106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1227</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1203</v>
      </c>
      <c r="D42" s="189"/>
      <c r="E42" s="189"/>
      <c r="F42" s="190"/>
      <c r="G42" s="3105" t="s">
        <v>2079</v>
      </c>
    </row>
    <row r="43" spans="1:7" ht="13.5" customHeight="1">
      <c r="A43" s="177" t="s">
        <v>2019</v>
      </c>
      <c r="B43" s="178" t="s">
        <v>2048</v>
      </c>
      <c r="C43" s="189">
        <f ca="1">ROUND(IF('数据-取费表'!B23&lt;=1,C39*F22*'数据-取费表'!B22/2,C39*(POWER((1+F22),'数据-取费表'!B22/2)-1)),0)</f>
        <v>24</v>
      </c>
      <c r="D43" s="189"/>
      <c r="E43" s="189"/>
      <c r="F43" s="190"/>
      <c r="G43" s="3106"/>
    </row>
    <row r="44" spans="1:7" ht="13.5" customHeight="1">
      <c r="A44" s="177" t="s">
        <v>2021</v>
      </c>
      <c r="B44" s="178" t="s">
        <v>2050</v>
      </c>
      <c r="C44" s="189">
        <f ca="1">ROUND(IF('数据-取费表'!B23&lt;=1,C40*F22*'数据-取费表'!B22/2,C40*(POWER((1+F22),'数据-取费表'!B22/2)-1)),4)</f>
        <v>4.0000000000000002E-4</v>
      </c>
      <c r="D44" s="189"/>
      <c r="E44" s="189"/>
      <c r="F44" s="190"/>
      <c r="G44" s="3107"/>
    </row>
    <row r="45" spans="1:7" s="176" customFormat="1" ht="13.5" customHeight="1">
      <c r="A45" s="205" t="s">
        <v>2043</v>
      </c>
      <c r="B45" s="195" t="s">
        <v>2055</v>
      </c>
      <c r="C45" s="196">
        <f>C46</f>
        <v>14103</v>
      </c>
      <c r="D45" s="186">
        <f>C47</f>
        <v>5.0000000000000001E-3</v>
      </c>
      <c r="E45" s="187" t="s">
        <v>2077</v>
      </c>
      <c r="F45" s="197"/>
      <c r="G45" s="198" t="s">
        <v>2080</v>
      </c>
    </row>
    <row r="46" spans="1:7" s="176" customFormat="1" ht="13.5" customHeight="1">
      <c r="A46" s="177" t="s">
        <v>2045</v>
      </c>
      <c r="B46" s="199" t="s">
        <v>2081</v>
      </c>
      <c r="C46" s="200">
        <f>ROUND((C33+C39)*F27,0)</f>
        <v>14103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77871</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57625</v>
      </c>
      <c r="D51" s="184"/>
      <c r="E51" s="184"/>
      <c r="F51" s="211"/>
      <c r="G51" s="185" t="s">
        <v>2093</v>
      </c>
    </row>
    <row r="52" spans="1:7" s="173" customFormat="1" ht="16.5" thickBot="1">
      <c r="A52" s="212" t="s">
        <v>2094</v>
      </c>
      <c r="B52" s="213"/>
      <c r="C52" s="214">
        <f ca="1">C31+C51</f>
        <v>690021</v>
      </c>
      <c r="D52" s="213"/>
      <c r="E52" s="213"/>
      <c r="F52" s="213"/>
      <c r="G52" s="215"/>
    </row>
    <row r="55" spans="1:7" ht="15">
      <c r="B55" s="217" t="s">
        <v>2095</v>
      </c>
      <c r="C55" s="218"/>
    </row>
    <row r="56" spans="1:7">
      <c r="B56" s="220" t="s">
        <v>2096</v>
      </c>
      <c r="C56" s="221">
        <f ca="1">ROUND(C51/C52,3)</f>
        <v>8.4000000000000005E-2</v>
      </c>
    </row>
    <row r="57" spans="1:7">
      <c r="B57" s="220" t="s">
        <v>2097</v>
      </c>
      <c r="C57" s="222">
        <f ca="1">1-C56</f>
        <v>0.91600000000000004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5" sqref="D25"/>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92.836299999999994</v>
      </c>
      <c r="C5" s="1836">
        <f ca="1">ROUND(B5*10000/$B$1,0)</f>
        <v>58498</v>
      </c>
      <c r="D5" s="1836" t="e">
        <f ca="1">ROUND(B5*10000/$B$2,0)</f>
        <v>#DIV/0!</v>
      </c>
      <c r="E5" s="1837"/>
      <c r="F5" s="1841"/>
      <c r="G5" s="1841"/>
    </row>
    <row r="6" spans="1:9" ht="16.5">
      <c r="A6" s="1836" t="s">
        <v>1237</v>
      </c>
      <c r="B6" s="1836">
        <f ca="1">SUM(G14:G23)</f>
        <v>92.836299999999994</v>
      </c>
      <c r="C6" s="1836">
        <f t="shared" ref="C6:C8" ca="1" si="0">ROUND(B6*10000/$B$1,0)</f>
        <v>58498</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92.836299999999994</v>
      </c>
      <c r="E14" s="1840">
        <f ca="1">ROUND(D14*10000/B14,0)</f>
        <v>58498</v>
      </c>
      <c r="F14" s="1840" t="e">
        <f ca="1">ROUND(D14*10000/C14,0)</f>
        <v>#DIV/0!</v>
      </c>
      <c r="G14" s="1840">
        <f ca="1">IF('数据-取费表'!B3="万元",IF(A14="估价对象1（结果表）",结果表!D125,'结果表 (1修多)'!D128),IF(A14="估价对象1（结果表）",结果表!D125,'结果表 (1修多)'!D128)/10000)</f>
        <v>92.836299999999994</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15.87</v>
      </c>
      <c r="D6" s="2783"/>
      <c r="E6" s="1933"/>
    </row>
    <row r="7" spans="1:5" ht="14.25">
      <c r="A7" s="1933"/>
      <c r="B7" s="2777" t="s">
        <v>785</v>
      </c>
      <c r="C7" s="1939" t="str">
        <f>IF('数据-取费表'!B3="万元","总价（万元）","总价（元）")</f>
        <v>总价（元）</v>
      </c>
      <c r="D7" s="1940">
        <f ca="1">IF('数据-取费表'!E3="否",结果表!I102,'结果表 (1修多)'!I103)</f>
        <v>928363</v>
      </c>
      <c r="E7" s="1933"/>
    </row>
    <row r="8" spans="1:5" ht="28.5">
      <c r="A8" s="1933"/>
      <c r="B8" s="2777"/>
      <c r="C8" s="1941" t="s">
        <v>1179</v>
      </c>
      <c r="D8" s="1942" t="str">
        <f ca="1">IF('数据-取费表'!B3="万元",NUMBERSTRING(INT(D7*10000),2)&amp;"元整",NUMBERSTRING(INT(D7),2)&amp;"元整")</f>
        <v>玖拾贰万捌仟叁佰陆拾叁元整</v>
      </c>
      <c r="E8" s="1933"/>
    </row>
    <row r="9" spans="1:5" ht="14.25">
      <c r="A9" s="1933"/>
      <c r="B9" s="2777"/>
      <c r="C9" s="1943" t="s">
        <v>1277</v>
      </c>
      <c r="D9" s="1940">
        <f ca="1">IF('数据-取费表'!E3="否",结果表!I103,'结果表 (1修多)'!I104)</f>
        <v>58498</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928363</v>
      </c>
      <c r="E15" s="1933"/>
    </row>
    <row r="16" spans="1:5" ht="28.5">
      <c r="A16" s="1933"/>
      <c r="B16" s="2784"/>
      <c r="C16" s="1941" t="s">
        <v>1179</v>
      </c>
      <c r="D16" s="1940" t="str">
        <f ca="1">IF('数据-取费表'!B3="万元",NUMBERSTRING(INT(D15*10000),2)&amp;"元整",NUMBERSTRING(INT(D15),2)&amp;"元整")</f>
        <v>玖拾贰万捌仟叁佰陆拾叁元整</v>
      </c>
      <c r="E16" s="1933"/>
    </row>
    <row r="17" spans="1:5" ht="14.25">
      <c r="A17" s="1933"/>
      <c r="B17" s="2784"/>
      <c r="C17" s="1943" t="s">
        <v>1277</v>
      </c>
      <c r="D17" s="1940">
        <f ca="1">IF('数据-取费表'!E3="否",结果表!I111,'结果表 (1修多)'!I112)</f>
        <v>58498</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928363</v>
      </c>
      <c r="E28" s="1933"/>
    </row>
    <row r="29" spans="1:5" ht="28.5">
      <c r="A29" s="1933"/>
      <c r="B29" s="2763"/>
      <c r="C29" s="1952" t="s">
        <v>1179</v>
      </c>
      <c r="D29" s="1953" t="str">
        <f ca="1">IF('数据-取费表'!B3="万元",NUMBERSTRING(INT(D28*10000),2)&amp;"元整",NUMBERSTRING(INT(D28),2)&amp;"元整")</f>
        <v>玖拾贰万捌仟叁佰陆拾叁元整</v>
      </c>
      <c r="E29" s="1933"/>
    </row>
    <row r="30" spans="1:5" ht="14.25">
      <c r="A30" s="1933"/>
      <c r="B30" s="2764"/>
      <c r="C30" s="1943" t="s">
        <v>1182</v>
      </c>
      <c r="D30" s="1954">
        <f ca="1">IF('数据-取费表'!E3="否",结果表!I103,'结果表 (1修多)'!I104)</f>
        <v>58498</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928363</v>
      </c>
      <c r="E36" s="1933"/>
    </row>
    <row r="37" spans="1:5" ht="28.5">
      <c r="A37" s="1933"/>
      <c r="B37" s="2765"/>
      <c r="C37" s="1952" t="s">
        <v>1179</v>
      </c>
      <c r="D37" s="1957" t="str">
        <f ca="1">IF('数据-取费表'!B3="万元",NUMBERSTRING(INT(D36*10000),2)&amp;"元整",NUMBERSTRING(INT(D36),2)&amp;"元整")</f>
        <v>玖拾贰万捌仟叁佰陆拾叁元整</v>
      </c>
      <c r="E37" s="1933"/>
    </row>
    <row r="38" spans="1:5" ht="14.25">
      <c r="A38" s="1933"/>
      <c r="B38" s="2765"/>
      <c r="C38" s="1943" t="s">
        <v>1183</v>
      </c>
      <c r="D38" s="1954">
        <f ca="1">IF('数据-取费表'!E3="否",结果表!D113,'结果表 (1修多)'!D116)</f>
        <v>58498</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874516</v>
      </c>
      <c r="E4" s="1050">
        <f ca="1">IF('数据-取费表'!E3="否",结果表!E121,'结果表 (1修多)'!E124)</f>
        <v>55105</v>
      </c>
      <c r="F4" s="1050">
        <f ca="1">IF('数据-取费表'!E3="否",结果表!F121,'结果表 (1修多)'!F124)</f>
        <v>53847</v>
      </c>
      <c r="G4" s="1050">
        <f ca="1">IF('数据-取费表'!E3="否",结果表!G121,'结果表 (1修多)'!G124)</f>
        <v>3393</v>
      </c>
      <c r="H4" s="1050">
        <f ca="1">IF('数据-取费表'!E3="否",结果表!H121,'结果表 (1修多)'!H124)</f>
        <v>928363</v>
      </c>
      <c r="I4" s="1050">
        <f ca="1">IF('数据-取费表'!E3="否",结果表!I121,'结果表 (1修多)'!I124)</f>
        <v>58498</v>
      </c>
    </row>
    <row r="5" spans="1:9" ht="15">
      <c r="A5" s="2785" t="s">
        <v>1287</v>
      </c>
      <c r="B5" s="2785"/>
      <c r="C5" s="2785"/>
      <c r="D5" s="2786" t="str">
        <f ca="1">IF('数据-取费表'!E3="否",结果表!D122,'结果表 (1修多)'!D125)</f>
        <v>捌拾柒万肆仟伍佰壹拾陆元整</v>
      </c>
      <c r="E5" s="2786"/>
      <c r="F5" s="2786" t="str">
        <f ca="1">IF('数据-取费表'!E3="否",结果表!F122,'结果表 (1修多)'!F125)</f>
        <v>伍万叁仟捌佰肆拾柒元整</v>
      </c>
      <c r="G5" s="2786"/>
      <c r="H5" s="2786" t="str">
        <f ca="1">IF('数据-取费表'!E3="否",结果表!H122,'结果表 (1修多)'!H125)</f>
        <v>玖拾贰万捌仟叁佰陆拾叁元整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928363</v>
      </c>
      <c r="E8" s="2787"/>
      <c r="F8" s="2787"/>
      <c r="G8" s="2787"/>
      <c r="H8" s="2787"/>
      <c r="I8" s="2787"/>
    </row>
    <row r="9" spans="1:9" ht="15">
      <c r="A9" s="2785" t="s">
        <v>1287</v>
      </c>
      <c r="B9" s="2785"/>
      <c r="C9" s="2785"/>
      <c r="D9" s="2786">
        <f ca="1">IF('数据-取费表'!E3="否",结果表!D126,'结果表 (1修多)'!D129)</f>
        <v>58498</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2017-12-12T09:33:32Z</dcterms:modified>
</cp:coreProperties>
</file>