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Y6" i="1" l="1"/>
  <c r="F19" i="6"/>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61" i="15"/>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s="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G5" i="3" s="1"/>
  <c r="B3" i="3" s="1"/>
  <c r="BA13" i="3"/>
  <c r="E10" i="6"/>
  <c r="BA5" i="3"/>
  <c r="E27" i="6" s="1"/>
  <c r="E11" i="6"/>
  <c r="E60" i="39" s="1"/>
  <c r="BL17" i="3"/>
  <c r="AZ17" i="3"/>
  <c r="BL13" i="3"/>
  <c r="E64" i="39"/>
  <c r="J56" i="9"/>
  <c r="J57" i="9" s="1"/>
  <c r="J59" i="9" s="1"/>
  <c r="J61" i="9" s="1"/>
  <c r="A24" i="51"/>
  <c r="B18" i="72"/>
  <c r="U29" i="34"/>
  <c r="E14" i="6"/>
  <c r="E63" i="39" s="1"/>
  <c r="E5" i="6"/>
  <c r="D9" i="11" s="1"/>
  <c r="C9" i="11" s="1"/>
  <c r="P10" i="1"/>
  <c r="E32" i="6"/>
  <c r="L19" i="6"/>
  <c r="G1" i="68"/>
  <c r="K1" i="12"/>
  <c r="F30" i="6"/>
  <c r="E57" i="40"/>
  <c r="E56" i="40"/>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L27" i="6" s="1"/>
  <c r="E61" i="39"/>
  <c r="E56" i="39"/>
  <c r="E51" i="40"/>
  <c r="B6" i="1"/>
  <c r="E6" i="1" s="1"/>
  <c r="S8" i="1"/>
  <c r="AQ8" i="1" s="1"/>
  <c r="K11" i="1"/>
  <c r="M11" i="1" s="1"/>
  <c r="O11" i="1" s="1"/>
  <c r="AP6" i="1"/>
  <c r="B9" i="1"/>
  <c r="E9" i="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F30" i="11"/>
  <c r="C48" i="11" s="1"/>
  <c r="E62" i="39"/>
  <c r="T11" i="1"/>
  <c r="D9" i="69"/>
  <c r="C9" i="69" s="1"/>
  <c r="D19" i="12"/>
  <c r="C19" i="12" s="1"/>
  <c r="AR11" i="1"/>
  <c r="E59" i="40"/>
  <c r="T13" i="1"/>
  <c r="E69" i="3"/>
  <c r="E114" i="3"/>
  <c r="E278" i="3"/>
  <c r="E415" i="3"/>
  <c r="E563" i="3"/>
  <c r="E395" i="3"/>
  <c r="E172" i="3"/>
  <c r="E260" i="3"/>
  <c r="E445" i="3"/>
  <c r="E550" i="3"/>
  <c r="E535" i="3"/>
  <c r="D9" i="68"/>
  <c r="C9" i="68" s="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Y6" i="3"/>
  <c r="E347" i="3"/>
  <c r="E583" i="3"/>
  <c r="AA6" i="3"/>
  <c r="X6" i="3"/>
  <c r="E399" i="3"/>
  <c r="E336" i="3"/>
  <c r="E280" i="3"/>
  <c r="E246" i="3"/>
  <c r="E124" i="3"/>
  <c r="E293" i="3"/>
  <c r="BL5" i="3"/>
  <c r="E270" i="3"/>
  <c r="E390" i="3"/>
  <c r="E533" i="3"/>
  <c r="S6" i="3"/>
  <c r="AR6" i="3"/>
  <c r="E523" i="3"/>
  <c r="E561" i="3"/>
  <c r="E50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R22" i="31"/>
  <c r="AP7" i="1"/>
  <c r="M7" i="1"/>
  <c r="O7" i="1" s="1"/>
  <c r="P7" i="1" s="1"/>
  <c r="H16" i="1"/>
  <c r="AB45" i="21"/>
  <c r="AC33" i="21"/>
  <c r="W33" i="21"/>
  <c r="S33" i="21"/>
  <c r="AA33" i="21"/>
  <c r="W32" i="21"/>
  <c r="AC32" i="21"/>
  <c r="AB9" i="21"/>
  <c r="U9" i="21"/>
  <c r="AA32" i="21"/>
  <c r="S32" i="21"/>
  <c r="W9" i="21"/>
  <c r="AC9" i="21"/>
  <c r="AB32" i="21"/>
  <c r="U32" i="21"/>
  <c r="AA10" i="21"/>
  <c r="S10" i="21"/>
  <c r="T7" i="1"/>
  <c r="E6" i="70"/>
  <c r="D3" i="34"/>
  <c r="D3" i="21"/>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9" i="1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D10" i="68"/>
  <c r="C10" i="68" s="1"/>
  <c r="D10" i="11"/>
  <c r="C10" i="11"/>
  <c r="D20" i="12"/>
  <c r="C20" i="12" s="1"/>
  <c r="M19" i="9"/>
  <c r="C118" i="9" s="1"/>
  <c r="C14" i="74" s="1"/>
  <c r="B2" i="74" s="1"/>
  <c r="D19" i="6"/>
  <c r="D25" i="6"/>
  <c r="D26" i="6"/>
  <c r="D15" i="6"/>
  <c r="C18" i="4"/>
  <c r="D22" i="6"/>
  <c r="D8" i="6"/>
  <c r="D21" i="6"/>
  <c r="D23" i="6"/>
  <c r="D24" i="6"/>
  <c r="D14" i="6"/>
  <c r="D20" i="6"/>
  <c r="R7" i="1"/>
  <c r="D5" i="6"/>
  <c r="D6" i="6"/>
  <c r="D12" i="6"/>
  <c r="D9" i="6"/>
  <c r="D11" i="6"/>
  <c r="D13" i="6"/>
  <c r="L19" i="9"/>
  <c r="E61" i="40"/>
  <c r="F34" i="11"/>
  <c r="C37" i="11" s="1"/>
  <c r="F34" i="68"/>
  <c r="R8" i="1"/>
  <c r="A7" i="51"/>
  <c r="B7" i="72" s="1"/>
  <c r="C4" i="52"/>
  <c r="B45" i="72" s="1"/>
  <c r="A10" i="51"/>
  <c r="B9" i="72" s="1"/>
  <c r="D27" i="6"/>
  <c r="D10" i="69"/>
  <c r="C10" i="69" s="1"/>
  <c r="AE7" i="1"/>
  <c r="AE8" i="1"/>
  <c r="AG6" i="1"/>
  <c r="H109" i="9"/>
  <c r="D124" i="9" s="1"/>
  <c r="H110" i="9"/>
  <c r="D18" i="53" s="1"/>
  <c r="B35" i="72" s="1"/>
  <c r="D16" i="53"/>
  <c r="B34" i="72" s="1"/>
  <c r="H112" i="9"/>
  <c r="D21" i="53"/>
  <c r="B39" i="72" s="1"/>
  <c r="H111" i="9"/>
  <c r="D126" i="9" s="1"/>
  <c r="D19" i="53"/>
  <c r="B38" i="72" s="1"/>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F7" i="15"/>
  <c r="E2" i="68"/>
  <c r="L47" i="67"/>
  <c r="C76" i="67"/>
  <c r="L48" i="15"/>
  <c r="D2" i="33"/>
  <c r="E2" i="69"/>
  <c r="F38" i="15"/>
  <c r="B7" i="76"/>
  <c r="D2" i="35"/>
  <c r="M26" i="15"/>
  <c r="B9" i="76"/>
  <c r="F26" i="67"/>
  <c r="E11" i="76"/>
  <c r="M21" i="67"/>
  <c r="B11" i="76"/>
  <c r="F40" i="67"/>
  <c r="D5" i="73"/>
  <c r="E7" i="76"/>
  <c r="M22" i="15"/>
  <c r="F7" i="67"/>
  <c r="J15" i="67"/>
  <c r="E12" i="76"/>
  <c r="F3" i="73"/>
  <c r="E8" i="76"/>
  <c r="F16" i="67"/>
  <c r="F26" i="15"/>
  <c r="F36" i="67"/>
  <c r="M6" i="15"/>
  <c r="L48" i="67"/>
  <c r="M24" i="15"/>
  <c r="F7" i="73"/>
  <c r="M24" i="67"/>
  <c r="C14" i="15"/>
  <c r="AO10" i="1"/>
  <c r="L47" i="15"/>
  <c r="C76" i="15"/>
  <c r="F40" i="15"/>
  <c r="D3" i="73"/>
  <c r="F42" i="15"/>
  <c r="J15" i="15"/>
  <c r="B12" i="76"/>
  <c r="M8" i="67"/>
  <c r="B10" i="76"/>
  <c r="B13" i="76"/>
  <c r="D2" i="37"/>
  <c r="F6" i="15"/>
  <c r="D2" i="36"/>
  <c r="M27" i="15"/>
  <c r="AO8" i="1"/>
  <c r="F6" i="67"/>
  <c r="F9" i="67"/>
  <c r="M9" i="67"/>
  <c r="M29" i="67"/>
  <c r="D2" i="21"/>
  <c r="AO11" i="1"/>
  <c r="M23" i="15"/>
  <c r="F9" i="15"/>
  <c r="E13" i="76"/>
  <c r="F13" i="15"/>
  <c r="F42" i="67"/>
  <c r="B8" i="76"/>
  <c r="M28" i="15"/>
  <c r="M29" i="15"/>
  <c r="F37" i="15"/>
  <c r="D2" i="34"/>
  <c r="AO7" i="1"/>
  <c r="F36" i="15"/>
  <c r="D6" i="73"/>
  <c r="F37" i="67"/>
  <c r="F41" i="67"/>
  <c r="M26" i="67"/>
  <c r="M22" i="67"/>
  <c r="F5" i="73"/>
  <c r="F43" i="67"/>
  <c r="E9" i="76"/>
  <c r="E10" i="76"/>
  <c r="AO9" i="1"/>
  <c r="M23" i="67"/>
  <c r="F13" i="67"/>
  <c r="F16" i="15"/>
  <c r="AO13" i="1"/>
  <c r="F8" i="15"/>
  <c r="M6" i="67"/>
  <c r="AO12" i="1"/>
  <c r="M28" i="67"/>
  <c r="F43" i="15"/>
  <c r="F20" i="31"/>
  <c r="F8" i="67"/>
  <c r="F6" i="73"/>
  <c r="M9" i="15"/>
  <c r="D4" i="73"/>
  <c r="D7" i="73"/>
  <c r="F38" i="67"/>
  <c r="F35" i="67"/>
  <c r="M8" i="15"/>
  <c r="M27" i="67"/>
  <c r="F4" i="73"/>
  <c r="C18" i="9" l="1"/>
  <c r="D18" i="9" s="1"/>
  <c r="C21" i="68"/>
  <c r="C40" i="69"/>
  <c r="C92" i="9"/>
  <c r="C94" i="9"/>
  <c r="C30" i="11"/>
  <c r="F30" i="69"/>
  <c r="F48" i="69" s="1"/>
  <c r="D68" i="9"/>
  <c r="M18" i="15"/>
  <c r="F52" i="9"/>
  <c r="F32" i="15"/>
  <c r="F60" i="15" s="1"/>
  <c r="F32" i="67"/>
  <c r="F60" i="67" s="1"/>
  <c r="F28" i="67"/>
  <c r="C28" i="67" s="1"/>
  <c r="C77" i="9"/>
  <c r="C74" i="9" s="1"/>
  <c r="C13" i="12"/>
  <c r="F54" i="9"/>
  <c r="F28" i="15"/>
  <c r="C28" i="15" s="1"/>
  <c r="C48" i="69"/>
  <c r="M18" i="67"/>
  <c r="F31" i="12"/>
  <c r="C31" i="12" s="1"/>
  <c r="F30" i="68"/>
  <c r="F53" i="9"/>
  <c r="C23" i="12"/>
  <c r="C21" i="69"/>
  <c r="C19" i="11"/>
  <c r="D22" i="67"/>
  <c r="C36" i="11"/>
  <c r="E2" i="70"/>
  <c r="F27" i="68"/>
  <c r="F45" i="68" s="1"/>
  <c r="T8" i="1"/>
  <c r="G30" i="6"/>
  <c r="G31" i="6" s="1"/>
  <c r="E28" i="6"/>
  <c r="E16" i="6"/>
  <c r="E30" i="6"/>
  <c r="D29" i="6"/>
  <c r="K15" i="1"/>
  <c r="C36" i="69"/>
  <c r="F31" i="6"/>
  <c r="D10" i="6"/>
  <c r="D16" i="6" s="1"/>
  <c r="F27" i="11"/>
  <c r="F28" i="12"/>
  <c r="C29" i="12" s="1"/>
  <c r="D28" i="12" s="1"/>
  <c r="AR7" i="1"/>
  <c r="C20" i="1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237" i="3"/>
  <c r="E261" i="3"/>
  <c r="E304" i="3"/>
  <c r="E528" i="3"/>
  <c r="E565" i="3"/>
  <c r="E183" i="3"/>
  <c r="E213" i="3"/>
  <c r="E361" i="3"/>
  <c r="E17" i="3"/>
  <c r="E503" i="3"/>
  <c r="E302" i="3"/>
  <c r="E329" i="3"/>
  <c r="E539" i="3"/>
  <c r="E545" i="3"/>
  <c r="E567" i="3"/>
  <c r="E510" i="3"/>
  <c r="E461" i="3"/>
  <c r="E352" i="3"/>
  <c r="E227" i="3"/>
  <c r="E205" i="3"/>
  <c r="E165" i="3"/>
  <c r="E128" i="3"/>
  <c r="E311" i="3"/>
  <c r="E358" i="3"/>
  <c r="E514" i="3"/>
  <c r="E559" i="3"/>
  <c r="E570" i="3"/>
  <c r="E551" i="3"/>
  <c r="M6" i="3"/>
  <c r="V6"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65" i="39"/>
  <c r="K20" i="6"/>
  <c r="M20" i="6" s="1"/>
  <c r="I20" i="6" s="1"/>
  <c r="E31" i="6"/>
  <c r="K21" i="6"/>
  <c r="M21" i="6" s="1"/>
  <c r="I21" i="6" s="1"/>
  <c r="O12" i="1"/>
  <c r="P12" i="1" s="1"/>
  <c r="P11" i="1"/>
  <c r="O9" i="1"/>
  <c r="P9" i="1" s="1"/>
  <c r="O8" i="1"/>
  <c r="T9" i="1"/>
  <c r="AQ9" i="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T35" i="4"/>
  <c r="A19" i="51" s="1"/>
  <c r="B14" i="72" s="1"/>
  <c r="Y5" i="71"/>
  <c r="Z5" i="71" s="1"/>
  <c r="X5" i="71"/>
  <c r="AB5" i="71"/>
  <c r="AA5" i="71"/>
  <c r="D10" i="52"/>
  <c r="D125" i="9"/>
  <c r="D11" i="52" s="1"/>
  <c r="H14" i="74"/>
  <c r="B7" i="74" s="1"/>
  <c r="I14" i="74"/>
  <c r="B8" i="74" s="1"/>
  <c r="D127" i="9"/>
  <c r="D13" i="52" s="1"/>
  <c r="D12" i="52"/>
  <c r="D17" i="53"/>
  <c r="B36" i="72" s="1"/>
  <c r="C69" i="39"/>
  <c r="D67" i="39"/>
  <c r="D69" i="39" s="1"/>
  <c r="E41" i="43"/>
  <c r="C41" i="43" s="1"/>
  <c r="E67" i="39"/>
  <c r="AC21" i="39"/>
  <c r="AB23" i="39"/>
  <c r="AB15" i="39"/>
  <c r="AC15" i="39"/>
  <c r="S25" i="39"/>
  <c r="W39" i="39"/>
  <c r="W42" i="39"/>
  <c r="W14" i="39"/>
  <c r="S29" i="39"/>
  <c r="G17" i="43"/>
  <c r="C16" i="43" s="1"/>
  <c r="C5" i="43" s="1"/>
  <c r="E11" i="43"/>
  <c r="E9" i="43"/>
  <c r="E10" i="43"/>
  <c r="E8" i="43"/>
  <c r="C7" i="43" s="1"/>
  <c r="D7" i="74"/>
  <c r="D8" i="74"/>
  <c r="C7" i="74"/>
  <c r="C8" i="74"/>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C29" i="68"/>
  <c r="D27" i="68" s="1"/>
  <c r="D9" i="53"/>
  <c r="B25" i="72" s="1"/>
  <c r="B24" i="72"/>
  <c r="K120" i="9"/>
  <c r="A18" i="62" s="1"/>
  <c r="B64" i="72" s="1"/>
  <c r="D12" i="71"/>
  <c r="C11" i="71"/>
  <c r="Y13" i="71"/>
  <c r="Z13" i="71" s="1"/>
  <c r="Y12" i="71"/>
  <c r="AA13" i="71"/>
  <c r="AB3" i="71"/>
  <c r="D19" i="68"/>
  <c r="C19" i="68" s="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C14" i="12"/>
  <c r="AF3" i="71"/>
  <c r="P22" i="43" s="1"/>
  <c r="C18" i="12"/>
  <c r="C8" i="69"/>
  <c r="C5" i="69" s="1"/>
  <c r="C36" i="68"/>
  <c r="D19" i="69"/>
  <c r="C19" i="69" s="1"/>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6" i="15"/>
  <c r="C16" i="67"/>
  <c r="C17" i="15"/>
  <c r="C17" i="67"/>
  <c r="G1" i="73"/>
  <c r="C30" i="69" l="1"/>
  <c r="F48" i="68"/>
  <c r="C30" i="68"/>
  <c r="C48" i="68"/>
  <c r="C47" i="68"/>
  <c r="D45" i="68" s="1"/>
  <c r="K14" i="1"/>
  <c r="K22" i="6"/>
  <c r="M22" i="6" s="1"/>
  <c r="I22" i="6" s="1"/>
  <c r="K23" i="6"/>
  <c r="M23" i="6" s="1"/>
  <c r="I23" i="6" s="1"/>
  <c r="K24" i="6"/>
  <c r="M24" i="6" s="1"/>
  <c r="I24" i="6" s="1"/>
  <c r="K26" i="6"/>
  <c r="M26" i="6" s="1"/>
  <c r="I26" i="6" s="1"/>
  <c r="K19" i="6"/>
  <c r="S6" i="1" s="1"/>
  <c r="K25" i="6"/>
  <c r="M25" i="6" s="1"/>
  <c r="I25" i="6" s="1"/>
  <c r="D28" i="6"/>
  <c r="C28" i="11"/>
  <c r="C27" i="11" s="1"/>
  <c r="D30" i="6"/>
  <c r="D31" i="6" s="1"/>
  <c r="I6" i="6" s="1"/>
  <c r="I5" i="6"/>
  <c r="C47" i="11"/>
  <c r="D45" i="11" s="1"/>
  <c r="C29" i="11"/>
  <c r="D27" i="11" s="1"/>
  <c r="D22" i="43"/>
  <c r="H6" i="3"/>
  <c r="P8" i="1"/>
  <c r="H21" i="6"/>
  <c r="R21" i="6" s="1"/>
  <c r="S21" i="6"/>
  <c r="S20" i="6"/>
  <c r="H20" i="6"/>
  <c r="R20" i="6" s="1"/>
  <c r="AC6" i="3"/>
  <c r="N102" i="43"/>
  <c r="N105" i="43"/>
  <c r="N104" i="43"/>
  <c r="N109" i="43"/>
  <c r="N103" i="43"/>
  <c r="N106" i="43"/>
  <c r="N107" i="43"/>
  <c r="K103" i="43"/>
  <c r="K102" i="43"/>
  <c r="K105" i="43"/>
  <c r="K107" i="43"/>
  <c r="K104" i="43"/>
  <c r="K106" i="43"/>
  <c r="K109" i="43"/>
  <c r="H102" i="43"/>
  <c r="H103" i="43"/>
  <c r="H104" i="43"/>
  <c r="H109" i="43"/>
  <c r="H106" i="43"/>
  <c r="H107" i="43"/>
  <c r="H105" i="43"/>
  <c r="I109" i="43"/>
  <c r="I104" i="43"/>
  <c r="I107" i="43"/>
  <c r="I105" i="43"/>
  <c r="I102" i="43"/>
  <c r="I103" i="43"/>
  <c r="I106"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4" i="43"/>
  <c r="J105" i="43"/>
  <c r="J103" i="43"/>
  <c r="J106" i="43"/>
  <c r="J109" i="43"/>
  <c r="G107" i="43"/>
  <c r="G104" i="43"/>
  <c r="G106" i="43"/>
  <c r="G105" i="43"/>
  <c r="G102" i="43"/>
  <c r="G103" i="43"/>
  <c r="G109" i="43"/>
  <c r="E102" i="43"/>
  <c r="E106" i="43"/>
  <c r="E103" i="43"/>
  <c r="E107" i="43"/>
  <c r="E104" i="43"/>
  <c r="E105" i="43"/>
  <c r="E109" i="43"/>
  <c r="M109" i="43"/>
  <c r="M102" i="43"/>
  <c r="M106" i="43"/>
  <c r="M103" i="43"/>
  <c r="M104" i="43"/>
  <c r="M105" i="43"/>
  <c r="M107"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AC10" i="40" s="1"/>
  <c r="H10" i="39"/>
  <c r="AB10" i="39" s="1"/>
  <c r="F10" i="40"/>
  <c r="S10" i="40" s="1"/>
  <c r="J10" i="39"/>
  <c r="AC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D37" i="69"/>
  <c r="C37" i="69" s="1"/>
  <c r="H7" i="37"/>
  <c r="AB7" i="37" s="1"/>
  <c r="T42" i="37" s="1"/>
  <c r="G42" i="37" s="1"/>
  <c r="B40" i="1"/>
  <c r="W10" i="39"/>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A10" i="40"/>
  <c r="F7" i="33"/>
  <c r="E58" i="21"/>
  <c r="AC7" i="36"/>
  <c r="V36" i="36" s="1"/>
  <c r="I36" i="36" s="1"/>
  <c r="W7" i="36"/>
  <c r="F7" i="37"/>
  <c r="W7" i="34"/>
  <c r="AC7" i="34"/>
  <c r="V49" i="34" s="1"/>
  <c r="I49" i="34" s="1"/>
  <c r="D11" i="71"/>
  <c r="C10" i="71"/>
  <c r="M17" i="67"/>
  <c r="M17" i="15"/>
  <c r="F59" i="15"/>
  <c r="P24" i="43"/>
  <c r="B66" i="40" s="1"/>
  <c r="P21" i="43"/>
  <c r="D37" i="68"/>
  <c r="C37" i="68" s="1"/>
  <c r="C20" i="69"/>
  <c r="C28" i="69" s="1"/>
  <c r="C27" i="69" s="1"/>
  <c r="C49" i="67"/>
  <c r="P25" i="43"/>
  <c r="P23" i="43"/>
  <c r="B70" i="39" s="1"/>
  <c r="C49" i="15"/>
  <c r="C15" i="67"/>
  <c r="C18" i="67"/>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Q6" i="1" l="1"/>
  <c r="T6" i="1"/>
  <c r="S16" i="1"/>
  <c r="AR6" i="1"/>
  <c r="W10" i="40"/>
  <c r="S25" i="6"/>
  <c r="H25" i="6"/>
  <c r="R25" i="6" s="1"/>
  <c r="S26" i="6"/>
  <c r="H26" i="6"/>
  <c r="R26" i="6" s="1"/>
  <c r="H23" i="6"/>
  <c r="R23" i="6" s="1"/>
  <c r="S23" i="6"/>
  <c r="M14" i="1"/>
  <c r="C34" i="69"/>
  <c r="M19" i="6"/>
  <c r="K27" i="6"/>
  <c r="S24" i="6"/>
  <c r="H24" i="6"/>
  <c r="R24" i="6" s="1"/>
  <c r="H22" i="6"/>
  <c r="R22" i="6" s="1"/>
  <c r="S22" i="6"/>
  <c r="K16" i="1"/>
  <c r="U10" i="40"/>
  <c r="E6" i="3"/>
  <c r="C23" i="43"/>
  <c r="C21" i="43" s="1"/>
  <c r="C29" i="43" s="1"/>
  <c r="C30" i="43" s="1"/>
  <c r="E30" i="43" s="1"/>
  <c r="S7" i="43"/>
  <c r="T7" i="43" s="1"/>
  <c r="V7" i="43" s="1"/>
  <c r="S5" i="43"/>
  <c r="T5" i="43" s="1"/>
  <c r="V5" i="43" s="1"/>
  <c r="S3" i="43"/>
  <c r="T3" i="43" s="1"/>
  <c r="V3" i="43" s="1"/>
  <c r="S4" i="43"/>
  <c r="T4" i="43" s="1"/>
  <c r="V4" i="43" s="1"/>
  <c r="S2" i="43"/>
  <c r="T2" i="43" s="1"/>
  <c r="V2" i="43" s="1"/>
  <c r="S6" i="43"/>
  <c r="T6" i="43" s="1"/>
  <c r="V6" i="43" s="1"/>
  <c r="C115" i="43"/>
  <c r="D113" i="43"/>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0" i="15"/>
  <c r="C26" i="15" s="1"/>
  <c r="F41" i="15"/>
  <c r="F69" i="15" l="1"/>
  <c r="J29" i="15"/>
  <c r="E29" i="43"/>
  <c r="I19" i="6"/>
  <c r="M27" i="6"/>
  <c r="M16" i="1"/>
  <c r="O14" i="1"/>
  <c r="T16" i="1"/>
  <c r="N16" i="1"/>
  <c r="C35" i="69"/>
  <c r="C38" i="69"/>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23" i="69"/>
  <c r="C24" i="69"/>
  <c r="C25" i="69"/>
  <c r="C44" i="68"/>
  <c r="D41" i="68" s="1"/>
  <c r="C26" i="68"/>
  <c r="D22" i="68" s="1"/>
  <c r="C24" i="68"/>
  <c r="C26" i="12"/>
  <c r="D25" i="12" s="1"/>
  <c r="C44" i="11"/>
  <c r="D41" i="11" s="1"/>
  <c r="C23" i="11"/>
  <c r="C24" i="11"/>
  <c r="C25" i="11"/>
  <c r="C26" i="11"/>
  <c r="D22" i="11" s="1"/>
  <c r="C38" i="67"/>
  <c r="C38" i="15"/>
  <c r="C66" i="67"/>
  <c r="C60" i="67"/>
  <c r="C23" i="67"/>
  <c r="C29" i="67" s="1"/>
  <c r="E6" i="76"/>
  <c r="B6" i="76"/>
  <c r="C33" i="69" l="1"/>
  <c r="C42" i="69" s="1"/>
  <c r="F50" i="69"/>
  <c r="F50" i="68"/>
  <c r="F50" i="11"/>
  <c r="P14" i="1"/>
  <c r="P16" i="1" s="1"/>
  <c r="C11" i="12" s="1"/>
  <c r="O16" i="1"/>
  <c r="C39" i="69"/>
  <c r="C43" i="69" s="1"/>
  <c r="C34" i="11"/>
  <c r="C34" i="68"/>
  <c r="L16" i="1"/>
  <c r="I27" i="6"/>
  <c r="S19" i="6"/>
  <c r="S27" i="6" s="1"/>
  <c r="H19"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69"/>
  <c r="C31" i="69" s="1"/>
  <c r="C22" i="11"/>
  <c r="C31" i="11" s="1"/>
  <c r="C36" i="67"/>
  <c r="C33" i="67"/>
  <c r="C31" i="67" s="1"/>
  <c r="J14" i="67"/>
  <c r="C13" i="67"/>
  <c r="J19" i="67"/>
  <c r="J17" i="67" s="1"/>
  <c r="C57" i="67"/>
  <c r="C61" i="67" s="1"/>
  <c r="Q49" i="67"/>
  <c r="J59" i="67"/>
  <c r="J60" i="67" s="1"/>
  <c r="C41" i="69" l="1"/>
  <c r="C38" i="11"/>
  <c r="C35" i="11"/>
  <c r="C15" i="12"/>
  <c r="C12" i="12"/>
  <c r="H27" i="6"/>
  <c r="R19" i="6"/>
  <c r="C35" i="68"/>
  <c r="C38" i="68"/>
  <c r="C46" i="69"/>
  <c r="C45" i="69" s="1"/>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49" i="69" l="1"/>
  <c r="C51" i="69" s="1"/>
  <c r="C52" i="69" s="1"/>
  <c r="B2" i="69" s="1"/>
  <c r="B3" i="69" s="1"/>
  <c r="C33" i="11"/>
  <c r="C42" i="11" s="1"/>
  <c r="C33" i="68"/>
  <c r="C42" i="68" s="1"/>
  <c r="C16" i="12"/>
  <c r="C21" i="12" s="1"/>
  <c r="C22" i="12" s="1"/>
  <c r="R27" i="6"/>
  <c r="R6" i="1"/>
  <c r="C39" i="1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C39" i="68" l="1"/>
  <c r="C43" i="68" s="1"/>
  <c r="C41" i="68" s="1"/>
  <c r="C57" i="69"/>
  <c r="C56" i="69" s="1"/>
  <c r="J20" i="15"/>
  <c r="J17" i="15" s="1"/>
  <c r="J16" i="15" s="1"/>
  <c r="J25" i="15" s="1"/>
  <c r="F63" i="15"/>
  <c r="C62" i="15" s="1"/>
  <c r="C59" i="15" s="1"/>
  <c r="C58" i="15" s="1"/>
  <c r="C67" i="15" s="1"/>
  <c r="C68" i="15" s="1"/>
  <c r="C71" i="15" s="1"/>
  <c r="C34" i="15"/>
  <c r="C31" i="15" s="1"/>
  <c r="C30" i="15" s="1"/>
  <c r="C39" i="15" s="1"/>
  <c r="R16" i="1"/>
  <c r="C27" i="12"/>
  <c r="C25" i="12" s="1"/>
  <c r="C30" i="12"/>
  <c r="C28" i="12" s="1"/>
  <c r="C46" i="11"/>
  <c r="C45" i="11" s="1"/>
  <c r="C43" i="11"/>
  <c r="C41" i="11"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Q67" i="15" l="1"/>
  <c r="L57" i="15"/>
  <c r="L60" i="15" s="1"/>
  <c r="L46" i="15" s="1"/>
  <c r="C80" i="15"/>
  <c r="C79" i="15" s="1"/>
  <c r="Q69" i="15"/>
  <c r="Q68" i="15" s="1"/>
  <c r="C40" i="15"/>
  <c r="C49" i="68"/>
  <c r="C51" i="68" s="1"/>
  <c r="C49" i="11"/>
  <c r="C51" i="11" s="1"/>
  <c r="C52" i="11" s="1"/>
  <c r="B2" i="11" s="1"/>
  <c r="B3" i="11" s="1"/>
  <c r="C32" i="12"/>
  <c r="B2" i="12" s="1"/>
  <c r="B3" i="12"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57" i="15" l="1"/>
  <c r="Q66" i="15"/>
  <c r="B2" i="15"/>
  <c r="Q65" i="15"/>
  <c r="Q75" i="15" s="1"/>
  <c r="Q47" i="15"/>
  <c r="Q53" i="15" s="1"/>
  <c r="C46" i="15"/>
  <c r="Q56" i="15"/>
  <c r="Q62" i="15" s="1"/>
  <c r="C43" i="15"/>
  <c r="C83" i="15"/>
  <c r="C82" i="15" s="1"/>
  <c r="C56" i="11"/>
  <c r="C57" i="11" s="1"/>
  <c r="M69" i="39"/>
  <c r="N67" i="39"/>
  <c r="R39" i="35"/>
  <c r="E38" i="35"/>
  <c r="M63" i="40"/>
  <c r="L65" i="40"/>
  <c r="D19" i="9"/>
  <c r="AO6" i="1"/>
  <c r="D102" i="9" l="1"/>
  <c r="D21" i="9"/>
  <c r="B6" i="70"/>
  <c r="B2" i="70" s="1"/>
  <c r="B3" i="70" s="1"/>
  <c r="B3" i="15"/>
  <c r="O67" i="39"/>
  <c r="O69" i="39" s="1"/>
  <c r="N69" i="39"/>
  <c r="F7" i="39" s="1"/>
  <c r="C39" i="35"/>
  <c r="B2" i="35" s="1"/>
  <c r="B3" i="35" s="1"/>
  <c r="C38" i="35"/>
  <c r="N63" i="40"/>
  <c r="M65" i="40"/>
  <c r="E43" i="35"/>
  <c r="F43" i="35" s="1"/>
  <c r="E42" i="35"/>
  <c r="F42" i="35" s="1"/>
  <c r="I43" i="35"/>
  <c r="J43" i="35" s="1"/>
  <c r="D20" i="9"/>
  <c r="D103" i="9" l="1"/>
  <c r="H7" i="39"/>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0" i="68" l="1"/>
  <c r="C25" i="68" s="1"/>
  <c r="C23" i="68"/>
  <c r="C22" i="68" l="1"/>
  <c r="C28" i="68"/>
  <c r="C27" i="68" s="1"/>
  <c r="C31" i="68" l="1"/>
  <c r="C52" i="68" s="1"/>
  <c r="B2" i="68" s="1"/>
  <c r="C19" i="9"/>
  <c r="C57" i="68" l="1"/>
  <c r="C56" i="68" s="1"/>
  <c r="C21" i="9"/>
  <c r="C102" i="9"/>
  <c r="G19" i="9"/>
  <c r="G21" i="9" s="1"/>
  <c r="D22" i="9"/>
  <c r="B3" i="68"/>
  <c r="D34" i="9"/>
  <c r="C20" i="9"/>
  <c r="D35" i="9"/>
  <c r="C103" i="9" l="1"/>
  <c r="G20" i="9"/>
  <c r="C32" i="9" s="1"/>
  <c r="C35" i="9" l="1"/>
  <c r="H118" i="9"/>
  <c r="C34" i="9" l="1"/>
  <c r="D118" i="9" s="1"/>
  <c r="F118" i="9"/>
  <c r="D14" i="74"/>
  <c r="I118" i="9"/>
  <c r="H119" i="9"/>
  <c r="H5" i="52" s="1"/>
  <c r="C104" i="9"/>
  <c r="H4" i="52"/>
  <c r="H101" i="9"/>
  <c r="E14" i="74" l="1"/>
  <c r="B5" i="74"/>
  <c r="F14" i="74"/>
  <c r="D4" i="52"/>
  <c r="B47" i="72" s="1"/>
  <c r="D119" i="9"/>
  <c r="D5" i="52" s="1"/>
  <c r="B49" i="72" s="1"/>
  <c r="M48" i="9"/>
  <c r="H107" i="9"/>
  <c r="D5" i="53"/>
  <c r="D45" i="9"/>
  <c r="C105" i="9"/>
  <c r="I4" i="52"/>
  <c r="H102" i="9"/>
  <c r="D7" i="53" s="1"/>
  <c r="B21" i="72" s="1"/>
  <c r="F119" i="9"/>
  <c r="F5" i="52" s="1"/>
  <c r="B53" i="72" s="1"/>
  <c r="F4" i="52"/>
  <c r="B51" i="72" s="1"/>
  <c r="G118" i="9"/>
  <c r="G4" i="52" s="1"/>
  <c r="B52" i="72" s="1"/>
  <c r="D53" i="9" l="1"/>
  <c r="C78" i="9"/>
  <c r="C73" i="9" s="1"/>
  <c r="C72" i="9"/>
  <c r="C79" i="9" s="1"/>
  <c r="D55" i="9"/>
  <c r="M53" i="9" s="1"/>
  <c r="D52" i="9"/>
  <c r="C93" i="9"/>
  <c r="C86" i="9" s="1"/>
  <c r="C85" i="9"/>
  <c r="C64" i="9"/>
  <c r="C63" i="9" s="1"/>
  <c r="C67" i="9" s="1"/>
  <c r="D13" i="53"/>
  <c r="H108" i="9"/>
  <c r="D15" i="53" s="1"/>
  <c r="B31" i="72" s="1"/>
  <c r="D122" i="9"/>
  <c r="M49" i="9"/>
  <c r="E118" i="9"/>
  <c r="E4" i="52" s="1"/>
  <c r="B48" i="72" s="1"/>
  <c r="B20" i="72"/>
  <c r="D6" i="53"/>
  <c r="B22" i="72" s="1"/>
  <c r="C5" i="74"/>
  <c r="D5" i="74"/>
  <c r="C95" i="9" l="1"/>
  <c r="L65" i="9"/>
  <c r="M65" i="9" s="1"/>
  <c r="L67" i="9"/>
  <c r="M67" i="9" s="1"/>
  <c r="L63" i="9"/>
  <c r="M63" i="9" s="1"/>
  <c r="L64" i="9"/>
  <c r="M64" i="9" s="1"/>
  <c r="L66" i="9"/>
  <c r="M66" i="9" s="1"/>
  <c r="L68" i="9"/>
  <c r="M68" i="9" s="1"/>
  <c r="D59" i="9"/>
  <c r="M55" i="9" s="1"/>
  <c r="C68" i="9"/>
  <c r="D54" i="9" s="1"/>
  <c r="G14" i="74"/>
  <c r="B6" i="74" s="1"/>
  <c r="D8" i="52"/>
  <c r="D123" i="9"/>
  <c r="D9" i="52" s="1"/>
  <c r="B30" i="72"/>
  <c r="D14" i="53"/>
  <c r="B32" i="72" s="1"/>
  <c r="C96" i="9"/>
  <c r="E96" i="9" s="1"/>
  <c r="E97" i="9" s="1"/>
  <c r="C80" i="9"/>
  <c r="E80" i="9" s="1"/>
  <c r="E81" i="9" s="1"/>
  <c r="C97" i="9" l="1"/>
  <c r="D58" i="9" s="1"/>
  <c r="D56" i="9" s="1"/>
  <c r="M54" i="9" s="1"/>
  <c r="N57" i="9" s="1"/>
  <c r="N58" i="9" s="1"/>
  <c r="C81" i="9"/>
  <c r="D6" i="74"/>
  <c r="C6" i="74"/>
  <c r="M69" i="9"/>
  <c r="N69" i="9" s="1"/>
  <c r="N59" i="9" l="1"/>
  <c r="N60" i="9" s="1"/>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<sst xmlns="http://schemas.openxmlformats.org/spreadsheetml/2006/main" count="7425" uniqueCount="3205">
  <si>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</si>
  <si>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</si>
  <si>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</si>
  <si>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</si>
  <si>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</si>
  <si>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</si>
  <si>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</si>
  <si>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</si>
  <si>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</si>
  <si>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</si>
  <si>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</si>
  <si>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</si>
  <si>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</si>
  <si>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</si>
  <si>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</si>
  <si>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</si>
  <si>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</si>
  <si>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</si>
  <si>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</si>
  <si>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</si>
  <si>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</si>
  <si>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</si>
  <si>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</si>
  <si>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</si>
  <si>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</si>
  <si>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</si>
  <si>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</si>
  <si>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</si>
  <si>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</si>
  <si>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</si>
  <si>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</si>
  <si>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</si>
  <si>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</si>
  <si>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</si>
  <si>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</si>
  <si>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</si>
  <si>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</si>
  <si>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</si>
  <si>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</si>
  <si>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</si>
  <si>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</si>
  <si>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</si>
  <si>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</si>
  <si>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</si>
  <si>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</si>
  <si>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</si>
  <si>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</si>
  <si>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</si>
  <si>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</si>
  <si>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</si>
  <si>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</si>
  <si>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</si>
  <si>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</si>
  <si>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</si>
  <si>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</si>
  <si>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</si>
  <si>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</si>
  <si>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</si>
  <si>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</si>
  <si>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</si>
  <si>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</si>
  <si>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</si>
  <si>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</si>
  <si>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</si>
  <si>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</si>
  <si>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</si>
  <si>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</si>
  <si>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</si>
  <si>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</si>
  <si>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</si>
  <si>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</si>
  <si>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</si>
  <si>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</si>
  <si>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</si>
  <si>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</si>
  <si>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</si>
  <si>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</si>
  <si>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</si>
  <si>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</si>
  <si>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</si>
  <si>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</si>
  <si>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</si>
  <si>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</si>
  <si>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</si>
  <si>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</si>
  <si>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</si>
  <si>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</si>
  <si>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</si>
  <si>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</si>
  <si>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</si>
  <si>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</si>
  <si>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</si>
  <si>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</si>
  <si>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</si>
  <si>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</si>
  <si>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</si>
  <si>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</si>
  <si>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</si>
  <si>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</si>
  <si>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</si>
  <si>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</si>
  <si>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</si>
  <si>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</si>
  <si>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</si>
  <si>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</si>
  <si>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</si>
  <si>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</si>
  <si>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</si>
  <si>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</si>
  <si>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</si>
  <si>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</si>
  <si>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</si>
  <si>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</si>
  <si>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</si>
  <si>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</si>
  <si>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</si>
  <si>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</si>
  <si>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</si>
  <si>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</si>
  <si>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</si>
  <si>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</si>
  <si>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</si>
  <si>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</si>
  <si>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</si>
  <si>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</si>
  <si>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</si>
  <si>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</si>
  <si>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</si>
  <si>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</si>
  <si>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</si>
  <si>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</si>
  <si>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</si>
  <si>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</si>
  <si>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</si>
  <si>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</si>
  <si>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</si>
  <si>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</si>
  <si>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</si>
  <si>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</si>
  <si>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</si>
  <si>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</si>
  <si>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</si>
  <si>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</si>
  <si>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</si>
  <si>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</si>
  <si>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</si>
  <si>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</si>
  <si>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</si>
  <si>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</si>
  <si>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</si>
  <si>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</si>
  <si>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</si>
  <si>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</si>
  <si>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</si>
  <si>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</si>
  <si>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</si>
  <si>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</si>
  <si>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</si>
  <si>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</si>
  <si>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</si>
  <si>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</si>
  <si>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</si>
  <si>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</si>
  <si>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</si>
  <si>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</si>
  <si>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</si>
  <si>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</si>
  <si>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</si>
  <si>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</si>
  <si>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</si>
  <si>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</si>
  <si>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</si>
  <si>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</si>
  <si>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</si>
  <si>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</si>
  <si>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</si>
  <si>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</si>
  <si>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</si>
  <si>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</si>
  <si>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</si>
  <si>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</si>
  <si>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</si>
  <si>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</si>
  <si>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</si>
  <si>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</si>
  <si>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</si>
  <si>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</si>
  <si>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</si>
  <si>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</si>
  <si>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</si>
  <si>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</si>
  <si>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</si>
  <si>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</si>
  <si>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</si>
  <si>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</si>
  <si>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</si>
  <si>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</si>
  <si>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</si>
  <si>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</si>
  <si>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</si>
  <si>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</si>
  <si>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</si>
  <si>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</si>
  <si>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</si>
  <si>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</si>
  <si>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</si>
  <si>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</si>
  <si>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</si>
  <si>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</si>
  <si>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</si>
  <si>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</si>
  <si>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</si>
  <si>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</si>
  <si>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</si>
  <si>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</si>
  <si>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</si>
  <si>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</si>
  <si>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</si>
  <si>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</si>
  <si>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</si>
  <si>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</si>
  <si>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</si>
  <si>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</si>
  <si>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</si>
  <si>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</si>
  <si>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</si>
  <si>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</si>
  <si>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</si>
  <si>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</si>
  <si>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</si>
  <si>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</si>
  <si>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</si>
  <si>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</si>
  <si>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</si>
  <si>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</si>
  <si>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</si>
  <si>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</si>
  <si>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</si>
  <si>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</si>
  <si>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</si>
  <si>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</si>
  <si>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</si>
  <si>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</si>
  <si>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</si>
  <si>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</si>
  <si>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</si>
  <si>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</si>
  <si>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</si>
  <si>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</si>
  <si>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</si>
  <si>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</si>
  <si>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</si>
  <si>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</si>
  <si>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</si>
  <si>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</si>
  <si>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</si>
  <si>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</si>
  <si>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</si>
  <si>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</si>
  <si>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</si>
  <si>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</si>
  <si>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</si>
  <si>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</si>
  <si>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</si>
  <si>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</si>
  <si>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</si>
  <si>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</si>
  <si>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</si>
  <si>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</si>
  <si>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</si>
  <si>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</si>
  <si>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</si>
  <si>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</si>
  <si>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</si>
  <si>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</si>
  <si>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</si>
  <si>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</si>
  <si>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</si>
  <si>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</si>
  <si>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</si>
  <si>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</si>
  <si>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</si>
  <si>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</si>
  <si>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</si>
  <si>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</si>
  <si>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</si>
  <si>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</si>
  <si>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</si>
  <si>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</si>
  <si>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</si>
  <si>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</si>
  <si>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</si>
  <si>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</si>
  <si>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</si>
  <si>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</si>
  <si>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</si>
  <si>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</si>
  <si>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</si>
  <si>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</si>
  <si>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</si>
  <si>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</si>
  <si>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</si>
  <si>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</si>
  <si>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</si>
  <si>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</si>
  <si>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</si>
  <si>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</si>
  <si>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</si>
  <si>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</si>
  <si>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</si>
  <si>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</si>
  <si>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</si>
  <si>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</si>
  <si>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</si>
  <si>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</si>
  <si>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</si>
  <si>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</si>
  <si>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</si>
  <si>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</si>
  <si>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</si>
  <si>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</si>
  <si>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</si>
  <si>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</si>
  <si>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</si>
  <si>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</si>
  <si>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</si>
  <si>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</si>
  <si>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</si>
  <si>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</si>
  <si>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</si>
  <si>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</si>
  <si>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</si>
  <si>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</si>
  <si>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</si>
  <si>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</si>
  <si>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</si>
  <si>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</si>
  <si>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</si>
  <si>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</si>
  <si>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</si>
  <si>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</si>
  <si>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</si>
  <si>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</si>
  <si>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</si>
  <si>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</si>
  <si>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</si>
  <si>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</si>
  <si>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</si>
  <si>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</si>
  <si>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</si>
  <si>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</si>
  <si>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</si>
  <si>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</si>
  <si>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</si>
  <si>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</si>
  <si>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</si>
  <si>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</si>
  <si>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</si>
  <si>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</si>
  <si>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</si>
  <si>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</si>
  <si>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</si>
  <si>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</si>
  <si>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</si>
  <si>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</si>
  <si>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</si>
  <si>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</si>
  <si>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</si>
  <si>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</si>
  <si>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</si>
  <si>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</si>
  <si>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</si>
  <si>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</si>
  <si>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</si>
  <si>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</si>
  <si>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</si>
  <si>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</si>
  <si>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</si>
  <si>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</si>
  <si>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</si>
  <si>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</si>
  <si>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</si>
  <si>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</si>
  <si>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</si>
  <si>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</si>
  <si>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</si>
  <si>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</si>
  <si>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</si>
  <si>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</si>
  <si>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</si>
  <si>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</si>
  <si>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</si>
  <si>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</si>
  <si>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</si>
  <si>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</si>
  <si>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</si>
  <si>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</si>
  <si>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</si>
  <si>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</si>
  <si>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</si>
  <si>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</si>
  <si>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</si>
  <si>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</si>
  <si>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</si>
  <si>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</si>
  <si>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</si>
  <si>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</si>
  <si>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</si>
  <si>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</si>
  <si>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</si>
  <si>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</si>
  <si>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</si>
  <si>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</si>
  <si>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</si>
  <si>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</si>
  <si>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</si>
  <si>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</si>
  <si>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</si>
  <si>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</si>
  <si>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</si>
  <si>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</si>
  <si>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</si>
  <si>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</si>
  <si>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</si>
  <si>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</si>
  <si>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</si>
  <si>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</si>
  <si>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</si>
  <si>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</si>
  <si>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</si>
  <si>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</si>
  <si>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</si>
  <si>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</si>
  <si>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</si>
  <si>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</si>
  <si>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</si>
  <si>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</si>
  <si>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</si>
  <si>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</si>
  <si>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</si>
  <si>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</si>
  <si>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</si>
  <si>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</si>
  <si>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</si>
  <si>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</si>
  <si>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</si>
  <si>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</si>
  <si>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</si>
  <si>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</si>
  <si>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</si>
  <si>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</si>
  <si>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</si>
  <si>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</si>
  <si>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</si>
  <si>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</si>
  <si>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</si>
  <si>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</si>
  <si>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</si>
  <si>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</si>
  <si>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</si>
  <si>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</si>
  <si>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</si>
  <si>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</si>
  <si>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</si>
  <si>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</si>
  <si>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</si>
  <si>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</si>
  <si>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</si>
  <si>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</si>
  <si>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</si>
  <si>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</si>
  <si>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</si>
  <si>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</si>
  <si>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</si>
  <si>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</si>
  <si>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</si>
  <si>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</si>
  <si>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</si>
  <si>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</si>
  <si>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</si>
  <si>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</si>
  <si>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</si>
  <si>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</si>
  <si>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</si>
  <si>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</si>
  <si>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</si>
  <si>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</si>
  <si>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</si>
  <si>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</si>
  <si>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</si>
  <si>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</si>
  <si>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</si>
  <si>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</si>
  <si>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</si>
  <si>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</si>
  <si>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</si>
  <si>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</si>
  <si>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</si>
  <si>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</si>
  <si>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</si>
  <si>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</si>
  <si>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</si>
  <si>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</si>
  <si>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</si>
  <si>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</si>
  <si>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</si>
  <si>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</si>
  <si>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</si>
  <si>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</si>
  <si>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</si>
  <si>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</si>
  <si>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</si>
  <si>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</si>
  <si>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</si>
  <si>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</si>
  <si>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</si>
  <si>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</si>
  <si>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</si>
  <si>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</si>
  <si>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</si>
  <si>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</si>
  <si>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</si>
  <si>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</si>
  <si>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</si>
  <si>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</si>
  <si>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</si>
  <si>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</si>
  <si>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</si>
  <si>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</si>
  <si>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</si>
  <si>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</si>
  <si>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</si>
  <si>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</si>
  <si>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</si>
  <si>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</si>
  <si>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</si>
  <si>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</si>
  <si>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</si>
  <si>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</si>
  <si>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</si>
  <si>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</si>
  <si>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</si>
  <si>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</si>
  <si>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</si>
  <si>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</si>
  <si>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</si>
  <si>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</si>
  <si>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</si>
  <si>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</si>
  <si>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</si>
  <si>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</si>
  <si>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</si>
  <si>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</si>
  <si>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</si>
  <si>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</si>
  <si>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</si>
  <si>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</si>
  <si>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</si>
  <si>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</si>
  <si>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</si>
  <si>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</si>
  <si>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</si>
  <si>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</si>
  <si>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</si>
  <si>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</si>
  <si>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</si>
  <si>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</si>
  <si>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</si>
  <si>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</si>
  <si>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</si>
  <si>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</si>
  <si>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</si>
  <si>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</si>
  <si>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</si>
  <si>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</si>
  <si>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</si>
  <si>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</si>
  <si>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</si>
  <si>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</si>
  <si>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</si>
  <si>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</si>
  <si>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</si>
  <si>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</si>
  <si>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</si>
  <si>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</si>
  <si>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</si>
  <si>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</si>
  <si>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</si>
  <si>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</si>
  <si>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</si>
  <si>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</si>
  <si>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</si>
  <si>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</si>
  <si>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</si>
  <si>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</si>
  <si>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</si>
  <si>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</si>
  <si>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</si>
  <si>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</si>
  <si>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</si>
  <si>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</si>
  <si>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</si>
  <si>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</si>
  <si>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</si>
  <si>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</si>
  <si>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</si>
  <si>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</si>
  <si>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</si>
  <si>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</si>
  <si>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</si>
  <si>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</si>
  <si>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</si>
  <si>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</si>
  <si>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</si>
  <si>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</si>
  <si>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</si>
  <si>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</si>
  <si>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</si>
  <si>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</si>
  <si>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</si>
  <si>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</si>
  <si>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</si>
  <si>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</si>
  <si>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</si>
  <si>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</si>
  <si>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</si>
  <si>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</si>
  <si>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</si>
  <si>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</si>
  <si>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</si>
  <si>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</si>
  <si>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</si>
  <si>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</si>
  <si>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</si>
  <si>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</si>
  <si>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</si>
  <si>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</si>
  <si>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</si>
  <si>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</si>
  <si>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</si>
  <si>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</si>
  <si>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</si>
  <si>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</si>
  <si>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</si>
  <si>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</si>
  <si>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</si>
  <si>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</si>
  <si>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</si>
  <si>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</si>
  <si>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</si>
  <si>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</si>
  <si>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</si>
  <si>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</si>
  <si>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</si>
  <si>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</si>
  <si>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</si>
  <si>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</si>
  <si>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</si>
  <si>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</si>
  <si>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</si>
  <si>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</si>
  <si>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</si>
  <si>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</si>
  <si>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</si>
  <si>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</si>
  <si>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</si>
  <si>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</si>
  <si>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</si>
  <si>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</si>
  <si>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</si>
  <si>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</si>
  <si>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</si>
  <si>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</si>
  <si>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</si>
  <si>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</si>
  <si>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</si>
  <si>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</si>
  <si>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</si>
  <si>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</si>
  <si>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</si>
  <si>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</si>
  <si>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</si>
  <si>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</si>
  <si>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</si>
  <si>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</si>
  <si>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</si>
  <si>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</si>
  <si>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</si>
  <si>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</si>
  <si>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</si>
  <si>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</si>
  <si>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</si>
  <si>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</si>
  <si>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</si>
  <si>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</si>
  <si>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</si>
  <si>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</si>
  <si>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</si>
  <si>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</si>
  <si>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</si>
  <si>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</si>
  <si>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</si>
  <si>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</si>
  <si>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</si>
  <si>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</si>
  <si>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</si>
  <si>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</si>
  <si>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</si>
  <si>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</si>
  <si>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</si>
  <si>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</si>
  <si>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</si>
  <si>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</si>
  <si>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</si>
  <si>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</si>
  <si>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</si>
  <si>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</si>
  <si>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</si>
  <si>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</si>
  <si>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</si>
  <si>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</si>
  <si>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</si>
  <si>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</si>
  <si>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</si>
  <si>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</si>
  <si>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</si>
  <si>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</si>
  <si>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</si>
  <si>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</si>
  <si>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</si>
  <si>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</si>
  <si>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</si>
  <si>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</si>
  <si>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</si>
  <si>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</si>
  <si>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</si>
  <si>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</si>
  <si>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</si>
  <si>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</si>
  <si>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</si>
  <si>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</si>
  <si>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</si>
  <si>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</si>
  <si>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</si>
  <si>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</si>
  <si>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</si>
  <si>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</si>
  <si>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</si>
  <si>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</si>
  <si>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</si>
  <si>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</si>
  <si>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</si>
  <si>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</si>
  <si>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</si>
  <si>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</si>
  <si>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</si>
  <si>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</si>
  <si>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</si>
  <si>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</si>
  <si>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</si>
  <si>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</si>
  <si>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</si>
  <si>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</si>
  <si>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</si>
  <si>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</si>
  <si>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</si>
  <si>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</si>
  <si>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</si>
  <si>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</si>
  <si>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</si>
  <si>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</si>
  <si>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</si>
  <si>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</si>
  <si>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</si>
  <si>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</si>
  <si>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</si>
  <si>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</si>
  <si>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</si>
  <si>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</si>
  <si>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</si>
  <si>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</si>
  <si>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</si>
  <si>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</si>
  <si>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</si>
  <si>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</si>
  <si>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</si>
  <si>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</si>
  <si>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</si>
  <si>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</si>
  <si>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</si>
  <si>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</si>
  <si>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</si>
  <si>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</si>
  <si>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</si>
  <si>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</si>
  <si>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</si>
  <si>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</si>
  <si>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</si>
  <si>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</si>
  <si>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</si>
  <si>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</si>
  <si>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</si>
  <si>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</si>
  <si>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</si>
  <si>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</si>
  <si>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</si>
  <si>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</si>
  <si>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</si>
  <si>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</si>
  <si>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</si>
  <si>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</si>
  <si>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</si>
  <si>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</si>
  <si>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</si>
  <si>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</si>
  <si>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</si>
  <si>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</si>
  <si>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</si>
  <si>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</si>
  <si>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</si>
  <si>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</si>
  <si>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</si>
  <si>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</si>
  <si>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</si>
  <si>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</si>
  <si>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</si>
  <si>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</si>
  <si>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</si>
  <si>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</si>
  <si>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</si>
  <si>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</si>
  <si>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</si>
  <si>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</si>
  <si>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</si>
  <si>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</si>
  <si>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</si>
  <si>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</si>
  <si>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</si>
  <si>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</si>
  <si>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</si>
  <si>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</si>
  <si>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</si>
  <si>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</si>
  <si>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</si>
  <si>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</si>
  <si>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</si>
  <si>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</si>
  <si>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</si>
  <si>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</si>
  <si>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</si>
  <si>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</si>
  <si>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</si>
  <si>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</si>
  <si>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</si>
  <si>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</si>
  <si>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</si>
  <si>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</si>
  <si>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</si>
  <si>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</si>
  <si>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</si>
  <si>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</si>
  <si>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</si>
  <si>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</si>
  <si>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</si>
  <si>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</si>
  <si>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</si>
  <si>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</si>
  <si>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</si>
  <si>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</si>
  <si>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</si>
  <si>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</si>
  <si>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</si>
  <si>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</si>
  <si>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</si>
  <si>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</si>
  <si>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</si>
  <si>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</si>
  <si>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</si>
  <si>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</si>
  <si>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</si>
  <si>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</si>
  <si>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</si>
  <si>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</si>
  <si>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</si>
  <si>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</si>
  <si>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</si>
  <si>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</si>
  <si>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</si>
  <si>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</si>
  <si>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</si>
  <si>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</si>
  <si>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</si>
  <si>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</si>
  <si>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</si>
  <si>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</si>
  <si>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</si>
  <si>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</si>
  <si>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</si>
  <si>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</si>
  <si>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</si>
  <si>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</si>
  <si>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</si>
  <si>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</si>
  <si>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</si>
  <si>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</si>
  <si>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</si>
  <si>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</si>
  <si>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</si>
  <si>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</si>
  <si>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</si>
  <si>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</si>
  <si>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</si>
  <si>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</si>
  <si>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</si>
  <si>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</si>
  <si>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</si>
  <si>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</si>
  <si>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</si>
  <si>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</si>
  <si>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</si>
  <si>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</si>
  <si>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</si>
  <si>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</si>
  <si>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</si>
  <si>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</si>
  <si>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</si>
  <si>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</si>
  <si>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</si>
  <si>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</si>
  <si>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</si>
  <si>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</si>
  <si>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</si>
  <si>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</si>
  <si>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</si>
  <si>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</si>
  <si>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</si>
  <si>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</si>
  <si>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</si>
  <si>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</si>
  <si>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</si>
  <si>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</si>
  <si>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</si>
  <si>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</si>
  <si>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</si>
  <si>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</si>
  <si>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</si>
  <si>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</si>
  <si>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</si>
  <si>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</si>
  <si>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</si>
  <si>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</si>
  <si>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</si>
  <si>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</si>
  <si>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</si>
  <si>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</si>
  <si>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</si>
  <si>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</si>
  <si>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</si>
  <si>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</si>
  <si>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</si>
  <si>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</si>
  <si>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</si>
  <si>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</si>
  <si>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</si>
  <si>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</si>
  <si>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</si>
  <si>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</si>
  <si>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</si>
  <si>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</si>
  <si>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</si>
  <si>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</si>
  <si>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</si>
  <si>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</si>
  <si>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</si>
  <si>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</si>
  <si>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</si>
  <si>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</si>
  <si>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</si>
  <si>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</si>
  <si>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</si>
  <si>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</si>
  <si>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</si>
  <si>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</si>
  <si>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</si>
  <si>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</si>
  <si>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</si>
  <si>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</si>
  <si>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</si>
  <si>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</si>
  <si>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</si>
  <si>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</si>
  <si>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</si>
  <si>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</si>
  <si>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</si>
  <si>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</si>
  <si>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</si>
  <si>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</si>
  <si>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</si>
  <si>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</si>
  <si>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</si>
  <si>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</si>
  <si>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</si>
  <si>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</si>
  <si>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</si>
  <si>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</si>
  <si>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</si>
  <si>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</si>
  <si>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</si>
  <si>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</si>
  <si>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</si>
  <si>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</si>
  <si>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</si>
  <si>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</si>
  <si>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</si>
  <si>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</si>
  <si>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</si>
  <si>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</si>
  <si>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</si>
  <si>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</si>
  <si>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</si>
  <si>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</si>
  <si>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</si>
  <si>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</si>
  <si>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</si>
  <si>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</si>
  <si>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</si>
  <si>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</si>
  <si>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</si>
  <si>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</si>
  <si>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</si>
  <si>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</si>
  <si>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</si>
  <si>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</si>
  <si>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</si>
  <si>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</si>
  <si>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</si>
  <si>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</si>
  <si>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</si>
  <si>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</si>
  <si>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</si>
  <si>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</si>
  <si>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</si>
  <si>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</si>
  <si>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</si>
  <si>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</si>
  <si>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</si>
  <si>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</si>
  <si>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</si>
  <si>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</si>
  <si>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</si>
  <si>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</si>
  <si>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</si>
  <si>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</si>
  <si>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</si>
  <si>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</si>
  <si>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</si>
  <si>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</si>
  <si>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</si>
  <si>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</si>
  <si>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</si>
  <si>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</si>
  <si>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</si>
  <si>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</si>
  <si>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</si>
  <si>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</si>
  <si>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</si>
  <si>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</si>
  <si>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</si>
  <si>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</si>
  <si>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</si>
  <si>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</si>
  <si>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</si>
  <si>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</si>
  <si>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</si>
  <si>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</si>
  <si>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</si>
  <si>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</si>
  <si>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</si>
  <si>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</si>
  <si>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</si>
  <si>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</si>
  <si>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</si>
  <si>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</si>
  <si>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</si>
  <si>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</si>
  <si>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</si>
  <si>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</si>
  <si>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</si>
  <si>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</si>
  <si>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</si>
  <si>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</si>
  <si>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</si>
  <si>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</si>
  <si>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</si>
  <si>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</si>
  <si>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</si>
  <si>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</si>
  <si>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</si>
  <si>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</si>
  <si>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</si>
  <si>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</si>
  <si>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</si>
  <si>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</si>
  <si>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</si>
  <si>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</si>
  <si>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</si>
  <si>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</si>
  <si>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</si>
  <si>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</si>
  <si>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</si>
  <si>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</si>
  <si>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</si>
  <si>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</si>
  <si>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</si>
  <si>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</si>
  <si>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</si>
  <si>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</si>
  <si>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</si>
  <si>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</si>
  <si>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</si>
  <si>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</si>
  <si>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</si>
  <si>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</si>
  <si>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</si>
  <si>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</si>
  <si>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</si>
  <si>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</si>
  <si>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</si>
  <si>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</si>
  <si>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</si>
  <si>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</si>
  <si>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</si>
  <si>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</si>
  <si>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</si>
  <si>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</si>
  <si>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</si>
  <si>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</si>
  <si>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</si>
  <si>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</si>
  <si>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</si>
  <si>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</si>
  <si>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</si>
  <si>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</si>
  <si>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</si>
  <si>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</si>
  <si>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</si>
  <si>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</si>
  <si>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</si>
  <si>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</si>
  <si>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</si>
  <si>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</si>
  <si>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</si>
  <si>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</si>
  <si>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</si>
  <si>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</si>
  <si>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</si>
  <si>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</si>
  <si>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</si>
  <si>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</si>
  <si>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</si>
  <si>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</si>
  <si>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</si>
  <si>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</si>
  <si>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</si>
  <si>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</si>
  <si>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</si>
  <si>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</si>
  <si>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</si>
  <si>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</si>
  <si>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</si>
  <si>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</si>
  <si>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</si>
  <si>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</si>
  <si>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</si>
  <si>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</si>
  <si>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</si>
  <si>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</si>
  <si>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</si>
  <si>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</si>
  <si>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</si>
  <si>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</si>
  <si>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</si>
  <si>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</si>
  <si>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</si>
  <si>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</si>
  <si>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</si>
  <si>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</si>
  <si>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</si>
  <si>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</si>
  <si>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</si>
  <si>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</si>
  <si>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</si>
  <si>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</si>
  <si>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</si>
  <si>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</si>
  <si>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</si>
  <si>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</si>
  <si>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</si>
  <si>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</si>
  <si>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</si>
  <si>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</si>
  <si>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</si>
  <si>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</si>
  <si>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</si>
  <si>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</si>
  <si>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</si>
  <si>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</si>
  <si>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</si>
  <si>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</si>
  <si>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</si>
  <si>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</si>
  <si>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</si>
  <si>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</si>
  <si>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</si>
  <si>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</si>
  <si>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</si>
  <si>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</si>
  <si>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</si>
  <si>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</si>
  <si>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</si>
  <si>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</si>
  <si>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</si>
  <si>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</si>
  <si>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</si>
  <si>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</si>
  <si>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</si>
  <si>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</si>
  <si>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</si>
  <si>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</si>
  <si>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</si>
  <si>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</si>
  <si>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</si>
  <si>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</si>
  <si>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</si>
  <si>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</si>
  <si>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</si>
  <si>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</si>
  <si>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</si>
  <si>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</si>
  <si>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</si>
  <si>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</si>
  <si>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</si>
  <si>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</si>
  <si>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</si>
  <si>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</si>
  <si>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</si>
  <si>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</si>
  <si>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</si>
  <si>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</si>
  <si>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</si>
  <si>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</si>
  <si>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</si>
  <si>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</si>
  <si>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</si>
  <si>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</si>
  <si>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</si>
  <si>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</si>
  <si>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</si>
  <si>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</si>
  <si>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</si>
  <si>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</si>
  <si>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</si>
  <si>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</si>
  <si>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</si>
  <si>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</si>
  <si>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</si>
  <si>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</si>
  <si>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</si>
  <si>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</si>
  <si>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</si>
  <si>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</si>
  <si>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</si>
  <si>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</si>
  <si>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</si>
  <si>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</si>
  <si>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</si>
  <si>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</si>
  <si>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</si>
  <si>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</si>
  <si>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</si>
  <si>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</si>
  <si>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</si>
  <si>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</si>
  <si>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</si>
  <si>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</si>
  <si>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</si>
  <si>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</si>
  <si>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</si>
  <si>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</si>
  <si>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</si>
  <si>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</si>
  <si>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</si>
  <si>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</si>
  <si>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</si>
  <si>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</si>
  <si>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</si>
  <si>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</si>
  <si>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</si>
  <si>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</si>
  <si>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</si>
  <si>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</si>
  <si>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</si>
  <si>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</si>
  <si>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</si>
  <si>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</si>
  <si>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</si>
  <si>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</si>
  <si>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</si>
  <si>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</si>
  <si>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</si>
  <si>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</si>
  <si>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</si>
  <si>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</si>
  <si>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</si>
  <si>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</si>
  <si>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</si>
  <si>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</si>
  <si>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</si>
  <si>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</si>
  <si>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</si>
  <si>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</si>
  <si>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</si>
  <si>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</si>
  <si>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</si>
  <si>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</si>
  <si>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</si>
  <si>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</si>
  <si>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</si>
  <si>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</si>
  <si>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</si>
  <si>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</si>
  <si>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</si>
  <si>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</si>
  <si>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</si>
  <si>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</si>
  <si>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</si>
  <si>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</si>
  <si>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</si>
  <si>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</si>
  <si>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</si>
  <si>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</si>
  <si>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</si>
  <si>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</si>
  <si>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</si>
  <si>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</si>
  <si>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</si>
  <si>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</si>
  <si>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</si>
  <si>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</si>
  <si>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</si>
  <si>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</si>
  <si>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</si>
  <si>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</si>
  <si>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</si>
  <si>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</si>
  <si>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</si>
  <si>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</si>
  <si>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</si>
  <si>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</si>
  <si>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</si>
  <si>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</si>
  <si>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</si>
  <si>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</si>
  <si>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</si>
  <si>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</si>
  <si>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</si>
  <si>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</si>
  <si>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</si>
  <si>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</si>
  <si>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</si>
  <si>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</si>
  <si>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</si>
  <si>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</si>
  <si>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</si>
  <si>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</si>
  <si>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</si>
  <si>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</si>
  <si>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</si>
  <si>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</si>
  <si>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</si>
  <si>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</si>
  <si>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</si>
  <si>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</si>
  <si>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</si>
  <si>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</si>
  <si>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</si>
  <si>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</si>
  <si>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</si>
  <si>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</si>
  <si>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</si>
  <si>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</si>
  <si>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</si>
  <si>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</si>
  <si>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</si>
  <si>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</si>
  <si>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</si>
  <si>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</si>
  <si>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</si>
  <si>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</si>
  <si>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</si>
  <si>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</si>
  <si>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</si>
  <si>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</si>
  <si>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</si>
  <si>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</si>
  <si>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</si>
  <si>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</si>
  <si>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</si>
  <si>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</si>
  <si>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</si>
  <si>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</si>
  <si>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</si>
  <si>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</si>
  <si>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</si>
  <si>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</si>
  <si>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</si>
  <si>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</si>
  <si>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</si>
  <si>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</si>
  <si>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</si>
  <si>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</si>
  <si>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</si>
  <si>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</si>
  <si>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</si>
  <si>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</si>
  <si>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</si>
  <si>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</si>
  <si>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</si>
  <si>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</si>
  <si>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</si>
  <si>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</si>
  <si>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</si>
  <si>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</si>
  <si>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</si>
  <si>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</si>
  <si>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</si>
  <si>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</si>
  <si>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</si>
  <si>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</si>
  <si>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</si>
  <si>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</si>
  <si>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</si>
  <si>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</si>
  <si>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</si>
  <si>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</si>
  <si>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</si>
  <si>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</si>
  <si>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</si>
  <si>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</si>
  <si>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</si>
  <si>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</si>
  <si>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</si>
  <si>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</si>
  <si>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</si>
  <si>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</si>
  <si>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</si>
  <si>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</si>
  <si>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</si>
  <si>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</si>
  <si>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</si>
  <si>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</si>
  <si>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</si>
  <si>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</si>
  <si>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</si>
  <si>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</si>
  <si>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</si>
  <si>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</si>
  <si>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</si>
  <si>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</si>
  <si>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</si>
  <si>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</si>
  <si>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</si>
  <si>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</si>
  <si>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</si>
  <si>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</si>
  <si>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</si>
  <si>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</si>
  <si>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</si>
  <si>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</si>
  <si>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</si>
  <si>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</si>
  <si>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</si>
  <si>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</si>
  <si>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</si>
  <si>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</si>
  <si>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</si>
  <si>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</si>
  <si>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</si>
  <si>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</si>
  <si>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</si>
  <si>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</si>
  <si>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</si>
  <si>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</si>
  <si>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</si>
  <si>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</si>
  <si>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</si>
  <si>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</si>
  <si>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</si>
  <si>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</si>
  <si>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</si>
  <si>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</si>
  <si>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</si>
  <si>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</si>
  <si>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</si>
  <si>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</si>
  <si>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</si>
  <si>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</si>
  <si>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</si>
  <si>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</si>
  <si>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</si>
  <si>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</si>
  <si>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</si>
  <si>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</si>
  <si>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</si>
  <si>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</si>
  <si>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</si>
  <si>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</si>
  <si>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</si>
  <si>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</si>
  <si>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</si>
  <si>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</si>
  <si>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</si>
  <si>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</si>
  <si>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</si>
  <si>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</si>
  <si>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</si>
  <si>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</si>
  <si>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</si>
  <si>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</si>
  <si>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</si>
  <si>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</si>
  <si>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</si>
  <si>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</si>
  <si>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</si>
  <si>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</si>
  <si>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</si>
  <si>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</si>
  <si>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</si>
  <si>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</si>
  <si>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</si>
  <si>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</si>
  <si>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</si>
  <si>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</si>
  <si>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</si>
  <si>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</si>
  <si>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</si>
  <si>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</si>
  <si>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</si>
  <si>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</si>
  <si>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</si>
  <si>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</si>
  <si>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</si>
  <si>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</si>
  <si>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</si>
  <si>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</si>
  <si>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</si>
  <si>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</si>
  <si>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</si>
  <si>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</si>
  <si>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</si>
  <si>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</si>
  <si>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</si>
  <si>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</si>
  <si>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</si>
  <si>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</si>
  <si>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</si>
  <si>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</si>
  <si>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</si>
  <si>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</si>
  <si>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</si>
  <si>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</si>
  <si>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</si>
  <si>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</si>
  <si>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</si>
  <si>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</si>
  <si>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</si>
  <si>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</si>
  <si>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</si>
  <si>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</si>
  <si>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</si>
  <si>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</si>
  <si>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</si>
  <si>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</si>
  <si>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</si>
  <si>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</si>
  <si>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</si>
  <si>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</si>
  <si>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</si>
  <si>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</si>
  <si>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</si>
  <si>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</si>
  <si>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</si>
  <si>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</si>
  <si>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</si>
  <si>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</si>
  <si>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</si>
  <si>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</si>
  <si>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</si>
  <si>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</si>
  <si>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</si>
  <si>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</si>
  <si>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</si>
  <si>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</si>
  <si>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</si>
  <si>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</si>
  <si>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</si>
  <si>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</si>
  <si>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</si>
  <si>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</si>
  <si>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</si>
  <si>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</si>
  <si>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</si>
  <si>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</si>
  <si>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</si>
  <si>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</si>
  <si>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</si>
  <si>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</si>
  <si>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</si>
  <si>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</si>
  <si>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</si>
  <si>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</si>
  <si>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</si>
  <si>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</si>
  <si>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</si>
  <si>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</si>
  <si>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</si>
  <si>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</si>
  <si>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</si>
  <si>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</si>
  <si>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</si>
  <si>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</si>
  <si>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</si>
  <si>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</si>
  <si>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</si>
  <si>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</si>
  <si>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</si>
  <si>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</si>
  <si>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</si>
  <si>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</si>
  <si>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</si>
  <si>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</si>
  <si>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</si>
  <si>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</si>
  <si>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</si>
  <si>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</si>
  <si>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</si>
  <si>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</si>
  <si>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</si>
  <si>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</si>
  <si>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</si>
  <si>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</si>
  <si>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</si>
  <si>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</si>
  <si>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</si>
  <si>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</si>
  <si>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</si>
  <si>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</si>
  <si>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</si>
  <si>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</si>
  <si>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</si>
  <si>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</si>
  <si>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</si>
  <si>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</si>
  <si>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</si>
  <si>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</si>
  <si>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</si>
  <si>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</si>
  <si>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</si>
  <si>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</si>
  <si>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</si>
  <si>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</si>
  <si>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</si>
  <si>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</si>
  <si>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</si>
  <si>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</si>
  <si>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</si>
  <si>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</si>
  <si>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</si>
  <si>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</si>
  <si>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</si>
  <si>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</si>
  <si>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</si>
  <si>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</si>
  <si>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</si>
  <si>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</si>
  <si>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</si>
  <si>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</si>
  <si>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</si>
  <si>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</si>
  <si>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</si>
  <si>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</si>
  <si>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</si>
  <si>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</si>
  <si>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</si>
  <si>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</si>
  <si>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</si>
  <si>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</si>
  <si>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</si>
  <si>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</si>
  <si>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</si>
  <si>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</si>
  <si>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</si>
  <si>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</si>
  <si>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</si>
  <si>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</si>
  <si>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</si>
  <si>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</si>
  <si>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</si>
  <si>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</si>
  <si>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</si>
  <si>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</si>
  <si>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</si>
  <si>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</si>
  <si>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</si>
  <si>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</si>
  <si>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</si>
  <si>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</si>
  <si>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</si>
  <si>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</si>
  <si>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</si>
  <si>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</si>
  <si>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</si>
  <si>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</si>
  <si>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</si>
  <si>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</si>
  <si>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</si>
  <si>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</si>
  <si>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</si>
  <si>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</si>
  <si>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</si>
  <si>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</si>
  <si>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</si>
  <si>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</si>
  <si>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</si>
  <si>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</si>
  <si>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</si>
  <si>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</si>
  <si>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</si>
  <si>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</si>
  <si>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</si>
  <si>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</si>
  <si>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</si>
  <si>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</si>
  <si>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</si>
  <si>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</si>
  <si>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</si>
  <si>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</si>
  <si>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</si>
  <si>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</si>
  <si>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</si>
  <si>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</si>
  <si>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</si>
  <si>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</si>
  <si>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</si>
  <si>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</si>
  <si>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</si>
  <si>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</si>
  <si>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</si>
  <si>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</si>
  <si>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</si>
  <si>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</si>
  <si>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</si>
  <si>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</si>
  <si>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</si>
  <si>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</si>
  <si>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</si>
  <si>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</si>
  <si>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</si>
  <si>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</si>
  <si>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</si>
  <si>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</si>
  <si>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</si>
  <si>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</si>
  <si>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</si>
  <si>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</si>
  <si>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</si>
  <si>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</si>
  <si>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</si>
  <si>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</si>
  <si>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</si>
  <si>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</si>
  <si>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</si>
  <si>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</si>
  <si>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</si>
  <si>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</si>
  <si>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</si>
  <si>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</si>
  <si>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</si>
  <si>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</si>
  <si>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</si>
  <si>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</si>
  <si>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</si>
  <si>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</si>
  <si>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</si>
  <si>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</si>
  <si>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</si>
  <si>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</si>
  <si>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</si>
  <si>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</si>
  <si>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</si>
  <si>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</si>
  <si>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</si>
  <si>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</si>
  <si>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</si>
  <si>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</si>
  <si>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</si>
  <si>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</si>
  <si>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</si>
  <si>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</si>
  <si>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</si>
  <si>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</si>
  <si>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</si>
  <si>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</si>
  <si>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</si>
  <si>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</si>
  <si>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</si>
  <si>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</si>
  <si>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</si>
  <si>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</si>
  <si>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</si>
  <si>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</si>
  <si>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</si>
  <si>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</si>
  <si>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</si>
  <si>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</si>
  <si>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</si>
  <si>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</si>
  <si>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</si>
  <si>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</si>
  <si>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</si>
  <si>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</si>
  <si>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</si>
  <si>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</si>
  <si>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</si>
  <si>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</si>
  <si>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</si>
  <si>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</si>
  <si>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</si>
  <si>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</si>
  <si>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</si>
  <si>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</si>
  <si>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</si>
  <si>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</si>
  <si>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</si>
  <si>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</si>
  <si>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</si>
  <si>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</si>
  <si>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</si>
  <si>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</si>
  <si>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</si>
  <si>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</si>
  <si>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</si>
  <si>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</si>
  <si>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</si>
  <si>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</si>
  <si>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</si>
  <si>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</si>
  <si>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</si>
  <si>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</si>
  <si>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</si>
  <si>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</si>
  <si>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</si>
  <si>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</si>
  <si>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</si>
  <si>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</si>
  <si>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</si>
  <si>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</si>
  <si>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</si>
  <si>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</si>
  <si>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</si>
  <si>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</si>
  <si>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</si>
  <si>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</si>
  <si>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</si>
  <si>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</si>
  <si>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</si>
  <si>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</si>
  <si>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</si>
  <si>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</si>
  <si>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</si>
  <si>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</si>
  <si>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</si>
  <si>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</si>
  <si>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</si>
  <si>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</si>
  <si>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</si>
  <si>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</si>
  <si>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</si>
  <si>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</si>
  <si>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</si>
  <si>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</si>
  <si>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</si>
  <si>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</si>
  <si>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</si>
  <si>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</si>
  <si>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</si>
  <si>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</si>
  <si>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</si>
  <si>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</si>
  <si>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</si>
  <si>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</si>
  <si>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</si>
  <si>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</si>
  <si>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</si>
  <si>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</si>
  <si>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</si>
  <si>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</si>
  <si>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</si>
  <si>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</si>
  <si>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</si>
  <si>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</si>
  <si>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</si>
  <si>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</si>
  <si>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</si>
  <si>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</si>
  <si>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</si>
  <si>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</si>
  <si>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</si>
  <si>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</si>
  <si>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</si>
  <si>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</si>
  <si>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</si>
  <si>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</si>
  <si>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</si>
  <si>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</si>
  <si>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</si>
  <si>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</si>
  <si>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</si>
  <si>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</si>
  <si>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</si>
  <si>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</si>
  <si>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</si>
  <si>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</si>
  <si>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</si>
  <si>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</si>
  <si>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</si>
  <si>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</si>
  <si>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</si>
  <si>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</si>
  <si>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</si>
  <si>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</si>
  <si>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</si>
  <si>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</si>
  <si>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</si>
  <si>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</si>
  <si>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</si>
  <si>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</si>
  <si>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</si>
  <si>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</si>
  <si>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</si>
  <si>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</si>
  <si>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</si>
  <si>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</si>
  <si>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</si>
  <si>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</si>
  <si>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</si>
  <si>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</si>
  <si>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</si>
  <si>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</si>
  <si>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</si>
  <si>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</si>
  <si>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</si>
  <si>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</si>
  <si>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</si>
  <si>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</si>
  <si>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</si>
  <si>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</si>
  <si>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</si>
  <si>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</si>
  <si>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</si>
  <si>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</si>
  <si>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</si>
  <si>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</si>
  <si>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</si>
  <si>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</si>
  <si>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</si>
  <si>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</si>
  <si>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</si>
  <si>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</si>
  <si>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</si>
  <si>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</si>
  <si>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</si>
  <si>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</si>
  <si>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</si>
  <si>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</si>
  <si>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</si>
  <si>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</si>
  <si>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</si>
  <si>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</si>
  <si>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</si>
  <si>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</si>
  <si>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</si>
  <si>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</si>
  <si>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</si>
  <si>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</si>
  <si>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</si>
  <si>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</si>
  <si>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</si>
  <si>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</si>
  <si>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</si>
  <si>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</si>
  <si>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</si>
  <si>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</si>
  <si>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</si>
  <si>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</si>
  <si>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</si>
  <si>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</si>
  <si>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</si>
  <si>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</si>
  <si>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</si>
  <si>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</si>
  <si>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</si>
  <si>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</si>
  <si>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</si>
  <si>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</si>
  <si>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</si>
  <si>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</si>
  <si>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</si>
  <si>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</si>
  <si>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</si>
  <si>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</si>
  <si>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</si>
  <si>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</si>
  <si>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</si>
  <si>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</si>
  <si>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</si>
  <si>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</si>
  <si>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</si>
  <si>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</si>
  <si>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</si>
  <si>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</si>
  <si>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</si>
  <si>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</si>
  <si>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</si>
  <si>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</si>
  <si>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</si>
  <si>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</si>
  <si>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</si>
  <si>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</si>
  <si>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</si>
  <si>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</si>
  <si>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</si>
  <si>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</si>
  <si>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</si>
  <si>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</si>
  <si>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</si>
  <si>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</si>
  <si>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</si>
  <si>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</si>
  <si>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</si>
  <si>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</si>
  <si>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</si>
  <si>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</si>
  <si>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</si>
  <si>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</si>
  <si>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</si>
  <si>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</si>
  <si>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</si>
  <si>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</si>
  <si>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</si>
  <si>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</si>
  <si>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</si>
  <si>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</si>
  <si>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</si>
  <si>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</si>
  <si>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</si>
  <si>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</si>
  <si>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</si>
  <si>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</si>
  <si>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</si>
  <si>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</si>
  <si>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</si>
  <si>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</si>
  <si>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</si>
  <si>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</si>
  <si>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</si>
  <si>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</si>
  <si>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</si>
  <si>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</si>
  <si>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</si>
  <si>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</si>
  <si>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</si>
  <si>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</si>
  <si>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</si>
  <si>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</si>
  <si>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</si>
  <si>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</si>
  <si>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</si>
  <si>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</si>
  <si>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</si>
  <si>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</si>
  <si>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</si>
  <si>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</si>
  <si>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</si>
  <si>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</si>
  <si>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</si>
  <si>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</si>
  <si>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</si>
  <si>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</si>
  <si>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</si>
  <si>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</si>
  <si>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</si>
  <si>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</si>
  <si>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</si>
  <si>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</si>
  <si>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</si>
  <si>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</si>
  <si>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</si>
  <si>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</si>
  <si>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</si>
  <si>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</si>
  <si>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</si>
  <si>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</si>
  <si>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</si>
  <si>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</si>
  <si>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</si>
  <si>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</si>
  <si>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</si>
  <si>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</si>
  <si>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</si>
  <si>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</si>
  <si>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</si>
  <si>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</si>
  <si>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</si>
  <si>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</si>
  <si>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</si>
  <si>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</si>
  <si>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</si>
  <si>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</si>
  <si>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</si>
  <si>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</si>
  <si>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</si>
  <si>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</si>
  <si>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</si>
  <si>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</si>
  <si>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</si>
  <si>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</si>
  <si>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</si>
  <si>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</si>
  <si>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</si>
  <si>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</si>
  <si>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</si>
  <si>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</si>
  <si>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</si>
  <si>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</si>
  <si>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</si>
  <si>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</si>
  <si>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</si>
  <si>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</si>
  <si>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</si>
  <si>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</si>
  <si>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</si>
  <si>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</si>
  <si>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</si>
  <si>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</si>
  <si>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</si>
  <si>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</si>
  <si>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</si>
  <si>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</si>
  <si>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</si>
  <si>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</si>
  <si>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</si>
  <si>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</si>
  <si>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</si>
  <si>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</si>
  <si>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</si>
  <si>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</si>
  <si>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</si>
  <si>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</si>
  <si>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</si>
  <si>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</si>
  <si>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</si>
  <si>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</si>
  <si>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</si>
  <si>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</si>
  <si>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</si>
  <si>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</si>
  <si>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</si>
  <si>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</si>
  <si>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</si>
  <si>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</si>
  <si>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</si>
  <si>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</si>
  <si>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</si>
  <si>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</si>
  <si>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</si>
  <si>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</si>
  <si>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</si>
  <si>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</si>
  <si>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</si>
  <si>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</si>
  <si>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</si>
  <si>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</si>
  <si>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</si>
  <si>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</si>
  <si>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</si>
  <si>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</si>
  <si>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</si>
  <si>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</si>
  <si>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</si>
  <si>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</si>
  <si>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</si>
  <si>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</si>
  <si>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</si>
  <si>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</si>
  <si>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</si>
  <si>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</si>
  <si>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</si>
  <si>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</si>
  <si>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</si>
  <si>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</si>
  <si>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</si>
  <si>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</si>
  <si>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</si>
  <si>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</si>
  <si>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</si>
  <si>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</si>
  <si>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</si>
  <si>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</si>
  <si>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</si>
  <si>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</si>
  <si>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</si>
  <si>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</si>
  <si>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</si>
  <si>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</si>
  <si>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</si>
  <si>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</si>
  <si>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</si>
  <si>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</si>
  <si>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</si>
  <si>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</si>
  <si>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</si>
  <si>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</si>
  <si>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</si>
  <si>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</si>
  <si>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</si>
  <si>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</si>
  <si>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</si>
  <si>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</si>
  <si>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</si>
  <si>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</si>
  <si>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</si>
  <si>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</si>
  <si>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</si>
  <si>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</si>
  <si>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</si>
  <si>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</si>
  <si>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</si>
  <si>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</si>
  <si>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</si>
  <si>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</si>
  <si>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</si>
  <si>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</si>
  <si>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</si>
  <si>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</si>
  <si>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</si>
  <si>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</si>
  <si>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</si>
  <si>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</si>
  <si>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</si>
  <si>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</si>
  <si>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</si>
  <si>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</si>
  <si>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</si>
  <si>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</si>
  <si>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</si>
  <si>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</si>
  <si>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</si>
  <si>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</si>
  <si>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</si>
  <si>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</si>
  <si>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</si>
  <si>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</si>
  <si>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</si>
  <si>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</si>
  <si>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</si>
  <si>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</si>
  <si>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</si>
  <si>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</si>
  <si>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</si>
  <si>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</si>
  <si>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</si>
  <si>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</si>
  <si>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</si>
  <si>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</si>
  <si>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</si>
  <si>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</si>
  <si>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</si>
  <si>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</si>
  <si>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</si>
  <si>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</si>
  <si>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</si>
  <si>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</si>
  <si>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</si>
  <si>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</si>
  <si>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</si>
  <si>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</si>
  <si>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</si>
  <si>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</si>
  <si>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</si>
  <si>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</si>
  <si>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</si>
  <si>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</si>
  <si>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</si>
  <si>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</si>
  <si>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</si>
  <si>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</si>
  <si>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</si>
  <si>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</si>
  <si>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</si>
  <si>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</si>
  <si>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</si>
  <si>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</si>
  <si>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</si>
  <si>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</si>
  <si>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</si>
  <si>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</si>
  <si>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</si>
  <si>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</si>
  <si>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</si>
  <si>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</si>
  <si>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</si>
  <si>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</si>
  <si>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</si>
  <si>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</si>
  <si>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</si>
  <si>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</si>
  <si>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</si>
  <si>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</si>
  <si>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</si>
  <si>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</si>
  <si>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</si>
  <si>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</si>
  <si>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</si>
  <si>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</si>
  <si>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</si>
  <si>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</si>
  <si>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</si>
  <si>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</si>
  <si>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</si>
  <si>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</si>
  <si>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</si>
  <si>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</si>
  <si>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</si>
  <si>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</si>
  <si>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</si>
  <si>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</si>
  <si>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</si>
  <si>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</si>
  <si>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</si>
  <si>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</si>
  <si>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</si>
  <si>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</si>
  <si>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</si>
  <si>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</si>
  <si>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</si>
  <si>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</si>
  <si>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</si>
  <si>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</si>
  <si>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</si>
  <si>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</si>
  <si>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</si>
  <si>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</si>
  <si>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</si>
  <si>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</si>
  <si>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</si>
  <si>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</si>
  <si>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</si>
  <si>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</si>
  <si>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</si>
  <si>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</si>
  <si>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</si>
  <si>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</si>
  <si>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</si>
  <si>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</si>
  <si>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</si>
  <si>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</si>
  <si>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</si>
  <si>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</si>
  <si>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</si>
  <si>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</si>
  <si>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</si>
  <si>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</si>
  <si>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</si>
  <si>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</si>
  <si>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</si>
  <si>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</si>
  <si>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</si>
  <si>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</si>
  <si>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</si>
  <si>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</si>
  <si>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</si>
  <si>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</si>
  <si>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</si>
  <si>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</si>
  <si>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</si>
  <si>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</si>
  <si>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</si>
  <si>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</si>
  <si>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</si>
  <si>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</si>
  <si>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</si>
  <si>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</si>
  <si>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</si>
  <si>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</si>
  <si>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</si>
  <si>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</si>
  <si>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</si>
  <si>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</si>
  <si>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</si>
  <si>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</si>
  <si>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</si>
  <si>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</si>
  <si>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</si>
  <si>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</si>
  <si>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</si>
  <si>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</si>
  <si>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</si>
  <si>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</si>
  <si>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</si>
  <si>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</si>
  <si>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</si>
  <si>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</si>
  <si>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</si>
  <si>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</si>
  <si>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</si>
  <si>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</si>
  <si>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</si>
  <si>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</si>
  <si>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</si>
  <si>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</si>
  <si>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</si>
  <si>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</si>
  <si>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</si>
  <si>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</si>
  <si>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</si>
  <si>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</si>
  <si>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</si>
  <si>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</si>
  <si>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</si>
  <si>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</si>
  <si>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</si>
  <si>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</si>
  <si>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</si>
  <si>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</si>
  <si>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</si>
  <si>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</si>
  <si>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</si>
  <si>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</si>
  <si>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</si>
  <si>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</si>
  <si>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</si>
  <si>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</si>
  <si>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</si>
  <si>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</si>
  <si>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</si>
  <si>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</si>
  <si>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</si>
  <si>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</si>
  <si>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</si>
  <si>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</si>
  <si>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</si>
  <si>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</si>
  <si>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</si>
  <si>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</si>
  <si>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</si>
  <si>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</si>
  <si>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</si>
  <si>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</si>
  <si>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</si>
  <si>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</si>
  <si>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</si>
  <si>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</si>
  <si>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</si>
  <si>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</si>
  <si>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</si>
  <si>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</si>
  <si>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</si>
  <si>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</si>
  <si>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</si>
  <si>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</si>
  <si>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</si>
  <si>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</si>
  <si>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</si>
  <si>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</si>
  <si>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</si>
  <si>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</si>
  <si>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</si>
  <si>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</si>
  <si>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</si>
  <si>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</si>
  <si>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</si>
  <si>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</si>
  <si>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</si>
  <si>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</si>
  <si>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</si>
  <si>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</si>
  <si>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</si>
  <si>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</si>
  <si>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</si>
  <si>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</si>
  <si>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</si>
  <si>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</si>
  <si>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</si>
  <si>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</si>
  <si>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</si>
  <si>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</si>
  <si>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</si>
  <si>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</si>
  <si>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</si>
  <si>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</si>
  <si>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</si>
  <si>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</si>
  <si>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</si>
  <si>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</si>
  <si>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</si>
  <si>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</si>
  <si>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</si>
  <si>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</si>
  <si>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</si>
  <si>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</si>
  <si>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</si>
  <si>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</si>
  <si>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</si>
  <si>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</si>
  <si>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</si>
  <si>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</si>
  <si>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</si>
  <si>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</si>
  <si>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</si>
  <si>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</si>
  <si>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</si>
  <si>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</si>
  <si>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</si>
  <si>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</si>
  <si>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</si>
  <si>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</si>
  <si>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</si>
  <si>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</si>
  <si>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</si>
  <si>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</si>
  <si>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</si>
  <si>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</si>
  <si>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</si>
  <si>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</si>
  <si>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</si>
  <si>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</si>
  <si>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</si>
  <si>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</si>
  <si>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</si>
  <si>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</si>
  <si>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</si>
  <si>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</si>
  <si>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</si>
  <si>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</si>
  <si>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</si>
  <si>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</si>
  <si>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</si>
  <si>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</si>
  <si>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</si>
  <si>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</si>
  <si>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</si>
  <si>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</si>
  <si>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</si>
  <si>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</si>
  <si>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</si>
  <si>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</si>
  <si>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</si>
  <si>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</si>
  <si>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</si>
  <si>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</si>
  <si>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</si>
  <si>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</si>
  <si>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</si>
  <si>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</si>
  <si>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</si>
  <si>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</si>
  <si>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</si>
  <si>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</si>
  <si>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</si>
  <si>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</si>
  <si>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</si>
  <si>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</si>
  <si>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</si>
  <si>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</si>
  <si>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</si>
  <si>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</si>
  <si>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</si>
  <si>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</si>
  <si>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</si>
  <si>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</si>
  <si>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</si>
  <si>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</si>
  <si>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</si>
  <si>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</si>
  <si>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</si>
  <si>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</si>
  <si>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</si>
  <si>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</si>
  <si>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</si>
  <si>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</si>
  <si>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</si>
  <si>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</si>
  <si>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</si>
  <si>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</si>
  <si>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</si>
  <si>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</si>
  <si>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</si>
  <si>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</si>
  <si>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</si>
  <si>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</si>
  <si>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</si>
  <si>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</si>
  <si>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</si>
  <si>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</si>
  <si>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</si>
  <si>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</si>
  <si>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</si>
  <si>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</si>
  <si>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</si>
  <si>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</si>
  <si>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</si>
  <si>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</si>
  <si>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</si>
  <si>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</si>
  <si>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</si>
  <si>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</si>
  <si>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</si>
  <si>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</si>
  <si>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</si>
  <si>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</si>
  <si>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</si>
  <si>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</si>
  <si>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</si>
  <si>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</si>
  <si>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</si>
  <si>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</si>
  <si>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</si>
  <si>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</si>
  <si>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</si>
  <si>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</si>
  <si>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</si>
  <si>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</si>
  <si>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</si>
  <si>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</si>
  <si>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</si>
  <si>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</si>
  <si>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</si>
  <si>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</si>
  <si>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</si>
  <si>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</si>
  <si>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</si>
  <si>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</si>
  <si>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</si>
  <si>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</si>
  <si>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</si>
  <si>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</si>
  <si>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</si>
  <si>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</si>
  <si>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</si>
  <si>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</si>
  <si>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</si>
  <si>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</si>
  <si>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</si>
  <si>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</si>
  <si>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</si>
  <si>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</si>
  <si>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</si>
  <si>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</si>
  <si>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</si>
  <si>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</si>
  <si>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</si>
  <si>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</si>
  <si>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</si>
  <si>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</si>
  <si>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</si>
  <si>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</si>
  <si>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</si>
  <si>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</si>
  <si>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</si>
  <si>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</si>
  <si>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</si>
  <si>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</si>
  <si>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</si>
  <si>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</si>
  <si>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</si>
  <si>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</si>
  <si>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</si>
  <si>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</si>
  <si>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</si>
  <si>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</si>
  <si>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</si>
  <si>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</si>
  <si>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</si>
  <si>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</si>
  <si>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</si>
  <si>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</si>
  <si>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</si>
  <si>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</si>
  <si>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</si>
  <si>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</si>
  <si>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</si>
  <si>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</si>
  <si>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</si>
  <si>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</si>
  <si>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</si>
  <si>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</si>
  <si>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</si>
  <si>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</si>
  <si>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</si>
  <si>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</si>
  <si>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</si>
  <si>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</si>
  <si>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</si>
  <si>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</si>
  <si>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</si>
  <si>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</si>
  <si>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</si>
  <si>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</si>
  <si>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</si>
  <si>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</si>
  <si>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</si>
  <si>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</si>
  <si>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</si>
  <si>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</si>
  <si>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</si>
  <si>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</si>
  <si>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</si>
  <si>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</si>
  <si>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</si>
  <si>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</si>
  <si>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</si>
  <si>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</si>
  <si>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</si>
  <si>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</si>
  <si>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</si>
  <si>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</si>
  <si>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</si>
  <si>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</si>
  <si>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</si>
  <si>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</si>
  <si>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</si>
  <si>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</si>
  <si>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</si>
  <si>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</si>
  <si>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</si>
  <si>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</si>
  <si>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</si>
  <si>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</si>
  <si>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</si>
  <si>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</si>
  <si>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</si>
  <si>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</si>
  <si>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</si>
  <si>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</si>
  <si>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</si>
  <si>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</si>
  <si>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</si>
  <si>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</si>
  <si>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</si>
  <si>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</si>
  <si>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</si>
  <si>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</si>
  <si>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</si>
  <si>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</si>
  <si>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</si>
  <si>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</si>
  <si>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</si>
  <si>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</si>
  <si>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</si>
  <si>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</si>
  <si>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</si>
  <si>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</si>
  <si>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</si>
  <si>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</si>
  <si>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</si>
  <si>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</si>
  <si>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</si>
  <si>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</si>
  <si>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</si>
  <si>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</si>
  <si>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</si>
  <si>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</si>
  <si>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</si>
  <si>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</si>
  <si>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</si>
  <si>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</si>
  <si>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</si>
  <si>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</si>
  <si>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</si>
  <si>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</si>
  <si>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</si>
  <si>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</si>
  <si>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</si>
  <si>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</si>
  <si>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</si>
  <si>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</si>
  <si>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</si>
  <si>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</si>
  <si>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</si>
  <si>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</si>
  <si>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</si>
  <si>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</si>
  <si>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</si>
  <si>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</si>
  <si>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</si>
  <si>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</si>
  <si>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</si>
  <si>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</si>
  <si>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</si>
  <si>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</si>
  <si>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</si>
  <si>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</si>
  <si>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</si>
  <si>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</si>
  <si>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</si>
  <si>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</si>
  <si>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</si>
  <si>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</si>
  <si>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</si>
  <si>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</si>
  <si>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</si>
  <si>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</si>
  <si>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</si>
  <si>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</si>
  <si>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</si>
  <si>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</si>
  <si>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</si>
  <si>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</si>
  <si>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</si>
  <si>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</si>
  <si>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</si>
  <si>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</si>
  <si>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</si>
  <si>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</si>
  <si>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</si>
  <si>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</si>
  <si>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</si>
  <si>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</si>
  <si>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</si>
  <si>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</si>
  <si>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</si>
  <si>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</si>
  <si>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</si>
  <si>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</si>
  <si>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</si>
  <si>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</si>
  <si>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</si>
  <si>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</si>
  <si>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</si>
  <si>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</si>
  <si>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</si>
  <si>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</si>
  <si>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</si>
  <si>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</si>
  <si>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</si>
  <si>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</si>
  <si>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</si>
  <si>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</si>
  <si>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</si>
  <si>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</si>
  <si>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</si>
  <si>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</si>
  <si>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</si>
  <si>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</si>
  <si>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</si>
  <si>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</si>
  <si>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</si>
  <si>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</si>
  <si>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</si>
  <si>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</si>
  <si>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</si>
  <si>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</si>
  <si>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</si>
  <si>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</si>
  <si>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</si>
  <si>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</si>
  <si>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</si>
  <si>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</si>
  <si>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</si>
  <si>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</si>
  <si>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</si>
  <si>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</si>
  <si>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</si>
  <si>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</si>
  <si>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</si>
  <si>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</si>
  <si>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</si>
  <si>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</si>
  <si>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</si>
  <si>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</si>
  <si>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</si>
  <si>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</si>
  <si>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</si>
  <si>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</si>
  <si>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</si>
  <si>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</si>
  <si>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</si>
  <si>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</si>
  <si>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</si>
  <si>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</si>
  <si>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</si>
  <si>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</si>
  <si>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</si>
  <si>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</si>
  <si>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</si>
  <si>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</si>
  <si>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</si>
  <si>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</si>
  <si>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</si>
  <si>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</si>
  <si>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</si>
  <si>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</si>
  <si>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</si>
  <si>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</si>
  <si>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</si>
  <si>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</si>
  <si>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</si>
  <si>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</si>
  <si>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</si>
  <si>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</si>
  <si>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</si>
  <si>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</si>
  <si>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</si>
  <si>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</si>
  <si>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</si>
  <si>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</si>
  <si>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</si>
  <si>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</si>
  <si>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</si>
  <si>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</si>
  <si>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</si>
  <si>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</si>
  <si>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</si>
  <si>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</si>
  <si>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</si>
  <si>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</si>
  <si>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</si>
  <si>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</si>
  <si>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</si>
  <si>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</si>
  <si>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</si>
  <si>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</si>
  <si>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</si>
  <si>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</si>
  <si>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</si>
  <si>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</si>
  <si>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</si>
  <si>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</si>
  <si>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</si>
  <si>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</si>
  <si>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</si>
  <si>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</si>
  <si>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</si>
  <si>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</si>
  <si>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</si>
  <si>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</si>
  <si>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</si>
  <si>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</si>
  <si>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</si>
  <si>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</si>
  <si>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</si>
  <si>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</si>
  <si>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</si>
  <si>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</si>
  <si>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</si>
  <si>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</si>
  <si>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</si>
  <si>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</si>
  <si>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</si>
  <si>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</si>
  <si>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</si>
  <si>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</si>
  <si>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</si>
  <si>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</si>
  <si>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</si>
  <si>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</si>
  <si>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</si>
  <si>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</si>
  <si>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</si>
  <si>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</si>
  <si>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</si>
  <si>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</si>
  <si>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</si>
  <si>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</si>
  <si>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</si>
  <si>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</si>
  <si>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</si>
  <si>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</si>
  <si>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</si>
  <si>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</si>
  <si>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</si>
  <si>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</si>
  <si>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</si>
  <si>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</si>
  <si>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</si>
  <si>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</si>
  <si>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</si>
  <si>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</si>
  <si>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</si>
  <si>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</si>
  <si>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</si>
  <si>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</si>
  <si>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</si>
  <si>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</si>
  <si>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</si>
  <si>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</si>
  <si>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</si>
  <si>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</si>
  <si>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</si>
  <si>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</si>
  <si>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</si>
  <si>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</si>
  <si>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</si>
  <si>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</si>
  <si>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</si>
  <si>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</si>
  <si>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</si>
  <si>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</si>
  <si>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</si>
  <si>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</si>
  <si>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</si>
  <si>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</si>
  <si>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</si>
  <si>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</si>
  <si>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</si>
  <si>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</si>
  <si>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</si>
  <si>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</si>
  <si>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</si>
  <si>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</si>
  <si>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</si>
  <si>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</si>
  <si>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</si>
  <si>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</si>
  <si>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</si>
  <si>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</si>
  <si>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</si>
  <si>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</si>
  <si>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</si>
  <si>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</si>
  <si>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</si>
  <si>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</si>
  <si>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</si>
  <si>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</si>
  <si>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</si>
  <si>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</si>
  <si>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</si>
  <si>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</si>
  <si>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</si>
  <si>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</si>
  <si>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</si>
  <si>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</si>
  <si>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</si>
  <si>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</si>
  <si>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</si>
  <si>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</si>
  <si>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</si>
  <si>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</si>
  <si>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</si>
  <si>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</si>
  <si>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</si>
  <si>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</si>
  <si>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</si>
  <si>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</si>
  <si>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</si>
  <si>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</si>
  <si>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</si>
  <si>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</si>
  <si>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</si>
  <si>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</si>
  <si>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</si>
  <si>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</si>
  <si>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</si>
  <si>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</si>
  <si>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</si>
  <si>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</si>
  <si>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</si>
  <si>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</si>
  <si>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</si>
  <si>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</si>
  <si>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</si>
  <si>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</si>
  <si>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</si>
  <si>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</si>
  <si>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</si>
  <si>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</si>
  <si>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</si>
  <si>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</si>
  <si>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</si>
  <si>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</si>
  <si>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</si>
  <si>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</si>
  <si>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</si>
  <si>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</si>
  <si>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</si>
  <si>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</si>
  <si>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</si>
  <si>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</si>
  <si>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</si>
  <si>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</si>
  <si>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</si>
  <si>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</si>
  <si>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</si>
  <si>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</si>
  <si>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</si>
  <si>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</si>
  <si>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</si>
  <si>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</si>
  <si>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</si>
  <si>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</si>
  <si>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</si>
  <si>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</si>
  <si>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</si>
  <si>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</si>
  <si>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</si>
  <si>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</si>
  <si>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</si>
  <si>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</si>
  <si>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</si>
  <si>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</si>
  <si>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</si>
  <si>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</si>
  <si>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</si>
  <si>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</si>
  <si>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</si>
  <si>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</si>
  <si>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</si>
  <si>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</si>
  <si>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</si>
  <si>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</si>
  <si>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</si>
  <si>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</si>
  <si>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</si>
  <si>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</si>
  <si>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</si>
  <si>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</si>
  <si>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</si>
  <si>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</si>
  <si>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</si>
  <si>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</si>
  <si>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</si>
  <si>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</si>
  <si>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</si>
  <si>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</si>
  <si>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</si>
  <si>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</si>
  <si>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</si>
  <si>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</si>
  <si>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</si>
  <si>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</si>
  <si>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</si>
  <si>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</si>
  <si>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</si>
  <si>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</si>
  <si>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</si>
  <si>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</si>
  <si>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</si>
  <si>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</si>
  <si>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</si>
  <si>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</si>
  <si>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</si>
  <si>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</si>
  <si>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</si>
  <si>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</si>
  <si>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</si>
  <si>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</si>
  <si>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</si>
  <si>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</si>
  <si>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</si>
  <si>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</si>
  <si>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</si>
  <si>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</si>
  <si>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</si>
  <si>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</si>
  <si>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</si>
  <si>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</si>
  <si>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</si>
  <si>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</si>
  <si>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</si>
  <si>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</si>
  <si>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工业项目</t>
  </si>
  <si>
    <t>无</t>
  </si>
  <si>
    <t>否</t>
  </si>
  <si>
    <t>现房</t>
  </si>
  <si>
    <t>通路</t>
  </si>
  <si>
    <t>通电</t>
  </si>
  <si>
    <t>通讯</t>
  </si>
  <si>
    <t>通上水</t>
  </si>
  <si>
    <t>通下水</t>
  </si>
  <si>
    <t>地上</t>
  </si>
  <si>
    <t>工业</t>
    <phoneticPr fontId="7" type="noConversion"/>
  </si>
  <si>
    <t>成新度</t>
  </si>
  <si>
    <t>收益法</t>
  </si>
  <si>
    <t>利息：取LPR加浮动点数</t>
  </si>
  <si>
    <t>押一</t>
  </si>
  <si>
    <t>按租金收入计税</t>
  </si>
  <si>
    <t>钢</t>
  </si>
  <si>
    <t>生产用房</t>
  </si>
  <si>
    <t>未包含在土地购买价格中</t>
  </si>
  <si>
    <t>全部缴纳</t>
  </si>
  <si>
    <t>已包含在土地取得成本中</t>
  </si>
  <si>
    <t>成本法</t>
  </si>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</sst>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2" tint="-9.9978637043366805E-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20" borderId="24" xfId="10" applyFont="1" applyFill="1" applyBorder="1" applyAlignment="1" applyProtection="1">
      <alignment horizontal="left" vertical="center"/>
    </xf>
    <xf numFmtId="0" fontId="48" fillId="20" borderId="24" xfId="10" applyFont="1" applyFill="1" applyBorder="1" applyAlignment="1" applyProtection="1">
      <alignment horizontal="left" vertical="center"/>
    </xf>
    <xf numFmtId="0" fontId="49" fillId="20" borderId="0" xfId="0" applyFont="1" applyFill="1" applyAlignment="1" applyProtection="1">
      <alignment horizontal="left" vertical="center"/>
      <protection locked="0"/>
    </xf>
    <xf numFmtId="0" fontId="131" fillId="20" borderId="1" xfId="10" applyFont="1" applyFill="1" applyBorder="1" applyAlignment="1" applyProtection="1">
      <alignment vertical="center" wrapText="1"/>
    </xf>
    <xf numFmtId="176" fontId="49" fillId="0" borderId="1" xfId="1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181" fontId="46" fillId="0" borderId="1" xfId="10" applyNumberFormat="1" applyFont="1" applyFill="1" applyBorder="1" applyAlignment="1" applyProtection="1">
      <alignment horizontal="center" vertical="center"/>
      <protection locked="0"/>
    </xf>
    <xf numFmtId="181" fontId="103" fillId="0" borderId="1" xfId="10" applyNumberFormat="1" applyFont="1" applyFill="1" applyBorder="1" applyAlignment="1" applyProtection="1">
      <alignment horizontal="center" vertical="center"/>
      <protection locked="0"/>
    </xf>
    <xf numFmtId="0" fontId="46" fillId="0" borderId="23" xfId="10" applyFont="1" applyBorder="1" applyAlignment="1" applyProtection="1">
      <alignment vertical="center"/>
      <protection locked="0"/>
    </xf>
    <xf numFmtId="181" fontId="46" fillId="0" borderId="1" xfId="10" applyNumberFormat="1" applyFont="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638175</xdr:colOff>
      <xdr:row>37</xdr:row>
      <xdr:rowOff>126379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81975" cy="64700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34920;-&#22522;&#20934;&#22320;&#20215;&#31995;&#25968;&#20462;&#27491;-&#39034;&#20041;&#21452;&#20581;&#22609;&#26009;-&#29579;&#32043;&#29020;20220617-1349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859</v>
          </cell>
          <cell r="D33">
            <v>17477</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估价对象为北京市房地产，为所有。根据《国有土地使用证》[]，估价对象（分摊）出让国有建设用地使用权面积为17477平方米，建筑面积为8634.85平方米。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估价对象为北京市房地产,属开发建设的工业项目，该项目尚在开发建设中。根据《国有土地使用证》[]，估价对象（分摊）出让国有建设用地使用权面积为17477平方米，规划建筑面积为8634.85平方米。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2022年6月16日</v>
      </c>
    </row>
    <row r="13" spans="1:2" s="1318" customFormat="1">
      <c r="A13" s="1316" t="s">
        <v>954</v>
      </c>
      <c r="B13" s="1317" t="str">
        <f>'预评函-1'!A18</f>
        <v>本次估价的“房地产价值”是指在正常市场情况下，在价值时点2022年6月16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4384</v>
      </c>
    </row>
    <row r="21" spans="1:2" s="1318" customFormat="1">
      <c r="A21" s="1316" t="s">
        <v>962</v>
      </c>
      <c r="B21" s="1317">
        <f ca="1">'预评函-2'!D7</f>
        <v>5077</v>
      </c>
    </row>
    <row r="22" spans="1:2" s="1318" customFormat="1">
      <c r="A22" s="1316" t="s">
        <v>963</v>
      </c>
      <c r="B22" s="1317" t="str">
        <f ca="1">'预评函-2'!D6</f>
        <v>肆仟叁佰捌拾肆万元整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4384</v>
      </c>
    </row>
    <row r="31" spans="1:2" s="1318" customFormat="1">
      <c r="A31" s="1316" t="s">
        <v>1001</v>
      </c>
      <c r="B31" s="1317">
        <f ca="1">'预评函-2'!D15</f>
        <v>5077</v>
      </c>
    </row>
    <row r="32" spans="1:2" s="1318" customFormat="1">
      <c r="A32" s="1316" t="s">
        <v>968</v>
      </c>
      <c r="B32" s="1317" t="str">
        <f ca="1">'预评函-2'!D14</f>
        <v>肆仟叁佰捌拾肆万元整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8634.8499999999985</v>
      </c>
    </row>
    <row r="44" spans="1:2" s="1318" customFormat="1">
      <c r="A44" s="1316" t="s">
        <v>1000</v>
      </c>
      <c r="B44" s="1317" t="str">
        <f>'预评函-3'!C2</f>
        <v>(分摊)土地面积</v>
      </c>
    </row>
    <row r="45" spans="1:2" s="1318" customFormat="1">
      <c r="A45" s="1316" t="s">
        <v>972</v>
      </c>
      <c r="B45" s="1317">
        <f>'预评函-3'!C4</f>
        <v>17477</v>
      </c>
    </row>
    <row r="46" spans="1:2" s="1318" customFormat="1">
      <c r="A46" s="1316" t="s">
        <v>998</v>
      </c>
      <c r="B46" s="1317" t="str">
        <f>'预评函-3'!D2</f>
        <v>出让国有建设用地使用权价值</v>
      </c>
    </row>
    <row r="47" spans="1:2" s="1318" customFormat="1">
      <c r="A47" s="1316" t="s">
        <v>973</v>
      </c>
      <c r="B47" s="1317">
        <f ca="1">'预评函-3'!D4</f>
        <v>2363</v>
      </c>
    </row>
    <row r="48" spans="1:2" s="1318" customFormat="1">
      <c r="A48" s="1316" t="s">
        <v>974</v>
      </c>
      <c r="B48" s="1317">
        <f ca="1">'预评函-3'!E4</f>
        <v>2736</v>
      </c>
    </row>
    <row r="49" spans="1:2" s="1318" customFormat="1">
      <c r="A49" s="1316" t="s">
        <v>975</v>
      </c>
      <c r="B49" s="1317" t="str">
        <f ca="1">'预评函-3'!D5</f>
        <v>贰仟叁佰陆拾叁万元整</v>
      </c>
    </row>
    <row r="50" spans="1:2" s="1318" customFormat="1">
      <c r="A50" s="1316" t="s">
        <v>999</v>
      </c>
      <c r="B50" s="1317" t="str">
        <f>'预评函-3'!F2</f>
        <v>在建建筑物价值</v>
      </c>
    </row>
    <row r="51" spans="1:2" s="1318" customFormat="1">
      <c r="A51" s="1316" t="s">
        <v>976</v>
      </c>
      <c r="B51" s="1317">
        <f ca="1">'预评函-3'!F4</f>
        <v>2021</v>
      </c>
    </row>
    <row r="52" spans="1:2" s="1318" customFormat="1">
      <c r="A52" s="1316" t="s">
        <v>977</v>
      </c>
      <c r="B52" s="1317">
        <f ca="1">'预评函-3'!G4</f>
        <v>2341</v>
      </c>
    </row>
    <row r="53" spans="1:2" s="1318" customFormat="1">
      <c r="A53" s="1316" t="s">
        <v>1005</v>
      </c>
      <c r="B53" s="1317" t="str">
        <f ca="1">'预评函-3'!F5</f>
        <v>贰仟零贰拾壹万元整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3"/>
      <c r="B54" s="1690" t="s">
        <v>651</v>
      </c>
      <c r="C54" s="1687" t="s">
        <v>1008</v>
      </c>
    </row>
    <row r="55" spans="1:4">
      <c r="A55" s="3283"/>
      <c r="B55" s="1690" t="s">
        <v>652</v>
      </c>
      <c r="C55" s="1687" t="s">
        <v>1009</v>
      </c>
    </row>
    <row r="56" spans="1:4">
      <c r="A56" s="3283"/>
      <c r="B56" s="1690" t="s">
        <v>653</v>
      </c>
      <c r="C56" s="1687" t="s">
        <v>1013</v>
      </c>
    </row>
    <row r="57" spans="1:4">
      <c r="A57" s="328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F34" sqref="F3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4" t="str">
        <f>IF(B10="北京市","北京市",C10)&amp;F10&amp;IF(结果表!G1="在建","出让国有建设用地使用权及在建建筑物",IF(结果表!G1="土地","出让国有建设用地使用权",))&amp;B9&amp;"预评估"</f>
        <v>北京市房地产抵押价值预评估</v>
      </c>
      <c r="C1" s="3285"/>
      <c r="D1" s="3285"/>
      <c r="E1" s="3285"/>
      <c r="F1" s="3285"/>
      <c r="G1" s="3285"/>
      <c r="H1" s="3285"/>
      <c r="I1" s="3286"/>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44728</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3175</v>
      </c>
      <c r="C8" s="2564"/>
      <c r="D8" s="3287" t="s">
        <v>2678</v>
      </c>
      <c r="E8" s="2565" t="s">
        <v>3176</v>
      </c>
      <c r="F8" s="2566"/>
      <c r="G8" s="2840"/>
      <c r="H8" s="2840"/>
      <c r="I8" s="2840"/>
      <c r="J8" s="2615"/>
      <c r="K8" s="2790"/>
      <c r="L8" s="2789"/>
      <c r="M8" s="2789"/>
      <c r="N8" s="2615"/>
      <c r="O8" s="2626"/>
      <c r="P8" s="2615"/>
      <c r="Q8" s="2615"/>
      <c r="R8" s="2615"/>
    </row>
    <row r="9" spans="1:28" ht="13.5" thickBot="1">
      <c r="A9" s="2567" t="s">
        <v>2679</v>
      </c>
      <c r="B9" s="2568" t="s">
        <v>3176</v>
      </c>
      <c r="C9" s="2569"/>
      <c r="D9" s="3288"/>
      <c r="E9" s="2568"/>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3178</v>
      </c>
      <c r="C11" s="2577"/>
      <c r="D11" s="2578"/>
      <c r="E11" s="2544"/>
      <c r="F11" s="2544"/>
      <c r="G11" s="2544"/>
      <c r="H11" s="2544"/>
      <c r="I11" s="2544"/>
      <c r="J11" s="2615"/>
      <c r="K11" s="2792"/>
      <c r="L11" s="2789"/>
      <c r="M11" s="2789"/>
      <c r="N11" s="2615"/>
      <c r="O11" s="2626"/>
      <c r="P11" s="2615"/>
      <c r="Q11" s="2615"/>
      <c r="R11" s="2615"/>
    </row>
    <row r="12" spans="1:28">
      <c r="A12" s="2579" t="s">
        <v>2683</v>
      </c>
      <c r="B12" s="2576" t="s">
        <v>3179</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c r="G13" s="946"/>
      <c r="H13" s="946"/>
      <c r="I13" s="946">
        <v>56749</v>
      </c>
      <c r="J13" s="2615"/>
      <c r="K13" s="2792"/>
      <c r="L13" s="2789"/>
      <c r="M13" s="2789"/>
      <c r="N13" s="2615"/>
      <c r="O13" s="2626"/>
      <c r="P13" s="2615"/>
      <c r="Q13" s="2615"/>
      <c r="R13" s="2615"/>
    </row>
    <row r="14" spans="1:28">
      <c r="A14" s="1194"/>
      <c r="B14" s="2581"/>
      <c r="C14" s="2582" t="s">
        <v>2692</v>
      </c>
      <c r="D14" s="2583"/>
      <c r="E14" s="2583"/>
      <c r="F14" s="2583"/>
      <c r="G14" s="2583"/>
      <c r="H14" s="2583"/>
      <c r="I14" s="2583">
        <v>50</v>
      </c>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32.93</v>
      </c>
      <c r="J15" s="2615"/>
      <c r="K15" s="2794"/>
      <c r="L15" s="2627"/>
      <c r="M15" s="2627"/>
      <c r="N15" s="2685"/>
      <c r="O15" s="2627"/>
      <c r="P15" s="2685"/>
      <c r="Q15" s="2615"/>
      <c r="R15" s="2615"/>
    </row>
    <row r="16" spans="1:28">
      <c r="A16" s="2574" t="s">
        <v>2694</v>
      </c>
      <c r="B16" s="3294"/>
      <c r="C16" s="3295"/>
      <c r="D16" s="3296"/>
      <c r="E16" s="2589" t="s">
        <v>2695</v>
      </c>
      <c r="F16" s="3297"/>
      <c r="G16" s="3298"/>
      <c r="H16" s="3298"/>
      <c r="I16" s="3299"/>
      <c r="J16" s="2615"/>
      <c r="K16" s="2794"/>
      <c r="L16" s="2627"/>
      <c r="M16" s="2627"/>
      <c r="N16" s="2685"/>
      <c r="O16" s="2627"/>
      <c r="P16" s="2685"/>
      <c r="Q16" s="2615"/>
      <c r="R16" s="2615"/>
    </row>
    <row r="17" spans="1:28">
      <c r="A17" s="319" t="s">
        <v>2696</v>
      </c>
      <c r="B17" s="308" t="s">
        <v>2697</v>
      </c>
      <c r="C17" s="11">
        <f>'数据-汇总表'!E3</f>
        <v>8634.8499999999985</v>
      </c>
      <c r="D17" s="2496" t="s">
        <v>2698</v>
      </c>
      <c r="E17" s="3300" t="s">
        <v>2699</v>
      </c>
      <c r="F17" s="3301"/>
      <c r="G17" s="3301"/>
      <c r="H17" s="3301"/>
      <c r="I17" s="3302"/>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17477</v>
      </c>
      <c r="D18" s="1205" t="s">
        <v>2702</v>
      </c>
      <c r="E18" s="3303" t="s">
        <v>2703</v>
      </c>
      <c r="F18" s="3304"/>
      <c r="G18" s="3304"/>
      <c r="H18" s="3304"/>
      <c r="I18" s="3305"/>
      <c r="J18" s="2615"/>
      <c r="K18" s="2795"/>
      <c r="L18" s="2627"/>
      <c r="M18" s="2627"/>
      <c r="N18" s="2685"/>
      <c r="O18" s="2627"/>
      <c r="P18" s="2685"/>
      <c r="Q18" s="2615"/>
      <c r="R18" s="2615"/>
      <c r="S18" s="2615"/>
      <c r="T18" s="2615"/>
      <c r="U18" s="2615"/>
      <c r="V18" s="2615"/>
    </row>
    <row r="19" spans="1:28" ht="37.5" thickTop="1" thickBot="1">
      <c r="A19" s="333" t="s">
        <v>1500</v>
      </c>
      <c r="B19" s="313" t="s">
        <v>2704</v>
      </c>
      <c r="C19" s="1699" t="s">
        <v>3180</v>
      </c>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90" t="s">
        <v>2707</v>
      </c>
      <c r="C20" s="3291"/>
      <c r="D20" s="3292" t="s">
        <v>2708</v>
      </c>
      <c r="E20" s="3293"/>
      <c r="F20" s="2824" t="s">
        <v>1501</v>
      </c>
      <c r="G20" s="2841"/>
      <c r="H20" s="2841"/>
      <c r="I20" s="2841"/>
      <c r="J20" s="2615"/>
      <c r="K20" s="3289"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8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8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07" t="s">
        <v>2715</v>
      </c>
      <c r="B27" s="326" t="s">
        <v>2716</v>
      </c>
      <c r="C27" s="2592" t="s">
        <v>3181</v>
      </c>
      <c r="D27" s="2593"/>
      <c r="E27" s="2841"/>
      <c r="F27" s="2841"/>
      <c r="G27" s="2841"/>
      <c r="H27" s="2841"/>
      <c r="I27" s="2841"/>
      <c r="J27" s="2615"/>
      <c r="K27" s="2794"/>
      <c r="L27" s="2627"/>
      <c r="M27" s="2627"/>
      <c r="N27" s="2685"/>
      <c r="O27" s="2627"/>
      <c r="P27" s="2685"/>
      <c r="Q27" s="2615"/>
      <c r="R27" s="2615"/>
      <c r="S27" s="2615"/>
      <c r="T27" s="2615"/>
      <c r="U27" s="2615"/>
      <c r="V27" s="2615"/>
    </row>
    <row r="28" spans="1:28">
      <c r="A28" s="3307"/>
      <c r="B28" s="308" t="s">
        <v>2717</v>
      </c>
      <c r="C28" s="2594" t="s">
        <v>3182</v>
      </c>
      <c r="D28" s="2595"/>
      <c r="E28" s="2841"/>
      <c r="F28" s="2841"/>
      <c r="G28" s="2841"/>
      <c r="H28" s="2841"/>
      <c r="I28" s="2841"/>
      <c r="J28" s="2615"/>
      <c r="K28" s="2792"/>
      <c r="L28" s="2789"/>
      <c r="M28" s="2789"/>
      <c r="N28" s="2615"/>
      <c r="O28" s="2626"/>
      <c r="P28" s="2615"/>
      <c r="Q28" s="2615"/>
      <c r="R28" s="2615"/>
      <c r="S28" s="2615"/>
      <c r="T28" s="2615"/>
      <c r="U28" s="2615"/>
      <c r="V28" s="2615"/>
    </row>
    <row r="29" spans="1:28">
      <c r="A29" s="3307"/>
      <c r="B29" s="308" t="s">
        <v>2718</v>
      </c>
      <c r="C29" s="2596" t="s">
        <v>3183</v>
      </c>
      <c r="D29" s="2597"/>
      <c r="E29" s="2841"/>
      <c r="F29" s="2841"/>
      <c r="G29" s="2841"/>
      <c r="H29" s="2841"/>
      <c r="I29" s="2841"/>
      <c r="J29" s="2615"/>
      <c r="K29" s="2792"/>
      <c r="L29" s="2789"/>
      <c r="M29" s="2789"/>
      <c r="N29" s="2615"/>
      <c r="O29" s="2626"/>
      <c r="P29" s="2615"/>
      <c r="Q29" s="2615"/>
      <c r="R29" s="2615"/>
      <c r="S29" s="2615"/>
      <c r="T29" s="2615"/>
      <c r="U29" s="2615"/>
      <c r="V29" s="2615"/>
    </row>
    <row r="30" spans="1:28">
      <c r="A30" s="3308"/>
      <c r="B30" s="308" t="s">
        <v>2719</v>
      </c>
      <c r="C30" s="3309"/>
      <c r="D30" s="3310"/>
      <c r="E30" s="2841"/>
      <c r="F30" s="2841"/>
      <c r="G30" s="2841"/>
      <c r="H30" s="2841"/>
      <c r="I30" s="2841"/>
      <c r="J30" s="2615"/>
      <c r="K30" s="2792"/>
      <c r="L30" s="2789"/>
      <c r="M30" s="2789"/>
      <c r="N30" s="2615"/>
      <c r="O30" s="2626"/>
      <c r="P30" s="2615"/>
      <c r="Q30" s="2615"/>
      <c r="R30" s="2615"/>
      <c r="S30" s="2615"/>
      <c r="T30" s="2615"/>
      <c r="U30" s="2615"/>
      <c r="V30" s="2615"/>
    </row>
    <row r="31" spans="1:28">
      <c r="A31" s="3311" t="s">
        <v>2720</v>
      </c>
      <c r="B31" s="2598" t="s">
        <v>3184</v>
      </c>
      <c r="C31" s="2497" t="str">
        <f>IF(B31="现房","成新及维护状况正常否",IF(B31="在建","工程状态是否正常",IF(B31="土地","是否闲置","-")))</f>
        <v>成新及维护状况正常否</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12"/>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12"/>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t="s">
        <v>3185</v>
      </c>
      <c r="C34" s="2165" t="s">
        <v>3186</v>
      </c>
      <c r="D34" s="2165" t="s">
        <v>3187</v>
      </c>
      <c r="E34" s="2165" t="s">
        <v>3188</v>
      </c>
      <c r="F34" s="2165" t="s">
        <v>3189</v>
      </c>
      <c r="G34" s="2165"/>
      <c r="H34" s="2165"/>
      <c r="I34" s="2841"/>
      <c r="J34" s="2615"/>
      <c r="K34" s="2603">
        <f>COUNTIF(B34:H34,"——")</f>
        <v>0</v>
      </c>
      <c r="L34" s="329" t="s">
        <v>2722</v>
      </c>
      <c r="M34" s="329" t="s">
        <v>2723</v>
      </c>
      <c r="N34" s="329" t="s">
        <v>2724</v>
      </c>
      <c r="O34" s="329" t="s">
        <v>2725</v>
      </c>
      <c r="P34" s="329" t="s">
        <v>2726</v>
      </c>
      <c r="Q34" s="329" t="s">
        <v>2727</v>
      </c>
      <c r="R34" s="329" t="s">
        <v>2728</v>
      </c>
      <c r="S34" s="3306" t="s">
        <v>2729</v>
      </c>
      <c r="T34" s="2604" t="str">
        <f>NUMBERSTRING(7-K34,1)&amp;"通"</f>
        <v>七通</v>
      </c>
      <c r="U34" s="2615"/>
      <c r="V34" s="2615"/>
    </row>
    <row r="35" spans="1:30">
      <c r="A35" s="2605"/>
      <c r="B35" s="3313" t="s">
        <v>2730</v>
      </c>
      <c r="C35" s="3313"/>
      <c r="D35" s="3313"/>
      <c r="E35" s="3313"/>
      <c r="F35" s="673">
        <f>C10</f>
        <v>0</v>
      </c>
      <c r="G35" s="2841"/>
      <c r="H35" s="2841"/>
      <c r="I35" s="2841"/>
      <c r="J35" s="261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306"/>
      <c r="T35" s="335" t="str">
        <f>IF(T34="一通",L35,IF(T34="二通",M35,IF(T34="三通",N35,IF(T34="四通",O35,IF(T34="五通",P35,IF(T34="六通",Q35,R35))))))</f>
        <v>通路、通电、通讯、通上水、通下水、、</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7" sqref="H27"/>
    </sheetView>
  </sheetViews>
  <sheetFormatPr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9"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17477</v>
      </c>
      <c r="B3" s="14">
        <f>IF(C3="否",G5-AT5,G5)</f>
        <v>8634.8499999999985</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8634.8499999999985</v>
      </c>
      <c r="H5" s="16">
        <f t="shared" ref="H5:AT5" si="0">SUM(H13:H656)</f>
        <v>8634.8499999999985</v>
      </c>
      <c r="I5" s="16">
        <f t="shared" si="0"/>
        <v>8634.8499999999985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8634.8499999999985</v>
      </c>
      <c r="BA5" s="18">
        <f t="shared" si="1"/>
        <v>8634.8499999999985</v>
      </c>
      <c r="BB5" s="18">
        <f t="shared" si="1"/>
        <v>8634.8499999999985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17477</v>
      </c>
      <c r="F6" s="16" t="s">
        <v>1</v>
      </c>
      <c r="G6" s="16" t="s">
        <v>2</v>
      </c>
      <c r="H6" s="20">
        <f>SUMIF(I$12:AB$12,"总值",I6:AB6)</f>
        <v>17477</v>
      </c>
      <c r="I6" s="16">
        <f t="shared" ref="I6:AB6" si="2">ROUND($A$3*I5/$B$3,2)</f>
        <v>17477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17477</v>
      </c>
      <c r="AZ6" s="16" t="s">
        <v>3</v>
      </c>
      <c r="BA6" s="16">
        <f>ROUND($AY$6*BA5/$AZ$5,2)</f>
        <v>17477</v>
      </c>
      <c r="BB6" s="16">
        <f>ROUND($AY$6*BB5/$AZ$5,2)</f>
        <v>17477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3190</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v>1</v>
      </c>
      <c r="D13" s="1761" t="s">
        <v>3180</v>
      </c>
      <c r="E13" s="16">
        <f>IF($C$3="是",ROUND($A$3*G13/$B$3,2),ROUND($A$3*(G13-AT13)/$B$3,2))</f>
        <v>9066.86</v>
      </c>
      <c r="F13" s="32"/>
      <c r="G13" s="33">
        <f>H13+AC13+AT13</f>
        <v>4479.66</v>
      </c>
      <c r="H13" s="20">
        <f>SUMIF(I$12:AB$12,"总值",I13:AB13)</f>
        <v>4479.66</v>
      </c>
      <c r="I13" s="3235">
        <v>4479.66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1</v>
      </c>
      <c r="AY13" s="1484">
        <f>ROUND($AY$6*AZ13/$AZ$5,2)</f>
        <v>9066.86</v>
      </c>
      <c r="AZ13" s="16">
        <f>BA13+BL13</f>
        <v>4479.66</v>
      </c>
      <c r="BA13" s="16">
        <f>SUM(BB13:BK13)</f>
        <v>4479.66</v>
      </c>
      <c r="BB13" s="16">
        <f>IF($D13="是",I13-J13,0)</f>
        <v>4479.66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v>2</v>
      </c>
      <c r="D14" s="1761" t="s">
        <v>3180</v>
      </c>
      <c r="E14" s="16">
        <f>IF($C$3="是",ROUND($A$3*G14/$B$3,2),ROUND($A$3*(G14-AT14)/$B$3,2))</f>
        <v>8410.14</v>
      </c>
      <c r="F14" s="32"/>
      <c r="G14" s="33">
        <f>H14+AC14+AT14</f>
        <v>4155.1899999999996</v>
      </c>
      <c r="H14" s="20">
        <f>SUMIF(I$12:AB$12,"总值",I14:AB14)</f>
        <v>4155.1899999999996</v>
      </c>
      <c r="I14" s="3235">
        <v>4155.1899999999996</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2</v>
      </c>
      <c r="AY14" s="1484">
        <f>ROUND($AY$6*AZ14/$AZ$5,2)</f>
        <v>8410.14</v>
      </c>
      <c r="AZ14" s="16">
        <f>BA14+BL14</f>
        <v>4155.1899999999996</v>
      </c>
      <c r="BA14" s="16">
        <f>SUM(BB14:BK14)</f>
        <v>4155.1899999999996</v>
      </c>
      <c r="BB14" s="16">
        <f>IF($D14="是",I14-J14,0)</f>
        <v>4155.1899999999996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4" t="s">
        <v>0</v>
      </c>
      <c r="B1" s="3314" t="s">
        <v>4</v>
      </c>
      <c r="C1" s="3314" t="s">
        <v>5</v>
      </c>
      <c r="D1" s="3315" t="s">
        <v>53</v>
      </c>
      <c r="E1" s="3315" t="s">
        <v>54</v>
      </c>
      <c r="F1" s="3315"/>
      <c r="G1" s="3315"/>
      <c r="H1" s="3315"/>
      <c r="I1" s="3315"/>
      <c r="J1" s="3315"/>
      <c r="K1" s="3315"/>
      <c r="L1" s="3315"/>
      <c r="M1" s="3315"/>
    </row>
    <row r="2" spans="1:13" ht="27" customHeight="1">
      <c r="A2" s="3314"/>
      <c r="B2" s="3314"/>
      <c r="C2" s="3314"/>
      <c r="D2" s="3315"/>
      <c r="E2" s="3315" t="s">
        <v>37</v>
      </c>
      <c r="F2" s="3315" t="s">
        <v>38</v>
      </c>
      <c r="G2" s="3315"/>
      <c r="H2" s="3315"/>
      <c r="I2" s="3315"/>
      <c r="J2" s="3315" t="s">
        <v>39</v>
      </c>
      <c r="K2" s="3315"/>
      <c r="L2" s="3315"/>
      <c r="M2" s="3315"/>
    </row>
    <row r="3" spans="1:13" ht="28.5">
      <c r="A3" s="3314"/>
      <c r="B3" s="3314"/>
      <c r="C3" s="3314"/>
      <c r="D3" s="3315"/>
      <c r="E3" s="33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5" t="s">
        <v>55</v>
      </c>
      <c r="B9" s="3315"/>
      <c r="C9" s="33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4" sqref="M44"/>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5" t="s">
        <v>1576</v>
      </c>
      <c r="B2" s="3325"/>
      <c r="C2" s="3325"/>
      <c r="D2" s="885" t="s">
        <v>1552</v>
      </c>
      <c r="E2" s="1775" t="s">
        <v>1553</v>
      </c>
      <c r="F2" s="2836"/>
      <c r="G2" s="2827"/>
      <c r="H2" s="2828"/>
      <c r="I2" s="2499" t="s">
        <v>1577</v>
      </c>
      <c r="J2" s="2836"/>
      <c r="K2" s="2836"/>
      <c r="L2" s="2836"/>
      <c r="M2" s="2836"/>
      <c r="N2" s="2838"/>
      <c r="O2" s="2836"/>
      <c r="P2" s="2836"/>
    </row>
    <row r="3" spans="1:16" ht="15.75" thickBot="1">
      <c r="A3" s="3326" t="s">
        <v>1550</v>
      </c>
      <c r="B3" s="3326"/>
      <c r="C3" s="3326"/>
      <c r="D3" s="46">
        <f>'数据-基础表'!AY6</f>
        <v>17477</v>
      </c>
      <c r="E3" s="46">
        <f>'数据-基础表'!AZ5</f>
        <v>8634.8499999999985</v>
      </c>
      <c r="F3" s="2836"/>
      <c r="G3" s="1260"/>
      <c r="H3" s="1138" t="s">
        <v>1551</v>
      </c>
      <c r="I3" s="945">
        <f>ROUND('数据-基础表'!B3/'数据-基础表'!A3,2)</f>
        <v>0.49</v>
      </c>
      <c r="J3" s="2836"/>
      <c r="K3" s="2836"/>
      <c r="L3" s="2836"/>
      <c r="M3" s="2836"/>
      <c r="N3" s="2838"/>
      <c r="O3" s="2836"/>
      <c r="P3" s="2836"/>
    </row>
    <row r="4" spans="1:16" ht="15">
      <c r="A4" s="3327"/>
      <c r="B4" s="3328"/>
      <c r="C4" s="3329"/>
      <c r="D4" s="1777" t="s">
        <v>1552</v>
      </c>
      <c r="E4" s="1778" t="s">
        <v>1553</v>
      </c>
      <c r="F4" s="2836"/>
      <c r="G4" s="2829" t="s">
        <v>1578</v>
      </c>
      <c r="H4" s="1138" t="s">
        <v>1558</v>
      </c>
      <c r="I4" s="945">
        <f>ROUND(SUMIF('数据-基础表'!I9:AS9,"地上",'数据-基础表'!I5:AS5)/'数据-基础表'!A3,2)</f>
        <v>0.49</v>
      </c>
      <c r="J4" s="2836"/>
      <c r="K4" s="2836"/>
      <c r="L4" s="2836"/>
      <c r="M4" s="2836"/>
      <c r="N4" s="2838"/>
      <c r="O4" s="2836"/>
      <c r="P4" s="2836"/>
    </row>
    <row r="5" spans="1:16">
      <c r="A5" s="47" t="s">
        <v>1554</v>
      </c>
      <c r="B5" s="3330" t="s">
        <v>1555</v>
      </c>
      <c r="C5" s="3330"/>
      <c r="D5" s="48">
        <f>ROUND($D$3*E5/$E$3,2)</f>
        <v>0</v>
      </c>
      <c r="E5" s="49">
        <f>SUMIF('数据-基础表'!$11:$11,"住宅",'数据-基础表'!$5:$5)</f>
        <v>0</v>
      </c>
      <c r="F5" s="2836"/>
      <c r="G5" s="1260"/>
      <c r="H5" s="1138" t="s">
        <v>1551</v>
      </c>
      <c r="I5" s="945">
        <f>ROUND(E31/D31,2)</f>
        <v>0.49</v>
      </c>
      <c r="J5" s="2836"/>
      <c r="K5" s="2836"/>
      <c r="L5" s="2836"/>
      <c r="M5" s="2836"/>
      <c r="N5" s="2836"/>
      <c r="O5" s="2836"/>
      <c r="P5" s="2836"/>
    </row>
    <row r="6" spans="1:16" ht="15" thickBot="1">
      <c r="A6" s="1780"/>
      <c r="B6" s="3330" t="s">
        <v>1556</v>
      </c>
      <c r="C6" s="3330"/>
      <c r="D6" s="48">
        <f>ROUND($D$3*E6/$E$3,2)</f>
        <v>17477</v>
      </c>
      <c r="E6" s="49">
        <f>E3-E5</f>
        <v>8634.8499999999985</v>
      </c>
      <c r="F6" s="2836"/>
      <c r="G6" s="2830" t="s">
        <v>1557</v>
      </c>
      <c r="H6" s="1261" t="s">
        <v>1558</v>
      </c>
      <c r="I6" s="2831">
        <f>ROUND(F31/D31,2)</f>
        <v>0.49</v>
      </c>
      <c r="J6" s="2836"/>
      <c r="K6" s="2836"/>
      <c r="L6" s="2836"/>
      <c r="M6" s="2836"/>
      <c r="N6" s="2836"/>
      <c r="O6" s="2836"/>
      <c r="P6" s="2836"/>
    </row>
    <row r="7" spans="1:16" ht="15.75" thickBot="1">
      <c r="A7" s="3322"/>
      <c r="B7" s="3323"/>
      <c r="C7" s="3324"/>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17477</v>
      </c>
      <c r="E8" s="51">
        <f>SUMIF('数据-基础表'!BB10:BK10,"地上",'数据-基础表'!BB5:BK5)</f>
        <v>8634.8499999999985</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17477</v>
      </c>
      <c r="E16" s="53">
        <f>SUM(E8:E15)</f>
        <v>8634.8499999999985</v>
      </c>
      <c r="F16" s="2836"/>
      <c r="G16" s="2837"/>
      <c r="H16" s="1784" t="s">
        <v>1580</v>
      </c>
      <c r="I16" s="1785"/>
      <c r="J16" s="1254"/>
      <c r="K16" s="3319" t="s">
        <v>1580</v>
      </c>
      <c r="L16" s="3320"/>
      <c r="M16" s="3320"/>
      <c r="N16" s="3320"/>
      <c r="O16" s="3320"/>
      <c r="P16" s="3321"/>
    </row>
    <row r="17" spans="1:19" ht="15">
      <c r="A17" s="1786" t="s">
        <v>1581</v>
      </c>
      <c r="B17" s="1787" t="s">
        <v>1582</v>
      </c>
      <c r="C17" s="1788" t="s">
        <v>1583</v>
      </c>
      <c r="D17" s="1789" t="s">
        <v>1571</v>
      </c>
      <c r="E17" s="1790" t="s">
        <v>1572</v>
      </c>
      <c r="F17" s="1791"/>
      <c r="G17" s="1792"/>
      <c r="H17" s="1793" t="s">
        <v>1584</v>
      </c>
      <c r="I17" s="1794" t="s">
        <v>1569</v>
      </c>
      <c r="J17" s="1254"/>
      <c r="K17" s="3316" t="s">
        <v>1585</v>
      </c>
      <c r="L17" s="3317"/>
      <c r="M17" s="3318"/>
      <c r="N17" s="3316" t="s">
        <v>1586</v>
      </c>
      <c r="O17" s="3317"/>
      <c r="P17" s="331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6" t="s">
        <v>3191</v>
      </c>
      <c r="D19" s="48">
        <f>ROUND($D$3*E19/$E$3,2)</f>
        <v>17477</v>
      </c>
      <c r="E19" s="56">
        <f t="shared" ref="E19:E26" si="1">SUM(F19:G19)</f>
        <v>8634.8499999999985</v>
      </c>
      <c r="F19" s="2976">
        <f>'数据-基础表'!I5</f>
        <v>8634.8499999999985</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17477</v>
      </c>
      <c r="S19" s="1139">
        <f t="shared" si="5"/>
        <v>8634.8499999999985</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17477</v>
      </c>
      <c r="E27" s="1256">
        <f>IF(SUM(E19:E26)='数据-基础表'!BA5,SUM(E19:E26),IF(F27="地上面积有误","面积有误","地下面积有误"))</f>
        <v>8634.8499999999985</v>
      </c>
      <c r="F27" s="1255">
        <f>IF(SUM(F19:F26)=E8,SUM(F19:F26),"地上面积有误")</f>
        <v>8634.8499999999985</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17477</v>
      </c>
      <c r="S27" s="1138">
        <f>IF(SUM(S19:S26)=$E$3,SUM(S19:S26),SUM(S19:S26)&amp;"误差"&amp;ROUND(SUM(S19:S26)-E3,2))</f>
        <v>8634.8499999999985</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17477</v>
      </c>
      <c r="E31" s="685">
        <f>E27+E30</f>
        <v>8634.8499999999985</v>
      </c>
      <c r="F31" s="686">
        <f>F27+F30</f>
        <v>8634.8499999999985</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B38" sqref="B38"/>
    </sheetView>
  </sheetViews>
  <sheetFormatPr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9" style="1818"/>
    <col min="68" max="16384" width="9"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44728</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3192</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56749</v>
      </c>
      <c r="F6" s="68">
        <f>SUMIF(项目基本情况!D$12:I$12,C6,项目基本情况!D$15:I$15)</f>
        <v>32.93</v>
      </c>
      <c r="G6" s="69">
        <f>IF(ISERROR(ROUND(POWER(1+H6,D6-F6)*(POWER(1+H6,F6)-1)/(POWER(1+H6,D6)-1),3)),0,ROUND(POWER(1+H6,D6-F6)*(POWER(1+H6,F6)-1)/(POWER(1+H6,D6)-1),3))</f>
        <v>0.86099999999999999</v>
      </c>
      <c r="H6" s="3238">
        <v>4.4999999999999998E-2</v>
      </c>
      <c r="I6" s="3238">
        <v>0.05</v>
      </c>
      <c r="J6" s="3237">
        <v>8.5000000000000006E-2</v>
      </c>
      <c r="K6" s="1142">
        <f>SUMIF('数据-汇总表'!C$19:C$33,A6,'数据-汇总表'!E$19:E$33)</f>
        <v>8634.8499999999985</v>
      </c>
      <c r="L6" s="742">
        <v>1800</v>
      </c>
      <c r="M6" s="71">
        <f t="shared" ref="M6:M14" si="0">ROUND(K6*L6/10000,0)</f>
        <v>1554</v>
      </c>
      <c r="N6" s="740">
        <f>ROUND(1-(1-2%)*(2022-2004)/70,2)</f>
        <v>0.75</v>
      </c>
      <c r="O6" s="71" t="str">
        <f>IF($N$5="成新度","——",ROUND(M6*N6,0))</f>
        <v>——</v>
      </c>
      <c r="P6" s="72" t="str">
        <f>IF($N$5="成新度","——",M6-O6)</f>
        <v>——</v>
      </c>
      <c r="Q6" s="743">
        <v>0.05</v>
      </c>
      <c r="R6" s="73">
        <f ca="1">SUMIF('数据-汇总表'!C$19:C$33,A6,'数据-汇总表'!R$19:R$27)</f>
        <v>17477</v>
      </c>
      <c r="S6" s="54">
        <f>IF('数据-汇总表'!$I$17="按面积比例",SUMIF('数据-汇总表'!C$19:C$33,A6,'数据-汇总表'!K$19:K$33),SUMIF('数据-汇总表'!C$19:C$33,A6,'数据-汇总表'!N$19:N$33))</f>
        <v>0</v>
      </c>
      <c r="T6" s="1287">
        <f>ROUND($L$14*S6/10000,0)</f>
        <v>0</v>
      </c>
      <c r="U6" s="3239">
        <v>1.1000000000000001</v>
      </c>
      <c r="V6" s="3240">
        <v>2.5000000000000001E-2</v>
      </c>
      <c r="W6" s="3240">
        <v>0.1</v>
      </c>
      <c r="X6" s="1152"/>
      <c r="Y6" s="76">
        <f>N6</f>
        <v>0.75</v>
      </c>
      <c r="Z6" s="77"/>
      <c r="AA6" s="70"/>
      <c r="AB6" s="70"/>
      <c r="AC6" s="1152"/>
      <c r="AD6" s="78"/>
      <c r="AE6" s="1153">
        <f ca="1">IF(AN6="",0,SUMIF(INDIRECT("'"&amp;AN6&amp;"'"&amp;"!E:E"),$AE$5,INDIRECT("'"&amp;AN6&amp;"'"&amp;"!F:F")))</f>
        <v>32.93</v>
      </c>
      <c r="AF6" s="1483"/>
      <c r="AG6" s="143">
        <f>IF(AF6="",0,AE6-AF6)</f>
        <v>0</v>
      </c>
      <c r="AH6" s="79"/>
      <c r="AI6" s="81">
        <v>365</v>
      </c>
      <c r="AJ6" s="82"/>
      <c r="AK6" s="83">
        <v>1.0999999999999999E-2</v>
      </c>
      <c r="AL6" s="84">
        <v>1.5E-3</v>
      </c>
      <c r="AM6" s="85">
        <v>0.01</v>
      </c>
      <c r="AN6" s="1852" t="s">
        <v>3193</v>
      </c>
      <c r="AO6" s="55">
        <f ca="1">SUMIF(INDIRECT("'"&amp;AN6&amp;"'"&amp;"!A:A"),"总价",INDIRECT("'"&amp;AN6&amp;"'"&amp;"!B:B"))</f>
        <v>4996</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0.86099999999999999</v>
      </c>
      <c r="H16" s="95">
        <f>ROUND(SUMPRODUCT(H6:H13,K6:K13)/SUMPRODUCT((H6:H13&gt;0)*(K6:K13)),3)</f>
        <v>4.4999999999999998E-2</v>
      </c>
      <c r="I16" s="96"/>
      <c r="J16" s="96"/>
      <c r="K16" s="97">
        <f>SUM(K6:K15)</f>
        <v>8634.8499999999985</v>
      </c>
      <c r="L16" s="98">
        <f>ROUND(M16*10000/SUM(K6:K14),0)</f>
        <v>1800</v>
      </c>
      <c r="M16" s="98">
        <f>SUM(M6:M14)</f>
        <v>1554</v>
      </c>
      <c r="N16" s="99">
        <f>ROUND(SUMPRODUCT(M6:M14,N6:N14)/M16,3)</f>
        <v>0.75</v>
      </c>
      <c r="O16" s="98">
        <f>SUM(O6:O14)</f>
        <v>0</v>
      </c>
      <c r="P16" s="98">
        <f>SUM(P6:P14)</f>
        <v>0</v>
      </c>
      <c r="Q16" s="100">
        <f>ROUND(SUMPRODUCT(Q6:Q13,K6:K13)/SUMPRODUCT((Q6:Q13&gt;0)*(K6:K13)),2)</f>
        <v>0.05</v>
      </c>
      <c r="R16" s="1146">
        <f ca="1">SUM(R6:R13)</f>
        <v>17477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v>
      </c>
      <c r="C20" s="2981" t="s">
        <v>2804</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1</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2.5000000000000001E-2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3194</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31" t="s">
        <v>2787</v>
      </c>
      <c r="B1" s="3332"/>
      <c r="C1" s="3332"/>
      <c r="D1" s="3332"/>
      <c r="E1" s="3332"/>
      <c r="F1" s="3332"/>
      <c r="G1" s="3332"/>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8634.8499999999985</v>
      </c>
      <c r="C1" s="2865"/>
      <c r="D1" s="2865"/>
      <c r="E1" s="2865"/>
      <c r="F1" s="2865"/>
      <c r="G1" s="2866"/>
      <c r="H1" s="2867"/>
      <c r="I1" s="2867"/>
      <c r="J1" s="2867"/>
      <c r="K1" s="2867"/>
    </row>
    <row r="2" spans="1:11" ht="16.5">
      <c r="A2" s="2688" t="s">
        <v>1078</v>
      </c>
      <c r="B2" s="2688">
        <f>SUM(C14:C23)</f>
        <v>17477</v>
      </c>
      <c r="C2" s="2865"/>
      <c r="D2" s="2865"/>
      <c r="E2" s="2865"/>
      <c r="F2" s="2865"/>
      <c r="G2" s="2866"/>
      <c r="H2" s="2867"/>
      <c r="I2" s="2867"/>
      <c r="J2" s="2867"/>
      <c r="K2" s="2867"/>
    </row>
    <row r="3" spans="1:11" ht="16.5">
      <c r="A3" s="2688" t="s">
        <v>1087</v>
      </c>
      <c r="B3" s="2690">
        <f>项目基本情况!D3</f>
        <v>44728</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4384</v>
      </c>
      <c r="C5" s="2688">
        <f ca="1">ROUND(B5*10000/$B$1,0)</f>
        <v>5077</v>
      </c>
      <c r="D5" s="2688">
        <f ca="1">ROUND(B5*10000/$B$2,0)</f>
        <v>2508</v>
      </c>
      <c r="E5" s="2865"/>
      <c r="F5" s="2866"/>
      <c r="G5" s="2866"/>
      <c r="H5" s="2867"/>
      <c r="I5" s="2867"/>
      <c r="J5" s="2867"/>
      <c r="K5" s="2867"/>
    </row>
    <row r="6" spans="1:11" ht="16.5">
      <c r="A6" s="2688" t="s">
        <v>1081</v>
      </c>
      <c r="B6" s="2688">
        <f ca="1">SUM(G14:G23)</f>
        <v>4384</v>
      </c>
      <c r="C6" s="2688">
        <f ca="1">ROUND(B6*10000/$B$1,0)</f>
        <v>5077</v>
      </c>
      <c r="D6" s="2688">
        <f ca="1">ROUND(B6*10000/$B$2,0)</f>
        <v>2508</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8634.8499999999985</v>
      </c>
      <c r="C14" s="2694">
        <f>结果表!C118</f>
        <v>17477</v>
      </c>
      <c r="D14" s="2694">
        <f ca="1">结果表!H118</f>
        <v>4384</v>
      </c>
      <c r="E14" s="2694">
        <f ca="1">ROUND(D14*10000/B14,0)</f>
        <v>5077</v>
      </c>
      <c r="F14" s="2694">
        <f ca="1">ROUND(D14*10000/C14,0)</f>
        <v>2508</v>
      </c>
      <c r="G14" s="2694">
        <f ca="1">结果表!D122</f>
        <v>4384</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SheetLayoutView="100" zoomScalePageLayoutView="80" workbookViewId="0">
      <selection activeCell="H119" sqref="H119:I119"/>
    </sheetView>
  </sheetViews>
  <sheetFormatPr defaultRowHeight="21.75" customHeight="1"/>
  <cols>
    <col min="1" max="2" width="9" style="1890"/>
    <col min="3" max="4" width="12.625" style="1890" customWidth="1"/>
    <col min="5" max="9" width="12.625" style="1890"/>
    <col min="10" max="11" width="12.625" style="734" customWidth="1"/>
    <col min="12" max="12" width="12.625" style="734"/>
    <col min="13" max="13" width="14.125" style="734" bestFit="1" customWidth="1"/>
    <col min="14" max="26" width="9" style="734"/>
    <col min="27" max="35" width="9" style="1889"/>
    <col min="36" max="16384" width="9"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03" t="str">
        <f>项目基本情况!S2</f>
        <v>北京市房地产</v>
      </c>
      <c r="B2" s="3404"/>
      <c r="C2" s="3404"/>
      <c r="D2" s="3404"/>
      <c r="E2" s="3404"/>
      <c r="F2" s="3404"/>
      <c r="G2" s="3404"/>
      <c r="H2" s="3404"/>
      <c r="I2" s="3405"/>
    </row>
    <row r="3" spans="1:12" ht="12.75">
      <c r="A3" s="3407" t="s">
        <v>1709</v>
      </c>
      <c r="B3" s="3408"/>
      <c r="C3" s="3408"/>
      <c r="D3" s="3408"/>
      <c r="E3" s="3408"/>
      <c r="F3" s="3408"/>
      <c r="G3" s="3408"/>
      <c r="H3" s="3408"/>
      <c r="I3" s="3408"/>
    </row>
    <row r="4" spans="1:12" ht="14.25">
      <c r="A4" s="1891" t="s">
        <v>1710</v>
      </c>
      <c r="B4" s="1892" t="s">
        <v>1711</v>
      </c>
      <c r="C4" s="1893" t="s">
        <v>3202</v>
      </c>
      <c r="D4" s="1893" t="s">
        <v>3193</v>
      </c>
      <c r="E4" s="3412" t="s">
        <v>1712</v>
      </c>
      <c r="F4" s="3413"/>
      <c r="G4" s="3413"/>
      <c r="H4" s="3413"/>
      <c r="I4" s="341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8" t="s">
        <v>1713</v>
      </c>
      <c r="B5" s="3406">
        <v>25</v>
      </c>
      <c r="C5" s="3409"/>
      <c r="D5" s="3397"/>
      <c r="E5" s="136" t="s">
        <v>1714</v>
      </c>
      <c r="F5" s="1894"/>
      <c r="G5" s="1894"/>
      <c r="H5" s="1894"/>
      <c r="I5" s="1508"/>
    </row>
    <row r="6" spans="1:12" ht="12.75">
      <c r="A6" s="3348"/>
      <c r="B6" s="3406"/>
      <c r="C6" s="3411"/>
      <c r="D6" s="3397"/>
      <c r="E6" s="136" t="s">
        <v>1715</v>
      </c>
      <c r="F6" s="1894"/>
      <c r="G6" s="1894"/>
      <c r="H6" s="1894"/>
      <c r="I6" s="1508"/>
    </row>
    <row r="7" spans="1:12" ht="12.75">
      <c r="A7" s="3348"/>
      <c r="B7" s="3406"/>
      <c r="C7" s="3410"/>
      <c r="D7" s="3397"/>
      <c r="E7" s="136" t="s">
        <v>1716</v>
      </c>
      <c r="F7" s="1894"/>
      <c r="G7" s="1894"/>
      <c r="H7" s="1894"/>
      <c r="I7" s="1508"/>
    </row>
    <row r="8" spans="1:12" ht="12.75">
      <c r="A8" s="3348" t="s">
        <v>1717</v>
      </c>
      <c r="B8" s="3406">
        <v>15</v>
      </c>
      <c r="C8" s="3409"/>
      <c r="D8" s="3397"/>
      <c r="E8" s="136" t="s">
        <v>1718</v>
      </c>
      <c r="F8" s="1894"/>
      <c r="G8" s="1894"/>
      <c r="H8" s="1894"/>
      <c r="I8" s="1508"/>
    </row>
    <row r="9" spans="1:12" ht="12.75">
      <c r="A9" s="3348"/>
      <c r="B9" s="3406"/>
      <c r="C9" s="3410"/>
      <c r="D9" s="3397"/>
      <c r="E9" s="136" t="s">
        <v>1719</v>
      </c>
      <c r="F9" s="1894"/>
      <c r="G9" s="1894"/>
      <c r="H9" s="1894"/>
      <c r="I9" s="1508"/>
    </row>
    <row r="10" spans="1:12" ht="12.75">
      <c r="A10" s="3348" t="s">
        <v>1720</v>
      </c>
      <c r="B10" s="3406">
        <v>15</v>
      </c>
      <c r="C10" s="3409"/>
      <c r="D10" s="3397"/>
      <c r="E10" s="136" t="s">
        <v>1721</v>
      </c>
      <c r="F10" s="1894"/>
      <c r="G10" s="1894"/>
      <c r="H10" s="1894"/>
      <c r="I10" s="1508"/>
    </row>
    <row r="11" spans="1:12" ht="12.75">
      <c r="A11" s="3348"/>
      <c r="B11" s="3406"/>
      <c r="C11" s="3410"/>
      <c r="D11" s="3397"/>
      <c r="E11" s="136" t="s">
        <v>1722</v>
      </c>
      <c r="F11" s="1894"/>
      <c r="G11" s="1894"/>
      <c r="H11" s="1894"/>
      <c r="I11" s="1508"/>
    </row>
    <row r="12" spans="1:12" ht="12.75">
      <c r="A12" s="3348" t="s">
        <v>1723</v>
      </c>
      <c r="B12" s="3406">
        <v>15</v>
      </c>
      <c r="C12" s="3409"/>
      <c r="D12" s="3397"/>
      <c r="E12" s="136" t="s">
        <v>1724</v>
      </c>
      <c r="F12" s="1894"/>
      <c r="G12" s="1894"/>
      <c r="H12" s="1894"/>
      <c r="I12" s="1508"/>
    </row>
    <row r="13" spans="1:12" ht="12.75">
      <c r="A13" s="3348"/>
      <c r="B13" s="3406"/>
      <c r="C13" s="3410"/>
      <c r="D13" s="3397"/>
      <c r="E13" s="136" t="s">
        <v>1725</v>
      </c>
      <c r="F13" s="1894"/>
      <c r="G13" s="1894"/>
      <c r="H13" s="1894"/>
      <c r="I13" s="1508"/>
    </row>
    <row r="14" spans="1:12" ht="12.75">
      <c r="A14" s="3348" t="s">
        <v>1726</v>
      </c>
      <c r="B14" s="3406">
        <v>30</v>
      </c>
      <c r="C14" s="3409">
        <v>4</v>
      </c>
      <c r="D14" s="3397">
        <v>6</v>
      </c>
      <c r="E14" s="136" t="s">
        <v>1727</v>
      </c>
      <c r="F14" s="1894"/>
      <c r="G14" s="1894"/>
      <c r="H14" s="1894"/>
      <c r="I14" s="1508"/>
    </row>
    <row r="15" spans="1:12" ht="12.75">
      <c r="A15" s="3348"/>
      <c r="B15" s="3406"/>
      <c r="C15" s="3411"/>
      <c r="D15" s="3397"/>
      <c r="E15" s="136" t="s">
        <v>1728</v>
      </c>
      <c r="F15" s="1894"/>
      <c r="G15" s="1894"/>
      <c r="H15" s="1894"/>
      <c r="I15" s="1508"/>
    </row>
    <row r="16" spans="1:12" ht="12.75">
      <c r="A16" s="3348"/>
      <c r="B16" s="3406"/>
      <c r="C16" s="3410"/>
      <c r="D16" s="3397"/>
      <c r="E16" s="136" t="s">
        <v>1729</v>
      </c>
      <c r="F16" s="1894"/>
      <c r="G16" s="1894"/>
      <c r="H16" s="1894"/>
      <c r="I16" s="1508"/>
    </row>
    <row r="17" spans="1:36" ht="15">
      <c r="A17" s="1895" t="s">
        <v>1730</v>
      </c>
      <c r="B17" s="60"/>
      <c r="C17" s="137">
        <f>SUM(C5:C16)</f>
        <v>4</v>
      </c>
      <c r="D17" s="137">
        <f>SUM(D5:D16)</f>
        <v>6</v>
      </c>
      <c r="E17" s="134"/>
      <c r="F17" s="134"/>
      <c r="G17" s="134"/>
      <c r="H17" s="134"/>
      <c r="I17" s="134"/>
      <c r="K17" s="308"/>
      <c r="L17" s="308" t="s">
        <v>1731</v>
      </c>
      <c r="M17" s="308" t="s">
        <v>1732</v>
      </c>
    </row>
    <row r="18" spans="1:36" ht="31.9" customHeight="1" thickBot="1">
      <c r="A18" s="1896" t="s">
        <v>1733</v>
      </c>
      <c r="B18" s="1897"/>
      <c r="C18" s="138">
        <f>ROUND(C17/SUM(C17:D17),2)</f>
        <v>0.4</v>
      </c>
      <c r="D18" s="138">
        <f>1-C18</f>
        <v>0.6</v>
      </c>
      <c r="E18" s="3428" t="s">
        <v>2632</v>
      </c>
      <c r="F18" s="3429"/>
      <c r="G18" s="3429"/>
      <c r="H18" s="3429"/>
      <c r="I18" s="3429"/>
      <c r="K18" s="308" t="s">
        <v>1734</v>
      </c>
      <c r="L18" s="308">
        <f>IF(C1="",'数据-汇总表'!E3,SUMIF(项目类型,C1,'数据-汇总表'!E17:E26)+SUMIF(项目类型,C1,'数据-汇总表'!I17:I26))</f>
        <v>8634.8499999999985</v>
      </c>
      <c r="M18" s="308">
        <f>IF(C1="",'数据-汇总表'!E3,SUMIF(项目类型,C1,'数据-汇总表'!E17:E26))</f>
        <v>8634.8499999999985</v>
      </c>
    </row>
    <row r="19" spans="1:36" ht="15">
      <c r="A19" s="1898" t="s">
        <v>1735</v>
      </c>
      <c r="B19" s="1899" t="s">
        <v>1736</v>
      </c>
      <c r="C19" s="139">
        <f ca="1">SUMIF(INDIRECT("'"&amp;C4&amp;"'"&amp;"!A:A"),结果表!B19,INDIRECT("'"&amp;C4&amp;"'"&amp;"!B:B"))</f>
        <v>3467</v>
      </c>
      <c r="D19" s="140">
        <f ca="1">SUMIF(INDIRECT("'"&amp;D4&amp;"'"&amp;"!A:A"),结果表!B19,INDIRECT("'"&amp;D4&amp;"'"&amp;"!B:B"))</f>
        <v>4996</v>
      </c>
      <c r="E19" s="1898" t="s">
        <v>1737</v>
      </c>
      <c r="F19" s="1899" t="s">
        <v>1736</v>
      </c>
      <c r="G19" s="141">
        <f ca="1">ROUND(C19*$C$18+D19*$D$18,0)</f>
        <v>4384</v>
      </c>
      <c r="H19" s="1900" t="s">
        <v>1738</v>
      </c>
      <c r="I19" s="134"/>
      <c r="K19" s="308" t="s">
        <v>1739</v>
      </c>
      <c r="L19" s="308">
        <f>IF(C1="",'数据-汇总表'!D3,SUMIF(项目类型,C1,'数据-汇总表'!D17:D26)+SUMIF(项目类型,C1,'数据-汇总表'!H17:H27))</f>
        <v>17477</v>
      </c>
      <c r="M19" s="308">
        <f>IF(C1="",'数据-汇总表'!D3,SUMIF(项目类型,C1,'数据-汇总表'!D17:D26))</f>
        <v>17477</v>
      </c>
    </row>
    <row r="20" spans="1:36" ht="15">
      <c r="A20" s="1901"/>
      <c r="B20" s="1138" t="s">
        <v>1740</v>
      </c>
      <c r="C20" s="142">
        <f ca="1">SUMIF(INDIRECT("'"&amp;C4&amp;"'"&amp;"!A:A"),结果表!B20,INDIRECT("'"&amp;C4&amp;"'"&amp;"!B:B"))</f>
        <v>4015</v>
      </c>
      <c r="D20" s="143">
        <f ca="1">SUMIF(INDIRECT("'"&amp;D4&amp;"'"&amp;"!A:A"),结果表!B20,INDIRECT("'"&amp;D4&amp;"'"&amp;"!B:B"))</f>
        <v>5786</v>
      </c>
      <c r="E20" s="1901"/>
      <c r="F20" s="1138" t="s">
        <v>1740</v>
      </c>
      <c r="G20" s="144">
        <f ca="1">ROUND(C20*$C$18+D20*$D$18,0)</f>
        <v>5078</v>
      </c>
      <c r="H20" s="898" t="s">
        <v>1741</v>
      </c>
      <c r="I20" s="134"/>
    </row>
    <row r="21" spans="1:36" ht="15" customHeight="1" thickBot="1">
      <c r="A21" s="918"/>
      <c r="B21" s="1902" t="s">
        <v>1742</v>
      </c>
      <c r="C21" s="728">
        <f ca="1">ROUND(C19*10000/L19,0)</f>
        <v>1984</v>
      </c>
      <c r="D21" s="729">
        <f ca="1">ROUND(D19*10000/L19,0)</f>
        <v>2859</v>
      </c>
      <c r="E21" s="918"/>
      <c r="F21" s="1902" t="s">
        <v>1742</v>
      </c>
      <c r="G21" s="145">
        <f ca="1">ROUND(G19*10000/L19,0)</f>
        <v>2508</v>
      </c>
      <c r="H21" s="1903" t="s">
        <v>1741</v>
      </c>
      <c r="I21" s="134"/>
    </row>
    <row r="22" spans="1:36" ht="15" thickBot="1">
      <c r="A22" s="1825" t="s">
        <v>1743</v>
      </c>
      <c r="B22" s="1904"/>
      <c r="C22" s="1905"/>
      <c r="D22" s="730">
        <f ca="1">IF(C19&lt;D19,D19/C19-1,C19/D19-1)</f>
        <v>0.4410152869916355</v>
      </c>
      <c r="E22" s="134"/>
      <c r="F22" s="134"/>
      <c r="G22" s="134"/>
      <c r="H22" s="134"/>
      <c r="I22" s="134"/>
    </row>
    <row r="23" spans="1:36" ht="13.5" thickBot="1">
      <c r="A23" s="1884"/>
      <c r="B23" s="1884"/>
      <c r="C23" s="1884"/>
      <c r="D23" s="1884"/>
      <c r="E23" s="134"/>
      <c r="F23" s="3233">
        <v>2020</v>
      </c>
      <c r="G23" s="134"/>
      <c r="H23" s="134"/>
      <c r="I23" s="134"/>
    </row>
    <row r="24" spans="1:36" ht="15">
      <c r="A24" s="3421" t="s">
        <v>1744</v>
      </c>
      <c r="B24" s="1899" t="s">
        <v>1736</v>
      </c>
      <c r="C24" s="141">
        <f>IF(B30=0,0,D30)</f>
        <v>0</v>
      </c>
      <c r="D24" s="1906"/>
      <c r="E24" s="134"/>
      <c r="F24" s="3234" t="s">
        <v>1877</v>
      </c>
      <c r="G24" s="3232">
        <v>4377</v>
      </c>
      <c r="H24" s="134"/>
      <c r="I24" s="134"/>
    </row>
    <row r="25" spans="1:36" ht="14.25">
      <c r="A25" s="3422"/>
      <c r="B25" s="1138" t="s">
        <v>1740</v>
      </c>
      <c r="C25" s="146">
        <f>IF(B30=0,0,C30)</f>
        <v>0</v>
      </c>
      <c r="D25" s="1907"/>
      <c r="E25" s="134"/>
      <c r="F25" s="3234" t="s">
        <v>1879</v>
      </c>
      <c r="G25" s="3231">
        <v>5069</v>
      </c>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4384</v>
      </c>
      <c r="D32" s="1912" t="s">
        <v>3204</v>
      </c>
      <c r="E32" s="134"/>
      <c r="F32" s="134"/>
      <c r="G32" s="134"/>
      <c r="H32" s="134"/>
      <c r="I32" s="134"/>
    </row>
    <row r="33" spans="1:15" ht="15">
      <c r="A33" s="875" t="s">
        <v>1751</v>
      </c>
      <c r="B33" s="1913"/>
      <c r="C33" s="1914" t="s">
        <v>3203</v>
      </c>
      <c r="D33" s="1915" t="s">
        <v>3202</v>
      </c>
      <c r="E33" s="1916" t="s">
        <v>1752</v>
      </c>
      <c r="F33" s="1917" t="str">
        <f>IF(D32="楼面单价","取值（单价）","取值（总价）")</f>
        <v>取值（总价）</v>
      </c>
      <c r="G33" s="134"/>
      <c r="H33" s="134"/>
      <c r="I33" s="134"/>
    </row>
    <row r="34" spans="1:15" ht="15">
      <c r="A34" s="1918"/>
      <c r="B34" s="1919" t="s">
        <v>1753</v>
      </c>
      <c r="C34" s="153">
        <f ca="1">IF(C33="自定义",F34,C32-C35)</f>
        <v>2363</v>
      </c>
      <c r="D34" s="951">
        <f ca="1">IF(C33="自定义",ROUND(C34/C32,3),IF(C33="收益比率",SUMIF(INDIRECT("'"&amp;D33&amp;"'"&amp;"!b:b"),"土地收益比率",INDIRECT("'"&amp;D33&amp;"'"&amp;"!c:c")),SUMIF(INDIRECT("'"&amp;D33&amp;"'"&amp;"!b:b"),"土地成本比率",INDIRECT("'"&amp;D33&amp;"'"&amp;"!c:c"))))</f>
        <v>0.53899999999999992</v>
      </c>
      <c r="E34" s="1920" t="s">
        <v>1754</v>
      </c>
      <c r="F34" s="1451"/>
      <c r="G34" s="134"/>
      <c r="H34" s="134"/>
      <c r="I34" s="134"/>
    </row>
    <row r="35" spans="1:15" ht="15.75" thickBot="1">
      <c r="A35" s="1921"/>
      <c r="B35" s="1922" t="s">
        <v>1755</v>
      </c>
      <c r="C35" s="1285">
        <f ca="1">IF(C33="自定义",F35,ROUND(C32*D35,0))</f>
        <v>2021</v>
      </c>
      <c r="D35" s="1286">
        <f ca="1">IF(C33="自定义",ROUND(C35/C32,3),IF(C33="收益比率",SUMIF(INDIRECT("'"&amp;D33&amp;"'"&amp;"!b:b"),"建筑物收益比率",INDIRECT("'"&amp;D33&amp;"'"&amp;"!c:c")),SUMIF(INDIRECT("'"&amp;D33&amp;"'"&amp;"!b:b"),"建筑物成本比率",INDIRECT("'"&amp;D33&amp;"'"&amp;"!c:c"))))</f>
        <v>0.46100000000000002</v>
      </c>
      <c r="E35" s="1923" t="s">
        <v>1756</v>
      </c>
      <c r="F35" s="159"/>
      <c r="G35" s="134"/>
      <c r="H35" s="134"/>
      <c r="I35" s="134"/>
    </row>
    <row r="36" spans="1:15" ht="15.75" thickBot="1">
      <c r="A36" s="3398" t="s">
        <v>1757</v>
      </c>
      <c r="B36" s="1924" t="s">
        <v>1758</v>
      </c>
      <c r="C36" s="150"/>
      <c r="D36" s="1925"/>
      <c r="E36" s="1926"/>
      <c r="F36" s="1927"/>
      <c r="G36" s="134"/>
      <c r="H36" s="134"/>
      <c r="I36" s="134"/>
    </row>
    <row r="37" spans="1:15" ht="15.75" thickBot="1">
      <c r="A37" s="3399"/>
      <c r="B37" s="1811" t="s">
        <v>1759</v>
      </c>
      <c r="C37" s="152"/>
      <c r="D37" s="1254"/>
      <c r="E37" s="1254"/>
      <c r="F37" s="1927"/>
      <c r="G37" s="134"/>
      <c r="H37" s="134"/>
      <c r="I37" s="134"/>
    </row>
    <row r="38" spans="1:15" ht="15.75" thickBot="1">
      <c r="A38" s="3400"/>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18" t="s">
        <v>1771</v>
      </c>
      <c r="B45" s="3419"/>
      <c r="C45" s="3420"/>
      <c r="D45" s="160">
        <f ca="1">ROUND(H101*F45,0)</f>
        <v>4384</v>
      </c>
      <c r="E45" s="161" t="s">
        <v>1772</v>
      </c>
      <c r="F45" s="162">
        <v>1</v>
      </c>
      <c r="G45" s="163" t="s">
        <v>1773</v>
      </c>
      <c r="H45" s="134"/>
      <c r="I45" s="134"/>
      <c r="J45" s="3335" t="s">
        <v>1774</v>
      </c>
      <c r="K45" s="3335"/>
      <c r="L45" s="3335"/>
      <c r="M45" s="3335"/>
      <c r="N45" s="3335"/>
      <c r="O45" s="3335"/>
    </row>
    <row r="46" spans="1:15" ht="14.25" customHeight="1">
      <c r="A46" s="3415" t="s">
        <v>1775</v>
      </c>
      <c r="B46" s="3416"/>
      <c r="C46" s="3416"/>
      <c r="D46" s="3416"/>
      <c r="E46" s="3416"/>
      <c r="F46" s="3416"/>
      <c r="G46" s="3417"/>
      <c r="H46" s="1943"/>
      <c r="I46" s="164"/>
      <c r="J46" s="2699">
        <v>1</v>
      </c>
      <c r="K46" s="3336" t="s">
        <v>1776</v>
      </c>
      <c r="L46" s="3336"/>
      <c r="M46" s="3337"/>
      <c r="N46" s="3337"/>
      <c r="O46" s="3337"/>
    </row>
    <row r="47" spans="1:15" ht="12" customHeight="1">
      <c r="A47" s="165" t="s">
        <v>1777</v>
      </c>
      <c r="B47" s="166"/>
      <c r="C47" s="167"/>
      <c r="D47" s="1200" t="s">
        <v>1778</v>
      </c>
      <c r="E47" s="308" t="s">
        <v>1779</v>
      </c>
      <c r="F47" s="168" t="s">
        <v>1780</v>
      </c>
      <c r="G47" s="2722" t="s">
        <v>1781</v>
      </c>
      <c r="H47" s="2723"/>
      <c r="I47" s="164"/>
      <c r="J47" s="2699">
        <v>2</v>
      </c>
      <c r="K47" s="3336" t="s">
        <v>1782</v>
      </c>
      <c r="L47" s="3336"/>
      <c r="M47" s="3338">
        <f>'数据-取费表'!B2</f>
        <v>44728</v>
      </c>
      <c r="N47" s="3338"/>
      <c r="O47" s="3338"/>
    </row>
    <row r="48" spans="1:15" ht="25.5">
      <c r="A48" s="3401" t="s">
        <v>1783</v>
      </c>
      <c r="B48" s="3402"/>
      <c r="C48" s="3402"/>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36" t="s">
        <v>1785</v>
      </c>
      <c r="L48" s="3336"/>
      <c r="M48" s="3339">
        <f ca="1">H101</f>
        <v>4384</v>
      </c>
      <c r="N48" s="3339"/>
      <c r="O48" s="3339"/>
    </row>
    <row r="49" spans="1:35" ht="25.5" customHeight="1">
      <c r="A49" s="2507" t="s">
        <v>1786</v>
      </c>
      <c r="B49" s="3384" t="s">
        <v>1787</v>
      </c>
      <c r="C49" s="3384"/>
      <c r="D49" s="1726">
        <v>0</v>
      </c>
      <c r="E49" s="330" t="s">
        <v>1788</v>
      </c>
      <c r="F49" s="2600" t="s">
        <v>34</v>
      </c>
      <c r="G49" s="3367"/>
      <c r="H49" s="2479" t="s">
        <v>2635</v>
      </c>
      <c r="I49" s="2480"/>
      <c r="J49" s="2699">
        <v>4</v>
      </c>
      <c r="K49" s="3336" t="str">
        <f>IF(项目基本情况!E8="房地产抵押价值","房地产抵押价值","抵押担保权已注销时的房地产抵押价值")</f>
        <v>房地产抵押价值</v>
      </c>
      <c r="L49" s="3336"/>
      <c r="M49" s="3339">
        <f ca="1">IF(项目基本情况!E8="房地产抵押价值",H107,H109)</f>
        <v>4384</v>
      </c>
      <c r="N49" s="3339"/>
      <c r="O49" s="3339"/>
    </row>
    <row r="50" spans="1:35" ht="25.5" customHeight="1">
      <c r="A50" s="2727"/>
      <c r="B50" s="3384" t="s">
        <v>1789</v>
      </c>
      <c r="C50" s="3384"/>
      <c r="D50" s="2728"/>
      <c r="E50" s="338"/>
      <c r="F50" s="2600"/>
      <c r="G50" s="3368"/>
      <c r="H50" s="2481" t="s">
        <v>2636</v>
      </c>
      <c r="I50" s="2480"/>
      <c r="J50" s="3335" t="s">
        <v>1790</v>
      </c>
      <c r="K50" s="3335"/>
      <c r="L50" s="3335"/>
      <c r="M50" s="3335"/>
      <c r="N50" s="3335"/>
      <c r="O50" s="3335"/>
    </row>
    <row r="51" spans="1:35" ht="20.45" customHeight="1">
      <c r="A51" s="2729"/>
      <c r="B51" s="3384" t="s">
        <v>1791</v>
      </c>
      <c r="C51" s="3384"/>
      <c r="D51" s="1200"/>
      <c r="E51" s="333"/>
      <c r="F51" s="2600"/>
      <c r="G51" s="3369"/>
      <c r="H51" s="2481" t="s">
        <v>2637</v>
      </c>
      <c r="I51" s="2480"/>
      <c r="J51" s="2700" t="s">
        <v>1792</v>
      </c>
      <c r="K51" s="3336" t="s">
        <v>1793</v>
      </c>
      <c r="L51" s="3336"/>
      <c r="M51" s="2700" t="s">
        <v>1794</v>
      </c>
      <c r="N51" s="2700" t="s">
        <v>1795</v>
      </c>
      <c r="O51" s="2700" t="s">
        <v>1796</v>
      </c>
    </row>
    <row r="52" spans="1:35" ht="24" customHeight="1">
      <c r="A52" s="2509" t="s">
        <v>1797</v>
      </c>
      <c r="B52" s="3384" t="s">
        <v>1798</v>
      </c>
      <c r="C52" s="3384"/>
      <c r="D52" s="1200">
        <f ca="1">ROUND(D45*'数据-取费表'!B41/(1+'数据-取费表'!C42),0)</f>
        <v>230</v>
      </c>
      <c r="E52" s="2508" t="s">
        <v>1799</v>
      </c>
      <c r="F52" s="2730">
        <f>'数据-取费表'!B41</f>
        <v>5.5000000000000007E-2</v>
      </c>
      <c r="G52" s="2731"/>
      <c r="H52" s="2720"/>
      <c r="I52" s="1944"/>
      <c r="J52" s="2699">
        <v>1</v>
      </c>
      <c r="K52" s="3361" t="s">
        <v>1800</v>
      </c>
      <c r="L52" s="3361"/>
      <c r="M52" s="2701" t="b">
        <f>D48</f>
        <v>0</v>
      </c>
      <c r="N52" s="2699" t="str">
        <f>E48</f>
        <v>销售额×税（费）率</v>
      </c>
      <c r="O52" s="2702">
        <f>F48</f>
        <v>5.5000000000000007E-2</v>
      </c>
    </row>
    <row r="53" spans="1:35" ht="12" customHeight="1">
      <c r="A53" s="2509" t="s">
        <v>1801</v>
      </c>
      <c r="B53" s="3385" t="s">
        <v>2792</v>
      </c>
      <c r="C53" s="3386"/>
      <c r="D53" s="1200">
        <f ca="1">ROUND(D45*'数据-取费表'!B41/(1+'数据-取费表'!C42),0)</f>
        <v>230</v>
      </c>
      <c r="E53" s="2508" t="s">
        <v>1799</v>
      </c>
      <c r="F53" s="2730">
        <f>'数据-取费表'!B41</f>
        <v>5.5000000000000007E-2</v>
      </c>
      <c r="G53" s="2731"/>
      <c r="H53" s="2720"/>
      <c r="I53" s="1944"/>
      <c r="J53" s="2699">
        <v>2</v>
      </c>
      <c r="K53" s="3361" t="s">
        <v>1802</v>
      </c>
      <c r="L53" s="3361"/>
      <c r="M53" s="2701">
        <f t="shared" ref="M53:O54" ca="1" si="0">D55</f>
        <v>2</v>
      </c>
      <c r="N53" s="2699" t="str">
        <f t="shared" si="0"/>
        <v>销售额×税（费）率</v>
      </c>
      <c r="O53" s="2702" t="str">
        <f t="shared" si="0"/>
        <v>免征</v>
      </c>
    </row>
    <row r="54" spans="1:35" ht="12" customHeight="1">
      <c r="A54" s="2509" t="s">
        <v>1803</v>
      </c>
      <c r="B54" s="3385" t="s">
        <v>2793</v>
      </c>
      <c r="C54" s="3386"/>
      <c r="D54" s="1200">
        <f ca="1">C68</f>
        <v>230</v>
      </c>
      <c r="E54" s="333" t="s">
        <v>1804</v>
      </c>
      <c r="F54" s="2730">
        <f>'数据-取费表'!B41</f>
        <v>5.5000000000000007E-2</v>
      </c>
      <c r="G54" s="2731"/>
      <c r="H54" s="2732"/>
      <c r="I54" s="1944"/>
      <c r="J54" s="2699">
        <v>3</v>
      </c>
      <c r="K54" s="3361" t="s">
        <v>1805</v>
      </c>
      <c r="L54" s="3361"/>
      <c r="M54" s="2701">
        <f t="shared" ca="1" si="0"/>
        <v>2485</v>
      </c>
      <c r="N54" s="2699" t="str">
        <f t="shared" si="0"/>
        <v>增值额×税（费）率</v>
      </c>
      <c r="O54" s="2703" t="str">
        <f t="shared" si="0"/>
        <v>免征</v>
      </c>
    </row>
    <row r="55" spans="1:35" ht="24" customHeight="1">
      <c r="A55" s="3424" t="s">
        <v>1806</v>
      </c>
      <c r="B55" s="3402"/>
      <c r="C55" s="3402"/>
      <c r="D55" s="2498">
        <f ca="1">IF(H55="个人住宅",0,ROUND(D45*I55,0))</f>
        <v>2</v>
      </c>
      <c r="E55" s="2508" t="s">
        <v>1807</v>
      </c>
      <c r="F55" s="2730" t="str">
        <f>IF(H55="正常",I55,"免征")</f>
        <v>免征</v>
      </c>
      <c r="G55" s="2731"/>
      <c r="H55" s="2726"/>
      <c r="I55" s="170">
        <f>'数据-取费表'!B49</f>
        <v>5.0000000000000001E-4</v>
      </c>
      <c r="J55" s="2699">
        <f>IF(H59="非个人房产","",4)</f>
        <v>4</v>
      </c>
      <c r="K55" s="3361" t="str">
        <f>IF(H59="非个人房产","——","个人所得税")</f>
        <v>个人所得税</v>
      </c>
      <c r="L55" s="3361"/>
      <c r="M55" s="2704">
        <f ca="1">D59</f>
        <v>42</v>
      </c>
      <c r="N55" s="2179" t="str">
        <f>E59</f>
        <v>差额计税</v>
      </c>
      <c r="O55" s="2705">
        <f>F59</f>
        <v>0.01</v>
      </c>
    </row>
    <row r="56" spans="1:35" ht="24.75">
      <c r="A56" s="3424" t="s">
        <v>1808</v>
      </c>
      <c r="B56" s="3402"/>
      <c r="C56" s="3402"/>
      <c r="D56" s="2498">
        <f ca="1">IF(H56="个人住宅",D57,D58)</f>
        <v>2485</v>
      </c>
      <c r="E56" s="2508" t="s">
        <v>1809</v>
      </c>
      <c r="F56" s="2730" t="str">
        <f>IF(H56="正常",F58,"免征")</f>
        <v>免征</v>
      </c>
      <c r="G56" s="2733" t="s">
        <v>1810</v>
      </c>
      <c r="H56" s="2734"/>
      <c r="I56" s="1945"/>
      <c r="J56" s="2699" t="str">
        <f>IF(项目基本情况!K6="上海银行",IF(J55="",4,J55+1),"")</f>
        <v/>
      </c>
      <c r="K56" s="3342" t="str">
        <f>IF(项目基本情况!K6="上海银行","其他处置费用","")</f>
        <v/>
      </c>
      <c r="L56" s="3343"/>
      <c r="M56" s="2701" t="str">
        <f>IF(项目基本情况!K6="上海银行",M69,"")</f>
        <v/>
      </c>
      <c r="N56" s="3342" t="str">
        <f>IF(项目基本情况!K6="上海银行","包含处置中涉及的律师、诉讼、拍卖、评估等费用","")</f>
        <v/>
      </c>
      <c r="O56" s="3345"/>
    </row>
    <row r="57" spans="1:35" ht="12.75">
      <c r="A57" s="2509" t="s">
        <v>1786</v>
      </c>
      <c r="B57" s="3385" t="s">
        <v>1811</v>
      </c>
      <c r="C57" s="3386"/>
      <c r="D57" s="1726">
        <v>0</v>
      </c>
      <c r="E57" s="330" t="s">
        <v>1788</v>
      </c>
      <c r="F57" s="308"/>
      <c r="G57" s="2731"/>
      <c r="H57" s="2735"/>
      <c r="I57" s="1945"/>
      <c r="J57" s="3361">
        <f>IF(AND(J55="",J56=""),4,IF(项目基本情况!K6="上海银行",结果表!J56+1,结果表!J55+1))</f>
        <v>5</v>
      </c>
      <c r="K57" s="3361" t="s">
        <v>1812</v>
      </c>
      <c r="L57" s="2706" t="s">
        <v>1813</v>
      </c>
      <c r="M57" s="2707"/>
      <c r="N57" s="2708">
        <f ca="1">SUMIF(M52:M56,"&lt;9e307")</f>
        <v>2529</v>
      </c>
      <c r="O57" s="2709"/>
      <c r="P57" s="2869">
        <f ca="1">N57/M49</f>
        <v>0.57687043795620441</v>
      </c>
    </row>
    <row r="58" spans="1:35" ht="24.75">
      <c r="A58" s="2509" t="s">
        <v>1797</v>
      </c>
      <c r="B58" s="3385" t="s">
        <v>1814</v>
      </c>
      <c r="C58" s="3384"/>
      <c r="D58" s="2498">
        <f ca="1">IF(H58="转让取得",C81,C97)</f>
        <v>2485</v>
      </c>
      <c r="E58" s="2508" t="s">
        <v>1809</v>
      </c>
      <c r="F58" s="308" t="s">
        <v>34</v>
      </c>
      <c r="G58" s="2731"/>
      <c r="H58" s="2734"/>
      <c r="I58" s="1945"/>
      <c r="J58" s="3361"/>
      <c r="K58" s="3361"/>
      <c r="L58" s="2706" t="s">
        <v>1815</v>
      </c>
      <c r="M58" s="2710"/>
      <c r="N58" s="2711" t="str">
        <f ca="1">NUMBERSTRING(INT(N57*10000),2)&amp;"元整"</f>
        <v>贰仟伍佰贰拾玖万元整</v>
      </c>
      <c r="O58" s="2712"/>
    </row>
    <row r="59" spans="1:35" ht="24.75" thickBot="1">
      <c r="A59" s="3365" t="s">
        <v>1816</v>
      </c>
      <c r="B59" s="3366"/>
      <c r="C59" s="3366"/>
      <c r="D59" s="2736">
        <f ca="1">IF(H59="非个人房产","——",IF(H59="个人住宅（满五唯一有凭证）",0,IF(H59="个人其他（无凭证）",ROUND(D45*F59,0),ROUND(C67*F59,0))))</f>
        <v>42</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63">
        <f>J57+1</f>
        <v>6</v>
      </c>
      <c r="K59" s="3361" t="s">
        <v>1817</v>
      </c>
      <c r="L59" s="2699" t="s">
        <v>1813</v>
      </c>
      <c r="M59" s="2713"/>
      <c r="N59" s="2714">
        <f ca="1">M49-N57</f>
        <v>1855</v>
      </c>
      <c r="O59" s="2715"/>
    </row>
    <row r="60" spans="1:35" ht="12" customHeight="1">
      <c r="A60" s="1946"/>
      <c r="B60" s="1884"/>
      <c r="C60" s="1884"/>
      <c r="D60" s="1884"/>
      <c r="E60" s="1714"/>
      <c r="F60" s="1945"/>
      <c r="G60" s="1945"/>
      <c r="H60" s="1947"/>
      <c r="I60" s="134"/>
      <c r="J60" s="3364"/>
      <c r="K60" s="3361"/>
      <c r="L60" s="2706" t="s">
        <v>1815</v>
      </c>
      <c r="M60" s="2710"/>
      <c r="N60" s="2711" t="str">
        <f ca="1">NUMBERSTRING(INT(N59*10000),2)&amp;"元整"</f>
        <v>壹仟捌佰伍拾伍万元整</v>
      </c>
      <c r="O60" s="2712"/>
    </row>
    <row r="61" spans="1:35" ht="13.5" thickBot="1">
      <c r="A61" s="3423" t="s">
        <v>1818</v>
      </c>
      <c r="B61" s="3423"/>
      <c r="C61" s="3423"/>
      <c r="D61" s="3423"/>
      <c r="E61" s="3423"/>
      <c r="F61" s="1945"/>
      <c r="G61" s="1945"/>
      <c r="H61" s="1947"/>
      <c r="I61" s="134"/>
      <c r="J61" s="2699">
        <f>J59+1</f>
        <v>7</v>
      </c>
      <c r="K61" s="3361" t="s">
        <v>1819</v>
      </c>
      <c r="L61" s="3361"/>
      <c r="M61" s="2716"/>
      <c r="N61" s="2717">
        <f ca="1">ROUND(N59*10000/'数据-汇总表'!E3,0)</f>
        <v>2148</v>
      </c>
      <c r="O61" s="2718"/>
    </row>
    <row r="62" spans="1:35" ht="12.75">
      <c r="A62" s="3380" t="s">
        <v>1820</v>
      </c>
      <c r="B62" s="3381"/>
      <c r="C62" s="2160"/>
      <c r="D62" s="2160" t="s">
        <v>1821</v>
      </c>
      <c r="E62" s="171" t="s">
        <v>1822</v>
      </c>
      <c r="F62" s="1945"/>
      <c r="G62" s="1945"/>
      <c r="H62" s="1947"/>
      <c r="I62" s="134"/>
    </row>
    <row r="63" spans="1:35" ht="12.75">
      <c r="A63" s="178" t="s">
        <v>594</v>
      </c>
      <c r="B63" s="172" t="s">
        <v>1823</v>
      </c>
      <c r="C63" s="2740">
        <f ca="1">ROUND((C64+C65)/(1+'数据-取费表'!C42),0)</f>
        <v>4175</v>
      </c>
      <c r="D63" s="172"/>
      <c r="E63" s="173"/>
      <c r="F63" s="1945"/>
      <c r="G63" s="1945"/>
      <c r="H63" s="1947"/>
      <c r="I63" s="134"/>
      <c r="J63" s="3344" t="s">
        <v>1824</v>
      </c>
      <c r="K63" s="1453" t="s">
        <v>1825</v>
      </c>
      <c r="L63" s="1453">
        <f ca="1">IF(M49&gt;10000,M49*0.5%,IF(AND(M49&gt;1000,M49&lt;=10000),M49*1%,IF(AND(M49&gt;100,M49&lt;=1000),M49*3%,IF(AND(M49&gt;10,M49&lt;=100),M49*5%,M49*8%))))</f>
        <v>43.84</v>
      </c>
      <c r="M63" s="308">
        <f ca="1">ROUND(L63,1)</f>
        <v>43.8</v>
      </c>
      <c r="N63" s="2719"/>
      <c r="Z63" s="1889"/>
      <c r="AI63" s="1890"/>
    </row>
    <row r="64" spans="1:35" ht="14.25" customHeight="1">
      <c r="A64" s="174" t="s">
        <v>589</v>
      </c>
      <c r="B64" s="175" t="s">
        <v>1826</v>
      </c>
      <c r="C64" s="2741">
        <f ca="1">D45</f>
        <v>4384</v>
      </c>
      <c r="D64" s="175" t="s">
        <v>32</v>
      </c>
      <c r="E64" s="177"/>
      <c r="F64" s="1945"/>
      <c r="G64" s="1945"/>
      <c r="H64" s="1947"/>
      <c r="I64" s="134"/>
      <c r="J64" s="3344"/>
      <c r="K64" s="1453" t="s">
        <v>1827</v>
      </c>
      <c r="L64" s="1453">
        <f ca="1">IF(M49&gt;2000,M49*0.5%,IF(AND(M49&gt;1000,M49&lt;=2000),M49*0.6%,IF(AND(M49&gt;500,M49&lt;=1000),M49*0.7%,IF(AND(M49&gt;200,M49&lt;=500),M49*0.8%,IF(AND(M49&gt;100,M49&lt;=200),M49*0.9%,IF(AND(M49&gt;50,M49&lt;=100),M49*1%,IF(AND(M49&gt;20,M49&lt;=50),M49*1.5%,IF(AND(M49&gt;10,M49&lt;=20),M49*2%,IF(AND(M49&gt;1,M49&lt;=10),M49*2.5%)))))))))</f>
        <v>21.92</v>
      </c>
      <c r="M64" s="308">
        <f t="shared" ref="M64:M65" ca="1" si="1">ROUND(L64,1)</f>
        <v>21.9</v>
      </c>
      <c r="N64" s="2720" t="s">
        <v>1828</v>
      </c>
      <c r="Z64" s="1889"/>
      <c r="AI64" s="1890"/>
    </row>
    <row r="65" spans="1:35" ht="14.25" customHeight="1">
      <c r="A65" s="174" t="s">
        <v>590</v>
      </c>
      <c r="B65" s="175" t="s">
        <v>1829</v>
      </c>
      <c r="C65" s="2742"/>
      <c r="D65" s="175"/>
      <c r="E65" s="177"/>
      <c r="F65" s="1945"/>
      <c r="G65" s="1945"/>
      <c r="H65" s="1947"/>
      <c r="I65" s="134"/>
      <c r="J65" s="3344"/>
      <c r="K65" s="1453" t="s">
        <v>1830</v>
      </c>
      <c r="L65" s="1453">
        <f ca="1">IF(M49&gt;1000,M49*0.1%,IF(AND(M49&gt;500,M49&lt;=1000),M49*0.5%,IF(AND(M49&gt;50,M49&lt;=500),M49*1%,IF(AND(M49&gt;1,M49&lt;=50),M49*1.5%))))</f>
        <v>4.3840000000000003</v>
      </c>
      <c r="M65" s="308">
        <f t="shared" ca="1" si="1"/>
        <v>4.4000000000000004</v>
      </c>
      <c r="N65" s="2720" t="s">
        <v>1828</v>
      </c>
      <c r="Z65" s="1889"/>
      <c r="AI65" s="1890"/>
    </row>
    <row r="66" spans="1:35" ht="14.25" customHeight="1">
      <c r="A66" s="178" t="s">
        <v>591</v>
      </c>
      <c r="B66" s="179" t="s">
        <v>1831</v>
      </c>
      <c r="C66" s="2743"/>
      <c r="D66" s="179" t="s">
        <v>32</v>
      </c>
      <c r="E66" s="1460" t="s">
        <v>1096</v>
      </c>
      <c r="F66" s="1945"/>
      <c r="G66" s="1945"/>
      <c r="H66" s="1947"/>
      <c r="I66" s="134"/>
      <c r="J66" s="3344"/>
      <c r="K66" s="1453" t="s">
        <v>1832</v>
      </c>
      <c r="L66" s="1453">
        <f ca="1">M49*0.5%</f>
        <v>21.92</v>
      </c>
      <c r="M66" s="308">
        <f ca="1">IF(L66&gt;0.5,0.5,ROUND(L66,0))</f>
        <v>0.5</v>
      </c>
      <c r="N66" s="2720" t="s">
        <v>1833</v>
      </c>
      <c r="Z66" s="1889"/>
      <c r="AI66" s="1890"/>
    </row>
    <row r="67" spans="1:35" ht="14.25" customHeight="1">
      <c r="A67" s="178" t="s">
        <v>592</v>
      </c>
      <c r="B67" s="179" t="s">
        <v>1834</v>
      </c>
      <c r="C67" s="2744">
        <f ca="1">C63-C66</f>
        <v>4175</v>
      </c>
      <c r="D67" s="175" t="s">
        <v>32</v>
      </c>
      <c r="E67" s="177"/>
      <c r="F67" s="1945"/>
      <c r="G67" s="1945"/>
      <c r="H67" s="1947"/>
      <c r="I67" s="134"/>
      <c r="J67" s="3344"/>
      <c r="K67" s="1453" t="s">
        <v>1835</v>
      </c>
      <c r="L67" s="1453">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19"/>
      <c r="Z67" s="1889"/>
      <c r="AI67" s="1890"/>
    </row>
    <row r="68" spans="1:35" ht="14.25" customHeight="1" thickBot="1">
      <c r="A68" s="181" t="s">
        <v>593</v>
      </c>
      <c r="B68" s="182" t="s">
        <v>1836</v>
      </c>
      <c r="C68" s="2745">
        <f ca="1">IF(C67&lt;=0,0,ROUND(C67*D68,0))</f>
        <v>230</v>
      </c>
      <c r="D68" s="2746">
        <f>'数据-取费表'!B41</f>
        <v>5.5000000000000007E-2</v>
      </c>
      <c r="E68" s="184"/>
      <c r="F68" s="1945"/>
      <c r="G68" s="1945"/>
      <c r="H68" s="1947"/>
      <c r="I68" s="134"/>
      <c r="J68" s="3344"/>
      <c r="K68" s="1453" t="s">
        <v>1837</v>
      </c>
      <c r="L68" s="1453">
        <f ca="1">IF(M49&gt;10000,M49*0.5%,IF(AND(M49&gt;5000,M49&lt;=10000),M49*1%,IF(AND(M49&gt;1000,M49&lt;=5000),M49*2%,IF(AND(M49&gt;200,M49&lt;=1000),M49*3%,M49*5%))))</f>
        <v>87.68</v>
      </c>
      <c r="M68" s="308">
        <f ca="1">ROUND(L68,1)</f>
        <v>87.7</v>
      </c>
      <c r="N68" s="2719"/>
      <c r="Z68" s="1889"/>
      <c r="AI68" s="1890"/>
    </row>
    <row r="69" spans="1:35" s="1909" customFormat="1" ht="16.5" customHeight="1">
      <c r="A69" s="1948"/>
      <c r="B69" s="1949"/>
      <c r="C69" s="1950"/>
      <c r="D69" s="1951"/>
      <c r="E69" s="1952"/>
      <c r="F69" s="1714"/>
      <c r="G69" s="1714"/>
      <c r="H69" s="1713"/>
      <c r="I69" s="1884"/>
      <c r="J69" s="3344"/>
      <c r="K69" s="1453" t="s">
        <v>1838</v>
      </c>
      <c r="L69" s="1453"/>
      <c r="M69" s="308">
        <f ca="1">ROUND(SUM(M63:M68),0)</f>
        <v>161</v>
      </c>
      <c r="N69" s="2721">
        <f ca="1">M69/M49</f>
        <v>3.6724452554744526E-2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8" t="s">
        <v>1839</v>
      </c>
      <c r="B70" s="3389"/>
      <c r="C70" s="3389"/>
      <c r="D70" s="3389"/>
      <c r="E70" s="3389"/>
      <c r="F70" s="3389"/>
      <c r="G70" s="3389"/>
      <c r="H70" s="3389"/>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80" t="s">
        <v>1820</v>
      </c>
      <c r="B71" s="3381"/>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4175</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24">
      <c r="A73" s="178" t="s">
        <v>591</v>
      </c>
      <c r="B73" s="168" t="s">
        <v>1841</v>
      </c>
      <c r="C73" s="2744">
        <f ca="1">C74+C78</f>
        <v>21</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85" t="s">
        <v>1847</v>
      </c>
      <c r="F76" s="3384"/>
      <c r="G76" s="3384"/>
      <c r="H76" s="3387"/>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21</v>
      </c>
      <c r="D78" s="2753">
        <f>'数据-取费表'!B43</f>
        <v>5.000000000000001E-3</v>
      </c>
      <c r="E78" s="3377" t="s">
        <v>1851</v>
      </c>
      <c r="F78" s="3378"/>
      <c r="G78" s="3378"/>
      <c r="H78" s="3379"/>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4154</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36">
      <c r="A80" s="178" t="s">
        <v>599</v>
      </c>
      <c r="B80" s="179" t="s">
        <v>1853</v>
      </c>
      <c r="C80" s="2754">
        <f ca="1">IF(C79&lt;=0,0,C79/C73)</f>
        <v>197.8095238095238</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2485</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8" t="s">
        <v>1855</v>
      </c>
      <c r="B83" s="3389"/>
      <c r="C83" s="3389"/>
      <c r="D83" s="3389"/>
      <c r="E83" s="3389"/>
      <c r="F83" s="3389"/>
      <c r="G83" s="3389"/>
      <c r="H83" s="3389"/>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80" t="s">
        <v>1820</v>
      </c>
      <c r="B84" s="3381"/>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4175</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24">
      <c r="A86" s="178" t="s">
        <v>591</v>
      </c>
      <c r="B86" s="168" t="s">
        <v>1841</v>
      </c>
      <c r="C86" s="2744">
        <f ca="1">IF(H88="仅含出让金",C87+C90+C91+C92+C93+C94,C87+C91+C92+C93+C94)</f>
        <v>21</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24">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24">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346" t="s">
        <v>2630</v>
      </c>
      <c r="H90" s="3347"/>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77" t="s">
        <v>1864</v>
      </c>
      <c r="F91" s="3378"/>
      <c r="G91" s="3378"/>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77" t="s">
        <v>1867</v>
      </c>
      <c r="F92" s="3378"/>
      <c r="G92" s="3378"/>
      <c r="H92" s="3379"/>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21</v>
      </c>
      <c r="D93" s="2753">
        <f>'数据-取费表'!B43</f>
        <v>5.000000000000001E-3</v>
      </c>
      <c r="E93" s="3377" t="s">
        <v>1851</v>
      </c>
      <c r="F93" s="3378"/>
      <c r="G93" s="3378"/>
      <c r="H93" s="3379"/>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25" t="s">
        <v>1871</v>
      </c>
      <c r="F94" s="3426"/>
      <c r="G94" s="3426"/>
      <c r="H94" s="3427"/>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4154</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36">
      <c r="A96" s="178" t="s">
        <v>599</v>
      </c>
      <c r="B96" s="179" t="s">
        <v>1853</v>
      </c>
      <c r="C96" s="2754">
        <f ca="1">IF(C95&lt;=0,0,C95/C86)</f>
        <v>197.8095238095238</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2485</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7" t="s">
        <v>1873</v>
      </c>
      <c r="B100" s="3328"/>
      <c r="C100" s="3328"/>
      <c r="D100" s="3362"/>
      <c r="E100" s="3328" t="s">
        <v>1874</v>
      </c>
      <c r="F100" s="3328"/>
      <c r="G100" s="3328"/>
      <c r="H100" s="3362"/>
      <c r="I100" s="134"/>
    </row>
    <row r="101" spans="1:35" ht="18.75" customHeight="1">
      <c r="A101" s="3370" t="s">
        <v>1875</v>
      </c>
      <c r="B101" s="3371"/>
      <c r="C101" s="2761" t="str">
        <f>C4</f>
        <v>成本法</v>
      </c>
      <c r="D101" s="2762" t="str">
        <f>D4</f>
        <v>收益法</v>
      </c>
      <c r="E101" s="3340" t="s">
        <v>1876</v>
      </c>
      <c r="F101" s="3341"/>
      <c r="G101" s="1964" t="s">
        <v>1877</v>
      </c>
      <c r="H101" s="2771">
        <f ca="1">H118</f>
        <v>4384</v>
      </c>
      <c r="I101" s="134"/>
    </row>
    <row r="102" spans="1:35" ht="18.75" customHeight="1">
      <c r="A102" s="3372" t="s">
        <v>1878</v>
      </c>
      <c r="B102" s="2760" t="s">
        <v>1877</v>
      </c>
      <c r="C102" s="2761">
        <f ca="1">C19</f>
        <v>3467</v>
      </c>
      <c r="D102" s="2762">
        <f ca="1">D19</f>
        <v>4996</v>
      </c>
      <c r="E102" s="3340"/>
      <c r="F102" s="3341"/>
      <c r="G102" s="1964" t="s">
        <v>1879</v>
      </c>
      <c r="H102" s="2731">
        <f ca="1">I118</f>
        <v>5077</v>
      </c>
      <c r="I102" s="134"/>
    </row>
    <row r="103" spans="1:35" ht="42.75" customHeight="1">
      <c r="A103" s="3372"/>
      <c r="B103" s="2760" t="s">
        <v>1879</v>
      </c>
      <c r="C103" s="2763">
        <f ca="1">C20</f>
        <v>4015</v>
      </c>
      <c r="D103" s="2764">
        <f ca="1">D20</f>
        <v>5786</v>
      </c>
      <c r="E103" s="3333" t="s">
        <v>1880</v>
      </c>
      <c r="F103" s="3334"/>
      <c r="G103" s="1965" t="s">
        <v>1881</v>
      </c>
      <c r="H103" s="2771">
        <f>IF(D36="正常操作",H104+H105+H106,H105+H106)</f>
        <v>0</v>
      </c>
      <c r="I103" s="134"/>
    </row>
    <row r="104" spans="1:35" ht="18.75" customHeight="1">
      <c r="A104" s="3372" t="s">
        <v>1882</v>
      </c>
      <c r="B104" s="2765" t="s">
        <v>1877</v>
      </c>
      <c r="C104" s="2766">
        <f ca="1">H118</f>
        <v>4384</v>
      </c>
      <c r="D104" s="2767"/>
      <c r="E104" s="1811" t="s">
        <v>1883</v>
      </c>
      <c r="F104" s="1802"/>
      <c r="G104" s="1965" t="s">
        <v>1881</v>
      </c>
      <c r="H104" s="2772">
        <f>IF(D36="同一抵押权人同一抵押物续贷",C36&amp;"（续贷，未扣减，详见特别提示）",C36)</f>
        <v>0</v>
      </c>
      <c r="I104" s="134"/>
    </row>
    <row r="105" spans="1:35" ht="18.75" customHeight="1" thickBot="1">
      <c r="A105" s="3382"/>
      <c r="B105" s="2768" t="s">
        <v>1879</v>
      </c>
      <c r="C105" s="2769">
        <f ca="1">I118</f>
        <v>5077</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73" t="str">
        <f>IF(项目基本情况!E8="已注销","——","3.房地产抵押价值")</f>
        <v>3.房地产抵押价值</v>
      </c>
      <c r="F107" s="3341"/>
      <c r="G107" s="1964" t="s">
        <v>1877</v>
      </c>
      <c r="H107" s="2771">
        <f ca="1">IF(E107="——","——",H101-H103)</f>
        <v>4384</v>
      </c>
      <c r="I107" s="134"/>
    </row>
    <row r="108" spans="1:35" ht="18.75" customHeight="1">
      <c r="A108" s="134"/>
      <c r="B108" s="134"/>
      <c r="C108" s="134"/>
      <c r="D108" s="134"/>
      <c r="E108" s="3373"/>
      <c r="F108" s="3341"/>
      <c r="G108" s="1964" t="s">
        <v>1879</v>
      </c>
      <c r="H108" s="2731">
        <f ca="1">ROUND(H107*10000/'数据-汇总表'!E3,0)</f>
        <v>5077</v>
      </c>
      <c r="I108" s="134"/>
    </row>
    <row r="109" spans="1:35" ht="18.75" customHeight="1">
      <c r="A109" s="134"/>
      <c r="B109" s="134"/>
      <c r="C109" s="134"/>
      <c r="D109" s="134"/>
      <c r="E109" s="3373" t="str">
        <f>IF(项目基本情况!E8="已注销及未注销","4.抵押担保权已注销时的房地产抵押价值",IF(项目基本情况!E8="已注销","3.抵押担保权已注销时的房地产抵押价值","——"))</f>
        <v>——</v>
      </c>
      <c r="F109" s="3341"/>
      <c r="G109" s="1964" t="s">
        <v>1877</v>
      </c>
      <c r="H109" s="2774" t="str">
        <f>IF(E109="——","——",H101-H105-H106)</f>
        <v>——</v>
      </c>
      <c r="I109" s="134"/>
    </row>
    <row r="110" spans="1:35" ht="18.75" customHeight="1">
      <c r="A110" s="134"/>
      <c r="B110" s="134"/>
      <c r="C110" s="134"/>
      <c r="D110" s="134"/>
      <c r="E110" s="3373"/>
      <c r="F110" s="3341"/>
      <c r="G110" s="1964" t="s">
        <v>1879</v>
      </c>
      <c r="H110" s="2731" t="str">
        <f>IF(H109="——","——",ROUND(H109*10000/'数据-汇总表'!E3,0))</f>
        <v>——</v>
      </c>
      <c r="I110" s="134"/>
    </row>
    <row r="111" spans="1:35" ht="18.75" customHeight="1">
      <c r="A111" s="134"/>
      <c r="B111" s="134"/>
      <c r="C111" s="134"/>
      <c r="D111" s="134"/>
      <c r="E111" s="3374" t="str">
        <f>IF(项目基本情况!E9="抵押净值",IF(OR(项目基本情况!E8="已注销",项目基本情况!E8="房地产抵押价值"),"4.抵押净值","5.抵押净值"),"——")</f>
        <v>——</v>
      </c>
      <c r="F111" s="3360"/>
      <c r="G111" s="1964" t="s">
        <v>1877</v>
      </c>
      <c r="H111" s="2771" t="str">
        <f>IF(E111="——","——",N59)</f>
        <v>——</v>
      </c>
      <c r="I111" s="134"/>
    </row>
    <row r="112" spans="1:35" ht="18.75" customHeight="1" thickBot="1">
      <c r="A112" s="134"/>
      <c r="B112" s="134"/>
      <c r="C112" s="134"/>
      <c r="D112" s="134"/>
      <c r="E112" s="3375"/>
      <c r="F112" s="3376"/>
      <c r="G112" s="1967" t="s">
        <v>1879</v>
      </c>
      <c r="H112" s="2775" t="str">
        <f>IF(E111="——","——",N61)</f>
        <v>——</v>
      </c>
      <c r="I112" s="134"/>
    </row>
    <row r="113" spans="1:27" ht="18.75" customHeight="1">
      <c r="A113" s="134"/>
      <c r="B113" s="134"/>
      <c r="C113" s="134"/>
      <c r="D113" s="134"/>
      <c r="E113" s="3383" t="s">
        <v>1885</v>
      </c>
      <c r="F113" s="3383"/>
      <c r="G113" s="3383"/>
      <c r="H113" s="3383"/>
      <c r="I113" s="134"/>
    </row>
    <row r="114" spans="1:27" ht="3.75" customHeight="1">
      <c r="A114" s="1884"/>
      <c r="B114" s="1884"/>
      <c r="C114" s="1884"/>
      <c r="D114" s="1884"/>
      <c r="E114" s="1946"/>
      <c r="F114" s="1946"/>
      <c r="G114" s="1946"/>
      <c r="H114" s="1946"/>
      <c r="I114" s="1884"/>
    </row>
    <row r="115" spans="1:27" ht="18.75" customHeight="1">
      <c r="A115" s="3394" t="s">
        <v>1887</v>
      </c>
      <c r="B115" s="3395"/>
      <c r="C115" s="3395"/>
      <c r="D115" s="3395"/>
      <c r="E115" s="3395"/>
      <c r="F115" s="3395"/>
      <c r="G115" s="3395"/>
      <c r="H115" s="3395"/>
      <c r="I115" s="3396"/>
    </row>
    <row r="116" spans="1:27" ht="27" customHeight="1">
      <c r="A116" s="3348" t="s">
        <v>1888</v>
      </c>
      <c r="B116" s="3352" t="s">
        <v>1889</v>
      </c>
      <c r="C116" s="3352" t="s">
        <v>1890</v>
      </c>
      <c r="D116" s="3358" t="s">
        <v>1891</v>
      </c>
      <c r="E116" s="3359"/>
      <c r="F116" s="3390" t="s">
        <v>1892</v>
      </c>
      <c r="G116" s="3390"/>
      <c r="H116" s="3348" t="s">
        <v>1893</v>
      </c>
      <c r="I116" s="3348"/>
    </row>
    <row r="117" spans="1:27" ht="18.75" customHeight="1">
      <c r="A117" s="3348"/>
      <c r="B117" s="3353"/>
      <c r="C117" s="3353"/>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8634.8499999999985</v>
      </c>
      <c r="C118" s="2503">
        <f>M19</f>
        <v>17477</v>
      </c>
      <c r="D118" s="2503">
        <f ca="1">ROUND(IF(D32="总价",C34,E118*B118/10000),0)</f>
        <v>2363</v>
      </c>
      <c r="E118" s="2503">
        <f ca="1">ROUND(IF(C33="自定义",IF(D32="楼面单价",C34,D118*10000/B118),I118-G118),0)</f>
        <v>2736</v>
      </c>
      <c r="F118" s="2503">
        <f ca="1">ROUND(IF(D32="总价",C35,G118*B118/10000),0)</f>
        <v>2021</v>
      </c>
      <c r="G118" s="2503">
        <f ca="1">ROUND(IF(D32="楼面单价",C35,F118*10000/B118),0)</f>
        <v>2341</v>
      </c>
      <c r="H118" s="2503">
        <f ca="1">ROUND(IF(D32="总价",C32,I118*B118/10000),0)</f>
        <v>4384</v>
      </c>
      <c r="I118" s="2503">
        <f ca="1">ROUND(IF(D32="楼面单价",C32,H118*10000/B118),0)</f>
        <v>5077</v>
      </c>
    </row>
    <row r="119" spans="1:27" ht="18.75" customHeight="1">
      <c r="A119" s="3348" t="s">
        <v>1897</v>
      </c>
      <c r="B119" s="3348"/>
      <c r="C119" s="3348"/>
      <c r="D119" s="3354" t="str">
        <f ca="1">NUMBERSTRING(INT(D118*10000),2)&amp;"元整"</f>
        <v>贰仟叁佰陆拾叁万元整</v>
      </c>
      <c r="E119" s="3355"/>
      <c r="F119" s="3354" t="str">
        <f ca="1">NUMBERSTRING(INT(F118*10000),2)&amp;"元整"</f>
        <v>贰仟零贰拾壹万元整</v>
      </c>
      <c r="G119" s="3355"/>
      <c r="H119" s="3354" t="str">
        <f ca="1">NUMBERSTRING(INT(H118*10000),2)&amp;"元整"</f>
        <v>肆仟叁佰捌拾肆万元整</v>
      </c>
      <c r="I119" s="3355"/>
    </row>
    <row r="120" spans="1:27" ht="18.75" customHeight="1">
      <c r="A120" s="3349" t="str">
        <f>IF(项目基本情况!B9="房地产市场价值","",MID(E103,3,LEN(E103)-2))</f>
        <v>估价师知悉的法定优先受偿款</v>
      </c>
      <c r="B120" s="3350"/>
      <c r="C120" s="3351"/>
      <c r="D120" s="3349">
        <f>H103</f>
        <v>0</v>
      </c>
      <c r="E120" s="3350"/>
      <c r="F120" s="3350"/>
      <c r="G120" s="3350"/>
      <c r="H120" s="3350"/>
      <c r="I120" s="3351"/>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91" t="s">
        <v>1897</v>
      </c>
      <c r="B121" s="3392"/>
      <c r="C121" s="3393"/>
      <c r="D121" s="3354" t="str">
        <f>IF(D120=0,"零元整",NUMBERSTRING(INT(D120*10000),2)&amp;"元整")</f>
        <v>零元整</v>
      </c>
      <c r="E121" s="3356"/>
      <c r="F121" s="3356"/>
      <c r="G121" s="3356"/>
      <c r="H121" s="3356"/>
      <c r="I121" s="3355"/>
      <c r="AA121" s="734"/>
    </row>
    <row r="122" spans="1:27" ht="18.75" customHeight="1">
      <c r="A122" s="3360" t="str">
        <f>IF(项目基本情况!B9="房地产市场价值","",MID(E107,3,LEN(E107)-2))</f>
        <v>房地产抵押价值</v>
      </c>
      <c r="B122" s="3360"/>
      <c r="C122" s="3360"/>
      <c r="D122" s="3349">
        <f ca="1">H107</f>
        <v>4384</v>
      </c>
      <c r="E122" s="3350"/>
      <c r="F122" s="3350"/>
      <c r="G122" s="3350"/>
      <c r="H122" s="3350"/>
      <c r="I122" s="3351"/>
      <c r="AA122" s="734"/>
    </row>
    <row r="123" spans="1:27" ht="18.75" customHeight="1">
      <c r="A123" s="3348" t="s">
        <v>1897</v>
      </c>
      <c r="B123" s="3348"/>
      <c r="C123" s="3348"/>
      <c r="D123" s="3354" t="str">
        <f ca="1">NUMBERSTRING(INT(D122*10000),2)&amp;"元整"</f>
        <v>肆仟叁佰捌拾肆万元整</v>
      </c>
      <c r="E123" s="3356"/>
      <c r="F123" s="3356"/>
      <c r="G123" s="3356"/>
      <c r="H123" s="3356"/>
      <c r="I123" s="3355"/>
      <c r="AA123" s="734"/>
    </row>
    <row r="124" spans="1:27" ht="18.75" customHeight="1">
      <c r="A124" s="3360" t="str">
        <f>IF(项目基本情况!B9="房地产市场价值","",MID(E109,3,LEN(E109)-2))</f>
        <v/>
      </c>
      <c r="B124" s="3360"/>
      <c r="C124" s="3360"/>
      <c r="D124" s="3349" t="str">
        <f>H109</f>
        <v>——</v>
      </c>
      <c r="E124" s="3350"/>
      <c r="F124" s="3350"/>
      <c r="G124" s="3350"/>
      <c r="H124" s="3350"/>
      <c r="I124" s="3351"/>
      <c r="AA124" s="734"/>
    </row>
    <row r="125" spans="1:27" ht="18.75" customHeight="1">
      <c r="A125" s="3348" t="s">
        <v>1897</v>
      </c>
      <c r="B125" s="3348"/>
      <c r="C125" s="3348"/>
      <c r="D125" s="3354" t="e">
        <f>NUMBERSTRING(INT(D124*10000),2)&amp;"元整"</f>
        <v>#VALUE!</v>
      </c>
      <c r="E125" s="3356"/>
      <c r="F125" s="3356"/>
      <c r="G125" s="3356"/>
      <c r="H125" s="3356"/>
      <c r="I125" s="3355"/>
      <c r="AA125" s="734"/>
    </row>
    <row r="126" spans="1:27" ht="18.75" customHeight="1">
      <c r="A126" s="3360" t="str">
        <f>IF(项目基本情况!B9="房地产市场价值","",MID(E111,3,LEN(E111)-2))</f>
        <v/>
      </c>
      <c r="B126" s="3360"/>
      <c r="C126" s="3360"/>
      <c r="D126" s="3349" t="str">
        <f>H111</f>
        <v>——</v>
      </c>
      <c r="E126" s="3350"/>
      <c r="F126" s="3350"/>
      <c r="G126" s="3350"/>
      <c r="H126" s="3350"/>
      <c r="I126" s="3351"/>
      <c r="AA126" s="734"/>
    </row>
    <row r="127" spans="1:27" ht="18.75" customHeight="1">
      <c r="A127" s="3348" t="s">
        <v>1897</v>
      </c>
      <c r="B127" s="3348"/>
      <c r="C127" s="3348"/>
      <c r="D127" s="3354" t="e">
        <f>NUMBERSTRING(INT(D126*10000),2)&amp;"元整"</f>
        <v>#VALUE!</v>
      </c>
      <c r="E127" s="3356"/>
      <c r="F127" s="3356"/>
      <c r="G127" s="3356"/>
      <c r="H127" s="3356"/>
      <c r="I127" s="3355"/>
      <c r="AA127" s="734"/>
    </row>
    <row r="128" spans="1:27" ht="21.75" customHeight="1">
      <c r="A128" s="3357" t="s">
        <v>1898</v>
      </c>
      <c r="B128" s="3357"/>
      <c r="C128" s="3357"/>
      <c r="D128" s="3357"/>
      <c r="E128" s="3357"/>
      <c r="F128" s="3357"/>
      <c r="G128" s="3357"/>
      <c r="H128" s="3357"/>
      <c r="I128" s="335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85" zoomScaleNormal="70" zoomScaleSheetLayoutView="85" workbookViewId="0">
      <selection activeCell="G29" sqref="G2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3467</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4015</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1547</v>
      </c>
      <c r="D5" s="217" t="s">
        <v>1914</v>
      </c>
      <c r="E5" s="218" t="s">
        <v>1915</v>
      </c>
      <c r="F5" s="218" t="s">
        <v>1916</v>
      </c>
      <c r="G5" s="219"/>
    </row>
    <row r="6" spans="1:9" s="220" customFormat="1" ht="13.5" customHeight="1">
      <c r="A6" s="867" t="s">
        <v>1917</v>
      </c>
      <c r="B6" s="221" t="s">
        <v>1918</v>
      </c>
      <c r="C6" s="222">
        <f>ROUND([2]基准地价修正!$C$33*[2]基准地价修正!$D$33/10000,)</f>
        <v>1501</v>
      </c>
      <c r="D6" s="223"/>
      <c r="E6" s="224"/>
      <c r="F6" s="224"/>
      <c r="G6" s="225"/>
    </row>
    <row r="7" spans="1:9" s="220" customFormat="1" ht="13.5" customHeight="1">
      <c r="A7" s="867" t="s">
        <v>1919</v>
      </c>
      <c r="B7" s="221" t="s">
        <v>1920</v>
      </c>
      <c r="C7" s="226">
        <f>ROUND(C6*F7,0)</f>
        <v>46</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0</v>
      </c>
      <c r="D8" s="228"/>
      <c r="E8" s="226"/>
      <c r="F8" s="227"/>
      <c r="G8" s="1993" t="s">
        <v>3199</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3200</v>
      </c>
      <c r="H9" s="1252"/>
      <c r="I9" s="1995" t="s">
        <v>1924</v>
      </c>
    </row>
    <row r="10" spans="1:9" s="220" customFormat="1" ht="13.5" customHeight="1">
      <c r="A10" s="868" t="s">
        <v>620</v>
      </c>
      <c r="B10" s="230" t="s">
        <v>1925</v>
      </c>
      <c r="C10" s="231">
        <f ca="1">ROUND(D10*E10/10000,0)</f>
        <v>0</v>
      </c>
      <c r="D10" s="935">
        <f ca="1">IF(B1="",'数据-汇总表'!E6,IF(INDIRECT("'数据-取费表'!c"&amp;$G$1)="住宅",INDIRECT("'数据-取费表'!s"&amp;$G$1),INDIRECT("'数据-取费表'!k"&amp;$G$1)+INDIRECT("'数据-取费表'!s"&amp;$G$1)))</f>
        <v>8634.8499999999985</v>
      </c>
      <c r="E10" s="231">
        <f>'数据-取费表'!B28</f>
        <v>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8634.8499999999985</v>
      </c>
      <c r="E19" s="217">
        <f>'数据-取费表'!B31</f>
        <v>200</v>
      </c>
      <c r="F19" s="237"/>
      <c r="G19" s="1993" t="s">
        <v>3201</v>
      </c>
    </row>
    <row r="20" spans="1:7" s="220" customFormat="1" ht="13.5" customHeight="1">
      <c r="A20" s="261" t="s">
        <v>1938</v>
      </c>
      <c r="B20" s="216" t="s">
        <v>1939</v>
      </c>
      <c r="C20" s="238">
        <f>ROUND((C5+C19)*F20,0)</f>
        <v>39</v>
      </c>
      <c r="D20" s="238"/>
      <c r="E20" s="238"/>
      <c r="F20" s="239">
        <f>'数据-取费表'!B37</f>
        <v>2.5000000000000001E-2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66</v>
      </c>
      <c r="D22" s="241">
        <f ca="1">C26</f>
        <v>4.0000000000000002E-4</v>
      </c>
      <c r="E22" s="242" t="s">
        <v>1943</v>
      </c>
      <c r="F22" s="243">
        <f ca="1">'数据-取费表'!B40</f>
        <v>4.2000000000000003E-2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65</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79</v>
      </c>
      <c r="D27" s="241">
        <f ca="1">C29</f>
        <v>1E-3</v>
      </c>
      <c r="E27" s="242" t="s">
        <v>1959</v>
      </c>
      <c r="F27" s="252">
        <f ca="1">IF(B1="",'数据-取费表'!Q16,INDIRECT("'数据-取费表'!q"&amp;$G$1))</f>
        <v>0.05</v>
      </c>
      <c r="G27" s="253" t="s">
        <v>1960</v>
      </c>
    </row>
    <row r="28" spans="1:7" s="220" customFormat="1" ht="13.5" customHeight="1">
      <c r="A28" s="869" t="s">
        <v>610</v>
      </c>
      <c r="B28" s="254" t="s">
        <v>1961</v>
      </c>
      <c r="C28" s="255">
        <f ca="1">ROUND((C5+C19+C20)*F27*'数据-取费表'!B21/'数据-取费表'!B20,0)</f>
        <v>79</v>
      </c>
      <c r="D28" s="241"/>
      <c r="E28" s="242"/>
      <c r="F28" s="252"/>
      <c r="G28" s="253"/>
    </row>
    <row r="29" spans="1:7" s="220" customFormat="1" ht="13.5" customHeight="1">
      <c r="A29" s="869" t="s">
        <v>611</v>
      </c>
      <c r="B29" s="254" t="s">
        <v>1962</v>
      </c>
      <c r="C29" s="244">
        <f ca="1">ROUND(C21*F27*'数据-取费表'!B21/'数据-取费表'!B20,4)</f>
        <v>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1869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1797</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1554</v>
      </c>
      <c r="D34" s="223"/>
      <c r="E34" s="226"/>
      <c r="F34" s="263">
        <f ca="1">IF('数据-取费表'!B24=0,1,IF(B1="",'数据-取费表'!N16,INDIRECT("'数据-取费表'!n"&amp;$G$1)))</f>
        <v>1</v>
      </c>
      <c r="G34" s="225" t="s">
        <v>1971</v>
      </c>
    </row>
    <row r="35" spans="1:7" ht="13.5" customHeight="1">
      <c r="A35" s="869" t="s">
        <v>615</v>
      </c>
      <c r="B35" s="221" t="s">
        <v>1972</v>
      </c>
      <c r="C35" s="226">
        <f ca="1">ROUND(C34*F35,0)</f>
        <v>47</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173</v>
      </c>
      <c r="D37" s="223">
        <f ca="1">D19</f>
        <v>8634.8499999999985</v>
      </c>
      <c r="E37" s="255">
        <f>'数据-取费表'!B35</f>
        <v>200</v>
      </c>
      <c r="F37" s="265"/>
      <c r="G37" s="267" t="s">
        <v>1977</v>
      </c>
    </row>
    <row r="38" spans="1:7" ht="13.5" customHeight="1">
      <c r="A38" s="869" t="s">
        <v>618</v>
      </c>
      <c r="B38" s="221" t="s">
        <v>1978</v>
      </c>
      <c r="C38" s="226">
        <f ca="1">ROUND(C34*F38,0)</f>
        <v>23</v>
      </c>
      <c r="D38" s="226"/>
      <c r="E38" s="226"/>
      <c r="F38" s="265">
        <f>'数据-取费表'!B36</f>
        <v>1.4999999999999999E-2</v>
      </c>
      <c r="G38" s="225" t="s">
        <v>1973</v>
      </c>
    </row>
    <row r="39" spans="1:7" s="220" customFormat="1" ht="13.5" customHeight="1">
      <c r="A39" s="261" t="s">
        <v>1979</v>
      </c>
      <c r="B39" s="216" t="s">
        <v>1980</v>
      </c>
      <c r="C39" s="238">
        <f ca="1">ROUND(C33*F20,0)</f>
        <v>45</v>
      </c>
      <c r="D39" s="238"/>
      <c r="E39" s="238"/>
      <c r="F39" s="2486">
        <f>F20</f>
        <v>2.5000000000000001E-2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39</v>
      </c>
      <c r="D41" s="241">
        <f ca="1">C44</f>
        <v>4.0000000000000002E-4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38</v>
      </c>
      <c r="D42" s="244"/>
      <c r="E42" s="244"/>
      <c r="F42" s="245"/>
      <c r="G42" s="3430" t="s">
        <v>1989</v>
      </c>
    </row>
    <row r="43" spans="1:7" ht="13.5" customHeight="1">
      <c r="A43" s="869" t="s">
        <v>611</v>
      </c>
      <c r="B43" s="221" t="s">
        <v>1990</v>
      </c>
      <c r="C43" s="244">
        <f ca="1">ROUND(IF('数据-取费表'!B22&lt;=1,C39*F22*'数据-取费表'!B21/2,C39*(POWER((1+F22),'数据-取费表'!B21/2)-1)),0)</f>
        <v>1</v>
      </c>
      <c r="D43" s="244"/>
      <c r="E43" s="244"/>
      <c r="F43" s="245"/>
      <c r="G43" s="3431"/>
    </row>
    <row r="44" spans="1:7" ht="13.5" customHeight="1">
      <c r="A44" s="869" t="s">
        <v>612</v>
      </c>
      <c r="B44" s="221" t="s">
        <v>1991</v>
      </c>
      <c r="C44" s="244">
        <f ca="1">ROUND(IF('数据-取费表'!B22&lt;=1,C40*F22*'数据-取费表'!B21/2,C40*(POWER((1+F22),'数据-取费表'!B21/2)-1)),4)</f>
        <v>4.0000000000000002E-4</v>
      </c>
      <c r="D44" s="244"/>
      <c r="E44" s="244"/>
      <c r="F44" s="245"/>
      <c r="G44" s="3432"/>
    </row>
    <row r="45" spans="1:7" s="220" customFormat="1" ht="13.5" customHeight="1">
      <c r="A45" s="261" t="s">
        <v>1992</v>
      </c>
      <c r="B45" s="250" t="s">
        <v>1958</v>
      </c>
      <c r="C45" s="251">
        <f ca="1">C46</f>
        <v>92</v>
      </c>
      <c r="D45" s="241">
        <f ca="1">C47</f>
        <v>1E-3</v>
      </c>
      <c r="E45" s="242" t="s">
        <v>1984</v>
      </c>
      <c r="F45" s="2488">
        <f ca="1">F27</f>
        <v>0.05</v>
      </c>
      <c r="G45" s="253" t="s">
        <v>1993</v>
      </c>
    </row>
    <row r="46" spans="1:7" s="220" customFormat="1" ht="13.5" customHeight="1">
      <c r="A46" s="869" t="s">
        <v>610</v>
      </c>
      <c r="B46" s="254" t="s">
        <v>1994</v>
      </c>
      <c r="C46" s="255">
        <f ca="1">ROUND((C33+C39)*F27,0)</f>
        <v>92</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2130</v>
      </c>
      <c r="D49" s="238"/>
      <c r="E49" s="238"/>
      <c r="F49" s="270"/>
      <c r="G49" s="240" t="s">
        <v>1999</v>
      </c>
    </row>
    <row r="50" spans="1:7" s="264" customFormat="1" ht="24">
      <c r="A50" s="261" t="s">
        <v>2000</v>
      </c>
      <c r="B50" s="216" t="s">
        <v>2001</v>
      </c>
      <c r="C50" s="238"/>
      <c r="D50" s="238"/>
      <c r="E50" s="238"/>
      <c r="F50" s="270">
        <f>IF('数据-取费表'!B24=0,'数据-取费表'!N16,1)</f>
        <v>0.75</v>
      </c>
      <c r="G50" s="253" t="s">
        <v>2002</v>
      </c>
    </row>
    <row r="51" spans="1:7" ht="16.5" customHeight="1">
      <c r="A51" s="261" t="s">
        <v>2003</v>
      </c>
      <c r="B51" s="216" t="s">
        <v>2004</v>
      </c>
      <c r="C51" s="238">
        <f ca="1">ROUND(C49*F50,0)</f>
        <v>1598</v>
      </c>
      <c r="D51" s="238"/>
      <c r="E51" s="238"/>
      <c r="F51" s="270"/>
      <c r="G51" s="240" t="s">
        <v>2005</v>
      </c>
    </row>
    <row r="52" spans="1:7" s="214" customFormat="1" ht="16.5" thickBot="1">
      <c r="A52" s="271" t="s">
        <v>2006</v>
      </c>
      <c r="B52" s="272"/>
      <c r="C52" s="273">
        <f ca="1">C31+C51</f>
        <v>3467</v>
      </c>
      <c r="D52" s="272"/>
      <c r="E52" s="272"/>
      <c r="F52" s="272"/>
      <c r="G52" s="274"/>
    </row>
    <row r="55" spans="1:7" ht="15">
      <c r="B55" s="276" t="s">
        <v>2007</v>
      </c>
      <c r="C55" s="277"/>
    </row>
    <row r="56" spans="1:7">
      <c r="B56" s="279" t="s">
        <v>1237</v>
      </c>
      <c r="C56" s="281">
        <f ca="1">1-C57</f>
        <v>0.53899999999999992</v>
      </c>
    </row>
    <row r="57" spans="1:7">
      <c r="B57" s="279" t="s">
        <v>1238</v>
      </c>
      <c r="C57" s="280">
        <f ca="1">ROUND(C51/C52,3)</f>
        <v>0.46100000000000002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41" t="str">
        <f>项目基本情况!B1</f>
        <v>北京市房地产抵押价值预评估</v>
      </c>
      <c r="C37" s="3241"/>
      <c r="D37" s="3241"/>
      <c r="E37" s="3241"/>
      <c r="F37" s="3241"/>
      <c r="G37" s="3241"/>
      <c r="H37" s="3241"/>
      <c r="I37" s="324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1806</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2092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0</v>
      </c>
      <c r="D10" s="935">
        <f ca="1">IF(B1="",'数据-汇总表'!E6,IF(INDIRECT("'数据-取费表'!c"&amp;$G$1)="住宅",INDIRECT("'数据-取费表'!s"&amp;$G$1),INDIRECT("'数据-取费表'!k"&amp;$G$1)+INDIRECT("'数据-取费表'!s"&amp;$G$1)))</f>
        <v>8634.8499999999985</v>
      </c>
      <c r="E10" s="231">
        <f>'数据-取费表'!B28</f>
        <v>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1726970</v>
      </c>
      <c r="D19" s="939">
        <f ca="1">D9+D10</f>
        <v>8634.8499999999985</v>
      </c>
      <c r="E19" s="217">
        <f>'数据-取费表'!B31</f>
        <v>200</v>
      </c>
      <c r="F19" s="237"/>
      <c r="G19" s="1993"/>
    </row>
    <row r="20" spans="1:7" s="220" customFormat="1" ht="13.5" customHeight="1">
      <c r="A20" s="261" t="s">
        <v>2019</v>
      </c>
      <c r="B20" s="216" t="s">
        <v>2020</v>
      </c>
      <c r="C20" s="238">
        <f ca="1">ROUND((C5+C19)*F20,0)</f>
        <v>43174</v>
      </c>
      <c r="D20" s="238"/>
      <c r="E20" s="238"/>
      <c r="F20" s="239">
        <f>'数据-取费表'!B37</f>
        <v>2.5000000000000001E-2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73440</v>
      </c>
      <c r="D22" s="241">
        <f ca="1">C26</f>
        <v>4.0000000000000002E-4</v>
      </c>
      <c r="E22" s="242" t="s">
        <v>2024</v>
      </c>
      <c r="F22" s="243">
        <f ca="1">'数据-取费表'!B40</f>
        <v>4.2000000000000003E-2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72533</v>
      </c>
      <c r="D24" s="244"/>
      <c r="E24" s="244"/>
      <c r="F24" s="245"/>
      <c r="G24" s="246" t="s">
        <v>2031</v>
      </c>
    </row>
    <row r="25" spans="1:7" s="220" customFormat="1" ht="24">
      <c r="A25" s="869" t="s">
        <v>1921</v>
      </c>
      <c r="B25" s="221" t="s">
        <v>2032</v>
      </c>
      <c r="C25" s="1243">
        <f ca="1">ROUND(IF('数据-取费表'!B22&lt;=1,C20*F22*'数据-取费表'!B22/2,C20*(POWER((1+F22),'数据-取费表'!B22/2)-1)),0)</f>
        <v>907</v>
      </c>
      <c r="D25" s="244"/>
      <c r="E25" s="247"/>
      <c r="F25" s="245"/>
      <c r="G25" s="248" t="s">
        <v>2033</v>
      </c>
    </row>
    <row r="26" spans="1:7" s="220" customFormat="1">
      <c r="A26" s="869"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88507</v>
      </c>
      <c r="D27" s="241">
        <f ca="1">C29</f>
        <v>1E-3</v>
      </c>
      <c r="E27" s="242" t="s">
        <v>1959</v>
      </c>
      <c r="F27" s="252">
        <f ca="1">IF(B1="",'数据-取费表'!Q16,INDIRECT("'数据-取费表'!q"&amp;$G$1))</f>
        <v>0.05</v>
      </c>
      <c r="G27" s="253" t="s">
        <v>1960</v>
      </c>
    </row>
    <row r="28" spans="1:7" s="220" customFormat="1" ht="13.5" customHeight="1">
      <c r="A28" s="869" t="s">
        <v>610</v>
      </c>
      <c r="B28" s="254" t="s">
        <v>1961</v>
      </c>
      <c r="C28" s="255">
        <f ca="1">ROUND((C5+C19+C20)*F27,0)</f>
        <v>88507</v>
      </c>
      <c r="D28" s="241"/>
      <c r="E28" s="242"/>
      <c r="F28" s="252"/>
      <c r="G28" s="253"/>
    </row>
    <row r="29" spans="1:7" s="220" customFormat="1" ht="13.5" customHeight="1">
      <c r="A29" s="869" t="s">
        <v>611</v>
      </c>
      <c r="B29" s="254" t="s">
        <v>1962</v>
      </c>
      <c r="C29" s="244">
        <f ca="1">ROUND(C21*F27,4)</f>
        <v>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2086041</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17969123</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15542730</v>
      </c>
      <c r="D34" s="223"/>
      <c r="E34" s="226"/>
      <c r="F34" s="263"/>
      <c r="G34" s="225"/>
    </row>
    <row r="35" spans="1:7" ht="13.5" customHeight="1">
      <c r="A35" s="869" t="s">
        <v>615</v>
      </c>
      <c r="B35" s="221" t="s">
        <v>1972</v>
      </c>
      <c r="C35" s="226">
        <f ca="1">ROUND(C34*F35,0)</f>
        <v>466282</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1726970</v>
      </c>
      <c r="D37" s="223">
        <f ca="1">D19</f>
        <v>8634.8499999999985</v>
      </c>
      <c r="E37" s="255">
        <f>'数据-取费表'!B35</f>
        <v>200</v>
      </c>
      <c r="F37" s="265"/>
      <c r="G37" s="267"/>
    </row>
    <row r="38" spans="1:7" ht="13.5" customHeight="1">
      <c r="A38" s="869" t="s">
        <v>618</v>
      </c>
      <c r="B38" s="221" t="s">
        <v>1978</v>
      </c>
      <c r="C38" s="226">
        <f ca="1">ROUND(C34*F38,0)</f>
        <v>233141</v>
      </c>
      <c r="D38" s="226"/>
      <c r="E38" s="226"/>
      <c r="F38" s="265">
        <f>'数据-取费表'!B36</f>
        <v>1.4999999999999999E-2</v>
      </c>
      <c r="G38" s="225" t="s">
        <v>1973</v>
      </c>
    </row>
    <row r="39" spans="1:7" s="220" customFormat="1" ht="13.5" customHeight="1">
      <c r="A39" s="261" t="s">
        <v>1979</v>
      </c>
      <c r="B39" s="216" t="s">
        <v>1980</v>
      </c>
      <c r="C39" s="238">
        <f ca="1">ROUND(C33*F20,0)</f>
        <v>449228</v>
      </c>
      <c r="D39" s="238"/>
      <c r="E39" s="238"/>
      <c r="F39" s="2486">
        <f>F20</f>
        <v>2.5000000000000001E-2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386786</v>
      </c>
      <c r="D41" s="241">
        <f ca="1">C44</f>
        <v>4.0000000000000002E-4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377352</v>
      </c>
      <c r="D42" s="244"/>
      <c r="E42" s="244"/>
      <c r="F42" s="245"/>
      <c r="G42" s="3430" t="s">
        <v>2036</v>
      </c>
    </row>
    <row r="43" spans="1:7" ht="13.5" customHeight="1">
      <c r="A43" s="869" t="s">
        <v>611</v>
      </c>
      <c r="B43" s="221" t="s">
        <v>1990</v>
      </c>
      <c r="C43" s="244">
        <f ca="1">ROUND(IF('数据-取费表'!B22&lt;=1,C39*F22*'数据-取费表'!B20/2,C39*(POWER((1+F22),'数据-取费表'!B20/2)-1)),0)</f>
        <v>9434</v>
      </c>
      <c r="D43" s="244"/>
      <c r="E43" s="244"/>
      <c r="F43" s="245"/>
      <c r="G43" s="3431"/>
    </row>
    <row r="44" spans="1:7" ht="13.5" customHeight="1">
      <c r="A44" s="869" t="s">
        <v>612</v>
      </c>
      <c r="B44" s="221" t="s">
        <v>1991</v>
      </c>
      <c r="C44" s="244">
        <f ca="1">ROUND(IF('数据-取费表'!B22&lt;=1,C40*F22*'数据-取费表'!B20/2,C40*(POWER((1+F22),'数据-取费表'!B20/2)-1)),4)</f>
        <v>4.0000000000000002E-4</v>
      </c>
      <c r="D44" s="244"/>
      <c r="E44" s="244"/>
      <c r="F44" s="245"/>
      <c r="G44" s="3432"/>
    </row>
    <row r="45" spans="1:7" s="220" customFormat="1" ht="13.5" customHeight="1">
      <c r="A45" s="261" t="s">
        <v>1992</v>
      </c>
      <c r="B45" s="250" t="s">
        <v>1958</v>
      </c>
      <c r="C45" s="251">
        <f ca="1">C46</f>
        <v>920918</v>
      </c>
      <c r="D45" s="241">
        <f ca="1">C47</f>
        <v>1E-3</v>
      </c>
      <c r="E45" s="242" t="s">
        <v>1984</v>
      </c>
      <c r="F45" s="2488">
        <f ca="1">F27</f>
        <v>0.05</v>
      </c>
      <c r="G45" s="253" t="s">
        <v>1993</v>
      </c>
    </row>
    <row r="46" spans="1:7" s="220" customFormat="1" ht="13.5" customHeight="1">
      <c r="A46" s="869" t="s">
        <v>610</v>
      </c>
      <c r="B46" s="254" t="s">
        <v>1994</v>
      </c>
      <c r="C46" s="255">
        <f ca="1">ROUND((C33+C39)*F27,0)</f>
        <v>920918</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21297835</v>
      </c>
      <c r="D49" s="238"/>
      <c r="E49" s="238"/>
      <c r="F49" s="270"/>
      <c r="G49" s="240" t="s">
        <v>1999</v>
      </c>
    </row>
    <row r="50" spans="1:7" s="264" customFormat="1">
      <c r="A50" s="261" t="s">
        <v>2000</v>
      </c>
      <c r="B50" s="216" t="s">
        <v>2001</v>
      </c>
      <c r="C50" s="238"/>
      <c r="D50" s="238"/>
      <c r="E50" s="238"/>
      <c r="F50" s="270">
        <f>IF('数据-取费表'!B24=0,'数据-取费表'!N16,1)</f>
        <v>0.75</v>
      </c>
      <c r="G50" s="253"/>
    </row>
    <row r="51" spans="1:7" ht="16.5" customHeight="1">
      <c r="A51" s="261" t="s">
        <v>2003</v>
      </c>
      <c r="B51" s="216" t="s">
        <v>2038</v>
      </c>
      <c r="C51" s="238">
        <f ca="1">ROUND(C49*F50,0)</f>
        <v>15973376</v>
      </c>
      <c r="D51" s="238"/>
      <c r="E51" s="238"/>
      <c r="F51" s="270"/>
      <c r="G51" s="240" t="s">
        <v>2005</v>
      </c>
    </row>
    <row r="52" spans="1:7" s="214" customFormat="1" ht="16.5" thickBot="1">
      <c r="A52" s="271" t="s">
        <v>2006</v>
      </c>
      <c r="B52" s="272"/>
      <c r="C52" s="273">
        <f ca="1">C31+C51</f>
        <v>18059417</v>
      </c>
      <c r="D52" s="272"/>
      <c r="E52" s="272"/>
      <c r="F52" s="272"/>
      <c r="G52" s="274"/>
    </row>
    <row r="55" spans="1:7" ht="15">
      <c r="B55" s="276" t="s">
        <v>2007</v>
      </c>
      <c r="C55" s="277"/>
    </row>
    <row r="56" spans="1:7">
      <c r="B56" s="279" t="s">
        <v>1237</v>
      </c>
      <c r="C56" s="281">
        <f ca="1">1-C57</f>
        <v>0.11599999999999999</v>
      </c>
    </row>
    <row r="57" spans="1:7">
      <c r="B57" s="279" t="s">
        <v>1238</v>
      </c>
      <c r="C57" s="280">
        <f ca="1">ROUND(C51/C52,3)</f>
        <v>0.88400000000000001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8634.8499999999985</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8634.8499999999985</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0</v>
      </c>
      <c r="D20" s="936">
        <f ca="1">IF(C1="",'数据-汇总表'!E6,IF(INDIRECT("'数据-取费表'!c"&amp;$K$1)="住宅",INDIRECT("'数据-取费表'!s"&amp;$K$1),INDIRECT("'数据-取费表'!k"&amp;$K$1)+INDIRECT("'数据-取费表'!s"&amp;$K$1)))</f>
        <v>8634.8499999999985</v>
      </c>
      <c r="E20" s="24">
        <f>'数据-取费表'!B28</f>
        <v>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2.5000000000000001E-2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0.05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J39" sqref="J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32.93</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4996</v>
      </c>
      <c r="C2" s="1522" t="s">
        <v>1240</v>
      </c>
      <c r="D2" s="1522"/>
      <c r="E2" s="1523"/>
      <c r="F2" s="1524"/>
      <c r="G2" s="2885"/>
      <c r="H2" s="2874"/>
      <c r="I2" s="2874"/>
      <c r="J2" s="2874"/>
      <c r="K2" s="2875"/>
      <c r="L2" s="2874"/>
      <c r="M2" s="2874"/>
    </row>
    <row r="3" spans="1:37" ht="18" customHeight="1" thickBot="1">
      <c r="A3" s="1525" t="s">
        <v>1241</v>
      </c>
      <c r="B3" s="1526">
        <f ca="1">IF(ISERROR(B2*10000/F43),0,ROUND(B2*10000/F43,0))</f>
        <v>5786</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312</v>
      </c>
      <c r="D5" s="1499" t="s">
        <v>1126</v>
      </c>
      <c r="E5" s="1184"/>
      <c r="F5" s="1185"/>
      <c r="G5" s="1519"/>
      <c r="H5" s="305">
        <v>1</v>
      </c>
      <c r="I5" s="306" t="s">
        <v>1125</v>
      </c>
      <c r="J5" s="1183">
        <f ca="1">J6+J10+J12</f>
        <v>0</v>
      </c>
      <c r="K5" s="1499" t="s">
        <v>1126</v>
      </c>
      <c r="L5" s="1184"/>
      <c r="M5" s="1185"/>
    </row>
    <row r="6" spans="1:37" ht="18" customHeight="1">
      <c r="A6" s="1182" t="s">
        <v>822</v>
      </c>
      <c r="B6" s="3435" t="s">
        <v>1127</v>
      </c>
      <c r="C6" s="1187">
        <f ca="1">ROUND(F6*F8*F7*(1-F9)/10000,0)</f>
        <v>312</v>
      </c>
      <c r="D6" s="160" t="s">
        <v>2609</v>
      </c>
      <c r="E6" s="308" t="s">
        <v>1129</v>
      </c>
      <c r="F6" s="309">
        <f ca="1">INDIRECT("'数据-取费表'!u"&amp;$G$1)</f>
        <v>1.1000000000000001</v>
      </c>
      <c r="G6" s="1519"/>
      <c r="H6" s="1182" t="s">
        <v>822</v>
      </c>
      <c r="I6" s="3435" t="s">
        <v>1127</v>
      </c>
      <c r="J6" s="307">
        <f ca="1">ROUND(M6*M8*M7*(1-M9)/10000,0)</f>
        <v>0</v>
      </c>
      <c r="K6" s="160" t="s">
        <v>2608</v>
      </c>
      <c r="L6" s="308" t="s">
        <v>1129</v>
      </c>
      <c r="M6" s="309">
        <f ca="1">INDIRECT("'数据-取费表'!z"&amp;$G$1)</f>
        <v>0</v>
      </c>
    </row>
    <row r="7" spans="1:37" ht="18" customHeight="1">
      <c r="A7" s="1186"/>
      <c r="B7" s="3436"/>
      <c r="C7" s="1188"/>
      <c r="D7" s="313"/>
      <c r="E7" s="1189" t="s">
        <v>1130</v>
      </c>
      <c r="F7" s="309">
        <f ca="1">IF(INDIRECT("'数据-取费表'!ah"&amp;$G$1)="",INDIRECT("'数据-取费表'!k"&amp;$G$1),INDIRECT("'数据-取费表'!ah"&amp;$G$1))</f>
        <v>8634.8499999999985</v>
      </c>
      <c r="G7" s="1519"/>
      <c r="H7" s="310"/>
      <c r="I7" s="3436"/>
      <c r="J7" s="312"/>
      <c r="K7" s="313"/>
      <c r="L7" s="308" t="s">
        <v>1130</v>
      </c>
      <c r="M7" s="309">
        <f ca="1">F7</f>
        <v>8634.8499999999985</v>
      </c>
    </row>
    <row r="8" spans="1:37" ht="18" customHeight="1">
      <c r="A8" s="310"/>
      <c r="B8" s="3436"/>
      <c r="C8" s="312"/>
      <c r="D8" s="313"/>
      <c r="E8" s="308" t="s">
        <v>1131</v>
      </c>
      <c r="F8" s="309">
        <f ca="1">INDIRECT("'数据-取费表'!ai"&amp;$G$1)</f>
        <v>365</v>
      </c>
      <c r="G8" s="1519"/>
      <c r="H8" s="310"/>
      <c r="I8" s="3436"/>
      <c r="J8" s="312"/>
      <c r="K8" s="313"/>
      <c r="L8" s="308" t="s">
        <v>1131</v>
      </c>
      <c r="M8" s="309">
        <f ca="1">INDIRECT("'数据-取费表'!ai"&amp;$G$1)</f>
        <v>365</v>
      </c>
    </row>
    <row r="9" spans="1:37" ht="18" customHeight="1">
      <c r="A9" s="310"/>
      <c r="B9" s="3437"/>
      <c r="C9" s="312"/>
      <c r="D9" s="313"/>
      <c r="E9" s="308" t="s">
        <v>1132</v>
      </c>
      <c r="F9" s="318">
        <f ca="1">INDIRECT("'数据-取费表'!w"&amp;$G$1)</f>
        <v>0.1</v>
      </c>
      <c r="G9" s="1519"/>
      <c r="H9" s="310"/>
      <c r="I9" s="343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t="s">
        <v>3195</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1598</v>
      </c>
      <c r="D13" s="1194" t="s">
        <v>1139</v>
      </c>
      <c r="E13" s="1194" t="s">
        <v>1140</v>
      </c>
      <c r="F13" s="1195">
        <f ca="1">INDIRECT("'数据-取费表'!y"&amp;$G$1)</f>
        <v>0.75</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1554</v>
      </c>
      <c r="D14" s="1480" t="s">
        <v>1142</v>
      </c>
      <c r="E14" s="1477"/>
      <c r="F14" s="325"/>
      <c r="G14" s="1519"/>
      <c r="H14" s="1094" t="s">
        <v>822</v>
      </c>
      <c r="I14" s="308" t="s">
        <v>1143</v>
      </c>
      <c r="J14" s="24">
        <f ca="1">C29</f>
        <v>2130</v>
      </c>
      <c r="K14" s="15"/>
      <c r="L14" s="897"/>
      <c r="M14" s="898"/>
    </row>
    <row r="15" spans="1:37" s="1532" customFormat="1" ht="18" customHeight="1" thickBot="1">
      <c r="A15" s="1094" t="s">
        <v>823</v>
      </c>
      <c r="B15" s="308" t="s">
        <v>1144</v>
      </c>
      <c r="C15" s="24">
        <f ca="1">ROUND(C14*F15,0)</f>
        <v>47</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44</v>
      </c>
      <c r="K16" s="1200" t="s">
        <v>1149</v>
      </c>
      <c r="L16" s="1201"/>
      <c r="M16" s="1185"/>
    </row>
    <row r="17" spans="1:37" s="1532" customFormat="1" ht="18" customHeight="1">
      <c r="A17" s="1094" t="s">
        <v>1114</v>
      </c>
      <c r="B17" s="308" t="s">
        <v>1150</v>
      </c>
      <c r="C17" s="24">
        <f ca="1">ROUND(F17*(F43+INDIRECT("'数据-取费表'!S"&amp;$G$1))/10000,0)</f>
        <v>173</v>
      </c>
      <c r="D17" s="308" t="s">
        <v>1151</v>
      </c>
      <c r="E17" s="308" t="s">
        <v>1152</v>
      </c>
      <c r="F17" s="26">
        <f>'数据-取费表'!B35</f>
        <v>200</v>
      </c>
      <c r="G17" s="1531"/>
      <c r="H17" s="1094" t="s">
        <v>822</v>
      </c>
      <c r="I17" s="308" t="s">
        <v>1153</v>
      </c>
      <c r="J17" s="2485">
        <f ca="1">ROUND(IF(AND(项目基本情况!B11="自然人",项目基本情况!B10="北京市"),J6*M17/(1+'数据-取费表'!C42),J18+J19+J20),0)</f>
        <v>21</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23</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1797</v>
      </c>
      <c r="D19" s="136" t="s">
        <v>1160</v>
      </c>
      <c r="E19" s="1495"/>
      <c r="F19" s="26"/>
      <c r="G19" s="1519"/>
      <c r="H19" s="1094" t="s">
        <v>823</v>
      </c>
      <c r="I19" s="308" t="s">
        <v>1161</v>
      </c>
      <c r="J19" s="24">
        <f ca="1">IF(K19="按租金收入计税",ROUND(J6*M19/(1+'数据-取费表'!C42),2),ROUND(C29*M19*0.7,2))</f>
        <v>17.89</v>
      </c>
      <c r="K19" s="1505" t="s">
        <v>1162</v>
      </c>
      <c r="L19" s="308" t="s">
        <v>1146</v>
      </c>
      <c r="M19" s="328">
        <f>IF(K19="按租金收入计税",'数据-取费表'!B51,'数据-取费表'!B50)</f>
        <v>1.2E-2</v>
      </c>
    </row>
    <row r="20" spans="1:37" s="1532" customFormat="1" ht="18" customHeight="1">
      <c r="A20" s="1094" t="s">
        <v>826</v>
      </c>
      <c r="B20" s="308" t="s">
        <v>1163</v>
      </c>
      <c r="C20" s="24">
        <f ca="1">ROUND(C19*F20,0)</f>
        <v>45</v>
      </c>
      <c r="D20" s="329" t="s">
        <v>1164</v>
      </c>
      <c r="E20" s="308" t="s">
        <v>1146</v>
      </c>
      <c r="F20" s="328">
        <f>'数据-取费表'!B37</f>
        <v>2.5000000000000001E-2</v>
      </c>
      <c r="G20" s="1531"/>
      <c r="H20" s="1094" t="s">
        <v>1113</v>
      </c>
      <c r="I20" s="160" t="s">
        <v>1165</v>
      </c>
      <c r="J20" s="25">
        <f ca="1">ROUND(M20*M21/10000,2)</f>
        <v>2.62</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17477</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23.4</v>
      </c>
      <c r="K22" s="1479" t="s">
        <v>1174</v>
      </c>
      <c r="L22" s="308" t="s">
        <v>1146</v>
      </c>
      <c r="M22" s="334">
        <f ca="1">INDIRECT("'数据-取费表'!Ak"&amp;$G$1)</f>
        <v>1.0999999999999999E-2</v>
      </c>
    </row>
    <row r="23" spans="1:37" s="1532" customFormat="1" ht="18" customHeight="1">
      <c r="A23" s="1094" t="s">
        <v>821</v>
      </c>
      <c r="B23" s="308" t="s">
        <v>1175</v>
      </c>
      <c r="C23" s="24">
        <f ca="1">IF('数据-取费表'!B22&lt;=1,ROUND(C19*F24*F23/2,0)+ROUND(C20*F24*F23/2,0),ROUND(C19*(POWER((1+F24),F23/2)-1),0)+ROUND(C20*(POWER((1+F24),F23/2)-1),0))</f>
        <v>39</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-44</v>
      </c>
      <c r="K25" s="1208" t="s">
        <v>1188</v>
      </c>
      <c r="L25" s="1209"/>
      <c r="M25" s="1210"/>
    </row>
    <row r="26" spans="1:37">
      <c r="A26" s="1094" t="s">
        <v>821</v>
      </c>
      <c r="B26" s="308" t="s">
        <v>1189</v>
      </c>
      <c r="C26" s="24">
        <f ca="1">ROUND((C19+C20)*F26,0)</f>
        <v>92</v>
      </c>
      <c r="D26" s="329" t="s">
        <v>1190</v>
      </c>
      <c r="E26" s="319" t="s">
        <v>1191</v>
      </c>
      <c r="F26" s="318">
        <f ca="1">INDIRECT("'数据-取费表'!q"&amp;$G$1)</f>
        <v>0.05</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2130</v>
      </c>
      <c r="D29" s="1205"/>
      <c r="E29" s="1203"/>
      <c r="F29" s="1206"/>
      <c r="G29" s="1531"/>
      <c r="H29" s="340" t="s">
        <v>820</v>
      </c>
      <c r="I29" s="341" t="s">
        <v>1203</v>
      </c>
      <c r="J29" s="342">
        <f ca="1">ROUND(J26/(1+F40)^F41,0)</f>
        <v>0</v>
      </c>
      <c r="K29" s="343" t="s">
        <v>1204</v>
      </c>
      <c r="L29" s="344"/>
      <c r="M29" s="345">
        <f ca="1">INDIRECT("'数据-取费表'!k"&amp;$G$1)</f>
        <v>8634.8499999999985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84</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55</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16.34</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35.659999999999997</v>
      </c>
      <c r="D33" s="1505" t="s">
        <v>3196</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2.62</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17477</v>
      </c>
      <c r="G35" s="1519"/>
      <c r="H35" s="2876"/>
      <c r="I35" s="1533"/>
      <c r="J35" s="1534"/>
      <c r="K35" s="2880"/>
      <c r="L35" s="2879"/>
      <c r="M35" s="2879"/>
    </row>
    <row r="36" spans="1:18" ht="18" customHeight="1">
      <c r="A36" s="1215" t="s">
        <v>826</v>
      </c>
      <c r="B36" s="308" t="s">
        <v>1173</v>
      </c>
      <c r="C36" s="24">
        <f ca="1">ROUND(C29*F36,1)</f>
        <v>23.4</v>
      </c>
      <c r="D36" s="1479" t="s">
        <v>1206</v>
      </c>
      <c r="E36" s="308" t="s">
        <v>1146</v>
      </c>
      <c r="F36" s="334">
        <f ca="1">INDIRECT("'数据-取费表'!Ak"&amp;$G$1)</f>
        <v>1.0999999999999999E-2</v>
      </c>
      <c r="G36" s="1519"/>
      <c r="H36" s="2879"/>
      <c r="I36" s="1533"/>
      <c r="J36" s="1534"/>
      <c r="K36" s="2720"/>
      <c r="L36" s="2879"/>
      <c r="M36" s="2879"/>
    </row>
    <row r="37" spans="1:18" ht="18" customHeight="1">
      <c r="A37" s="1094" t="s">
        <v>862</v>
      </c>
      <c r="B37" s="308" t="s">
        <v>1177</v>
      </c>
      <c r="C37" s="24">
        <f ca="1">ROUND(C13*F37,1)</f>
        <v>2.4</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3.1</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228</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4996</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32.93</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5786</v>
      </c>
      <c r="D43" s="343" t="s">
        <v>1212</v>
      </c>
      <c r="E43" s="344" t="s">
        <v>1213</v>
      </c>
      <c r="F43" s="345">
        <f ca="1">INDIRECT("'数据-取费表'!k"&amp;$G$1)</f>
        <v>8634.8499999999985</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-8322</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3197</v>
      </c>
      <c r="K47" s="1551" t="s">
        <v>1251</v>
      </c>
      <c r="L47" s="1552">
        <f ca="1">INDIRECT("'数据-取费表'!d"&amp;$G$1)</f>
        <v>50</v>
      </c>
      <c r="M47" s="1515" t="str">
        <f>IF(ISNUMBER(FIND("住宅",C1)),"住宅","非住宅")</f>
        <v>非住宅</v>
      </c>
      <c r="O47" s="1553" t="s">
        <v>827</v>
      </c>
      <c r="P47" s="1554" t="s">
        <v>1252</v>
      </c>
      <c r="Q47" s="1555">
        <f ca="1">C40+J29</f>
        <v>4996</v>
      </c>
      <c r="R47" s="1555" t="s">
        <v>1253</v>
      </c>
    </row>
    <row r="48" spans="1:18" s="1519" customFormat="1" ht="28.5" thickBot="1">
      <c r="A48" s="1223" t="s">
        <v>863</v>
      </c>
      <c r="B48" s="306" t="s">
        <v>1125</v>
      </c>
      <c r="C48" s="1494">
        <f ca="1">C49+C53+C55</f>
        <v>0</v>
      </c>
      <c r="D48" s="1225"/>
      <c r="E48" s="1226"/>
      <c r="F48" s="1074"/>
      <c r="G48" s="731"/>
      <c r="H48" s="732"/>
      <c r="I48" s="1556" t="s">
        <v>1254</v>
      </c>
      <c r="J48" s="1557" t="s">
        <v>3198</v>
      </c>
      <c r="K48" s="1558" t="s">
        <v>1255</v>
      </c>
      <c r="L48" s="1559">
        <f ca="1">INDIRECT("'数据-取费表'!f"&amp;$G$1)</f>
        <v>32.93</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2004</v>
      </c>
      <c r="K49" s="1558" t="s">
        <v>1259</v>
      </c>
      <c r="L49" s="1562"/>
      <c r="O49" s="1563" t="s">
        <v>829</v>
      </c>
      <c r="P49" s="1554" t="s">
        <v>1260</v>
      </c>
      <c r="Q49" s="1555">
        <f ca="1">C29</f>
        <v>2130</v>
      </c>
      <c r="R49" s="1555" t="s">
        <v>1253</v>
      </c>
    </row>
    <row r="50" spans="1:18" s="1519" customFormat="1" ht="13.5" thickBot="1">
      <c r="A50" s="1088"/>
      <c r="B50" s="1091"/>
      <c r="C50" s="1231"/>
      <c r="D50" s="1065"/>
      <c r="E50" s="1168" t="s">
        <v>1130</v>
      </c>
      <c r="F50" s="1169">
        <f ca="1">F7</f>
        <v>8634.8499999999985</v>
      </c>
      <c r="H50" s="732"/>
      <c r="I50" s="1556" t="s">
        <v>1261</v>
      </c>
      <c r="J50" s="1564">
        <f>SUMPRODUCT((I63:I65=J47)*(J62:L62=J48)*(J63:L65))</f>
        <v>70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52</v>
      </c>
      <c r="K51" s="1569" t="s">
        <v>1265</v>
      </c>
      <c r="L51" s="1570">
        <f ca="1">ROUND(-PV(INDIRECT("'数据-取费表'!h"&amp;$G$1),J51,(C39-C13*C76),0),0)</f>
        <v>1841</v>
      </c>
      <c r="M51" s="1571"/>
      <c r="O51" s="1563" t="s">
        <v>831</v>
      </c>
      <c r="P51" s="1554" t="s">
        <v>1266</v>
      </c>
      <c r="Q51" s="1566">
        <f>J52</f>
        <v>0.09</v>
      </c>
      <c r="R51" s="1555"/>
    </row>
    <row r="52" spans="1:18" s="1519" customFormat="1" ht="13.5" thickBot="1">
      <c r="A52" s="1089"/>
      <c r="B52" s="1091"/>
      <c r="C52" s="1092"/>
      <c r="D52" s="1065"/>
      <c r="E52" s="1093" t="s">
        <v>1132</v>
      </c>
      <c r="F52" s="1166"/>
      <c r="I52" s="1572" t="s">
        <v>1267</v>
      </c>
      <c r="J52" s="1573">
        <v>0.09</v>
      </c>
      <c r="K52" s="1572" t="s">
        <v>1268</v>
      </c>
      <c r="L52" s="1573"/>
      <c r="O52" s="1563" t="s">
        <v>832</v>
      </c>
      <c r="P52" s="1554" t="s">
        <v>1269</v>
      </c>
      <c r="Q52" s="1555">
        <f ca="1">J53</f>
        <v>32.93</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32.93</v>
      </c>
      <c r="K53" s="3433" t="s">
        <v>1272</v>
      </c>
      <c r="L53" s="3434"/>
      <c r="O53" s="1553" t="s">
        <v>833</v>
      </c>
      <c r="P53" s="1554" t="s">
        <v>1273</v>
      </c>
      <c r="Q53" s="1555">
        <f ca="1">Q47+Q48</f>
        <v>4996</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1598</v>
      </c>
      <c r="D56" s="1582"/>
      <c r="E56" s="1583"/>
      <c r="F56" s="1575"/>
      <c r="I56" s="1584" t="s">
        <v>1278</v>
      </c>
      <c r="J56" s="1585" t="s">
        <v>3180</v>
      </c>
      <c r="K56" s="1556" t="s">
        <v>1279</v>
      </c>
      <c r="L56" s="1559" t="str">
        <f ca="1">IF(L48&lt;J51,"——",L48-J53)</f>
        <v>——</v>
      </c>
      <c r="O56" s="1553" t="s">
        <v>827</v>
      </c>
      <c r="P56" s="1554" t="s">
        <v>1252</v>
      </c>
      <c r="Q56" s="1555">
        <f ca="1">C40+J29</f>
        <v>4996</v>
      </c>
      <c r="R56" s="1555" t="s">
        <v>1253</v>
      </c>
    </row>
    <row r="57" spans="1:18" s="1519" customFormat="1" ht="24.75" thickBot="1">
      <c r="A57" s="1586"/>
      <c r="B57" s="1062" t="s">
        <v>1202</v>
      </c>
      <c r="C57" s="244">
        <f ca="1">C29</f>
        <v>2130</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208</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182</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178.92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2.62</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4996</v>
      </c>
      <c r="R62" s="1555" t="s">
        <v>834</v>
      </c>
    </row>
    <row r="63" spans="1:18" s="1519" customFormat="1" ht="13.5" thickBot="1">
      <c r="A63" s="332"/>
      <c r="B63" s="1068"/>
      <c r="C63" s="29"/>
      <c r="D63" s="1078"/>
      <c r="E63" s="1062" t="s">
        <v>1223</v>
      </c>
      <c r="F63" s="309">
        <f t="shared" ca="1" si="0"/>
        <v>17477</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23.4</v>
      </c>
      <c r="D64" s="1076" t="s">
        <v>1226</v>
      </c>
      <c r="E64" s="1062" t="s">
        <v>1218</v>
      </c>
      <c r="F64" s="334">
        <f t="shared" ca="1" si="0"/>
        <v>1.0999999999999999E-2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2.4</v>
      </c>
      <c r="D65" s="1076" t="s">
        <v>1178</v>
      </c>
      <c r="E65" s="1062" t="s">
        <v>1179</v>
      </c>
      <c r="F65" s="336">
        <f t="shared" ca="1" si="0"/>
        <v>1.5E-3</v>
      </c>
      <c r="I65" s="1597" t="s">
        <v>1303</v>
      </c>
      <c r="J65" s="1598">
        <v>40</v>
      </c>
      <c r="K65" s="1598">
        <v>30</v>
      </c>
      <c r="L65" s="1598">
        <v>50</v>
      </c>
      <c r="M65" s="1600">
        <v>0.02</v>
      </c>
      <c r="O65" s="1553" t="s">
        <v>827</v>
      </c>
      <c r="P65" s="1554" t="s">
        <v>1304</v>
      </c>
      <c r="Q65" s="1555">
        <f ca="1">C40+J29</f>
        <v>4996</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-208</v>
      </c>
      <c r="D67" s="1075" t="s">
        <v>1188</v>
      </c>
      <c r="E67" s="1080"/>
      <c r="F67" s="1081"/>
      <c r="O67" s="1563" t="s">
        <v>829</v>
      </c>
      <c r="P67" s="1554" t="s">
        <v>1286</v>
      </c>
      <c r="Q67" s="1601">
        <f ca="1">L51</f>
        <v>1841</v>
      </c>
      <c r="R67" s="1555" t="s">
        <v>1306</v>
      </c>
    </row>
    <row r="68" spans="1:18" s="1519" customFormat="1" ht="16.5" thickBot="1">
      <c r="A68" s="1059" t="s">
        <v>819</v>
      </c>
      <c r="B68" s="1060" t="s">
        <v>1209</v>
      </c>
      <c r="C68" s="307">
        <f ca="1">ROUND(C67*(1-((1+F70)/(1+F68))^F69)/(F68-F70),0)</f>
        <v>-3326</v>
      </c>
      <c r="D68" s="1077" t="s">
        <v>1193</v>
      </c>
      <c r="E68" s="1062" t="s">
        <v>1194</v>
      </c>
      <c r="F68" s="318">
        <f ca="1">F40</f>
        <v>0.05</v>
      </c>
      <c r="O68" s="1563" t="s">
        <v>830</v>
      </c>
      <c r="P68" s="1602" t="s">
        <v>1307</v>
      </c>
      <c r="Q68" s="1555">
        <f ca="1">ROUND(Q69-Q70*Q71,0)</f>
        <v>92</v>
      </c>
      <c r="R68" s="1555" t="s">
        <v>838</v>
      </c>
    </row>
    <row r="69" spans="1:18" s="1519" customFormat="1" ht="13.5" thickBot="1">
      <c r="A69" s="1063"/>
      <c r="B69" s="1064"/>
      <c r="C69" s="312"/>
      <c r="D69" s="1082" t="s">
        <v>1197</v>
      </c>
      <c r="E69" s="1062" t="s">
        <v>1198</v>
      </c>
      <c r="F69" s="339">
        <f ca="1">F41</f>
        <v>32.93</v>
      </c>
      <c r="O69" s="1563" t="s">
        <v>835</v>
      </c>
      <c r="P69" s="1602" t="s">
        <v>1308</v>
      </c>
      <c r="Q69" s="1555">
        <f ca="1">C39</f>
        <v>228</v>
      </c>
      <c r="R69" s="1555" t="s">
        <v>1253</v>
      </c>
    </row>
    <row r="70" spans="1:18" s="1519" customFormat="1" ht="13.5" thickBot="1">
      <c r="A70" s="1066"/>
      <c r="B70" s="1067"/>
      <c r="C70" s="316"/>
      <c r="D70" s="1078"/>
      <c r="E70" s="1062" t="s">
        <v>1201</v>
      </c>
      <c r="F70" s="1166"/>
      <c r="O70" s="1563" t="s">
        <v>836</v>
      </c>
      <c r="P70" s="1602" t="s">
        <v>1309</v>
      </c>
      <c r="Q70" s="1555">
        <f ca="1">C13</f>
        <v>1598</v>
      </c>
      <c r="R70" s="1555" t="s">
        <v>1253</v>
      </c>
    </row>
    <row r="71" spans="1:18" s="1519" customFormat="1" ht="13.5" thickBot="1">
      <c r="A71" s="1083" t="s">
        <v>820</v>
      </c>
      <c r="B71" s="1084" t="s">
        <v>1211</v>
      </c>
      <c r="C71" s="342">
        <f ca="1">ROUND(C68*10000/F71,0)</f>
        <v>-3852</v>
      </c>
      <c r="D71" s="1085" t="s">
        <v>1212</v>
      </c>
      <c r="E71" s="1086" t="s">
        <v>1213</v>
      </c>
      <c r="F71" s="345">
        <f ca="1">F43</f>
        <v>8634.8499999999985</v>
      </c>
      <c r="O71" s="1563" t="s">
        <v>837</v>
      </c>
      <c r="P71" s="1602" t="s">
        <v>1310</v>
      </c>
      <c r="Q71" s="1566">
        <f ca="1">C76</f>
        <v>8.5000000000000006E-2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136</v>
      </c>
      <c r="D75" s="1519"/>
      <c r="E75" s="1519"/>
      <c r="F75" s="1519"/>
      <c r="K75" s="1537"/>
      <c r="L75" s="1519"/>
      <c r="O75" s="1553" t="s">
        <v>833</v>
      </c>
      <c r="P75" s="1554" t="s">
        <v>1273</v>
      </c>
      <c r="Q75" s="1555">
        <f ca="1">Q65+Q66</f>
        <v>4996</v>
      </c>
      <c r="R75" s="1555" t="s">
        <v>834</v>
      </c>
    </row>
    <row r="76" spans="1:18">
      <c r="B76" s="348" t="s">
        <v>1231</v>
      </c>
      <c r="C76" s="349">
        <f ca="1">INDIRECT("'数据-取费表'!j"&amp;$G$1)</f>
        <v>8.5000000000000006E-2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0.40400000000000003</v>
      </c>
    </row>
    <row r="80" spans="1:18">
      <c r="B80" s="346" t="s">
        <v>1235</v>
      </c>
      <c r="C80" s="280">
        <f ca="1">ROUND(C75/C39,3)</f>
        <v>0.59599999999999997</v>
      </c>
    </row>
    <row r="81" spans="2:3">
      <c r="B81" s="276" t="s">
        <v>1236</v>
      </c>
      <c r="C81" s="244"/>
    </row>
    <row r="82" spans="2:3">
      <c r="B82" s="279" t="s">
        <v>1237</v>
      </c>
      <c r="C82" s="281">
        <f ca="1">1-C83</f>
        <v>0.67999999999999994</v>
      </c>
    </row>
    <row r="83" spans="2:3">
      <c r="B83" s="279" t="s">
        <v>1238</v>
      </c>
      <c r="C83" s="280">
        <f ca="1">ROUND(C13/C40,3)</f>
        <v>0.32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5" t="s">
        <v>1127</v>
      </c>
      <c r="C6" s="1187">
        <f ca="1">ROUND(F6*F8*F7*(1-F9),0)</f>
        <v>0</v>
      </c>
      <c r="D6" s="160" t="s">
        <v>2606</v>
      </c>
      <c r="E6" s="308" t="s">
        <v>1129</v>
      </c>
      <c r="F6" s="309">
        <f ca="1">INDIRECT("'数据-取费表'!u"&amp;$G$1)</f>
        <v>0</v>
      </c>
      <c r="G6" s="1519"/>
      <c r="H6" s="1182" t="s">
        <v>822</v>
      </c>
      <c r="I6" s="3435" t="s">
        <v>1127</v>
      </c>
      <c r="J6" s="307">
        <f ca="1">ROUND(M6*M8*M7*(1-M9),0)</f>
        <v>0</v>
      </c>
      <c r="K6" s="1511" t="s">
        <v>2607</v>
      </c>
      <c r="L6" s="308" t="s">
        <v>1129</v>
      </c>
      <c r="M6" s="309">
        <f ca="1">INDIRECT("'数据-取费表'!z"&amp;$G$1)</f>
        <v>0</v>
      </c>
    </row>
    <row r="7" spans="1:37" ht="18" customHeight="1">
      <c r="A7" s="1186"/>
      <c r="B7" s="3436"/>
      <c r="C7" s="1188"/>
      <c r="D7" s="313"/>
      <c r="E7" s="1189" t="s">
        <v>1130</v>
      </c>
      <c r="F7" s="309">
        <f ca="1">IF(INDIRECT("'数据-取费表'!ah"&amp;$G$1)="",INDIRECT("'数据-取费表'!k"&amp;$G$1),INDIRECT("'数据-取费表'!ah"&amp;$G$1))</f>
        <v>0</v>
      </c>
      <c r="G7" s="1519"/>
      <c r="H7" s="310"/>
      <c r="I7" s="3436"/>
      <c r="J7" s="312"/>
      <c r="K7" s="313"/>
      <c r="L7" s="308" t="s">
        <v>1130</v>
      </c>
      <c r="M7" s="309">
        <f ca="1">F7</f>
        <v>0</v>
      </c>
    </row>
    <row r="8" spans="1:37" ht="18" customHeight="1">
      <c r="A8" s="310"/>
      <c r="B8" s="3436"/>
      <c r="C8" s="312"/>
      <c r="D8" s="313"/>
      <c r="E8" s="308" t="s">
        <v>1131</v>
      </c>
      <c r="F8" s="309">
        <f ca="1">INDIRECT("'数据-取费表'!ai"&amp;$G$1)</f>
        <v>0</v>
      </c>
      <c r="G8" s="1519"/>
      <c r="H8" s="310"/>
      <c r="I8" s="3436"/>
      <c r="J8" s="312"/>
      <c r="K8" s="313"/>
      <c r="L8" s="308" t="s">
        <v>1131</v>
      </c>
      <c r="M8" s="309">
        <f ca="1">INDIRECT("'数据-取费表'!ai"&amp;$G$1)</f>
        <v>0</v>
      </c>
    </row>
    <row r="9" spans="1:37" ht="18" customHeight="1">
      <c r="A9" s="310"/>
      <c r="B9" s="3437"/>
      <c r="C9" s="312"/>
      <c r="D9" s="313"/>
      <c r="E9" s="308" t="s">
        <v>1132</v>
      </c>
      <c r="F9" s="318">
        <f ca="1">INDIRECT("'数据-取费表'!w"&amp;$G$1)</f>
        <v>0</v>
      </c>
      <c r="G9" s="1519"/>
      <c r="H9" s="310"/>
      <c r="I9" s="343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2.5000000000000001E-2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33" t="s">
        <v>1272</v>
      </c>
      <c r="L53" s="343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38" t="s">
        <v>2822</v>
      </c>
      <c r="K2" s="3439"/>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40" t="s">
        <v>2832</v>
      </c>
      <c r="K3" s="3441"/>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40" t="s">
        <v>2834</v>
      </c>
      <c r="K4" s="3441"/>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42" t="s">
        <v>2838</v>
      </c>
      <c r="B6" s="3443"/>
      <c r="C6" s="3444"/>
      <c r="D6" s="3051"/>
      <c r="E6" s="3052"/>
      <c r="F6" s="3053"/>
      <c r="G6" s="3054"/>
      <c r="H6" s="3029"/>
      <c r="I6" s="3030"/>
      <c r="J6" s="3445">
        <v>1</v>
      </c>
      <c r="K6" s="3446"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45"/>
      <c r="K7" s="3447"/>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49" t="s">
        <v>2852</v>
      </c>
      <c r="C8" s="3450"/>
      <c r="D8" s="3070" t="s">
        <v>2853</v>
      </c>
      <c r="E8" s="3071" t="s">
        <v>2854</v>
      </c>
      <c r="F8" s="3072" t="s">
        <v>2855</v>
      </c>
      <c r="G8" s="3073"/>
      <c r="H8" s="3029"/>
      <c r="I8" s="3030"/>
      <c r="J8" s="3445"/>
      <c r="K8" s="3447"/>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49" t="s">
        <v>2858</v>
      </c>
      <c r="C9" s="3450"/>
      <c r="D9" s="3070">
        <f>ROUND(D6*E9,0)</f>
        <v>0</v>
      </c>
      <c r="E9" s="3074"/>
      <c r="F9" s="3075" t="s">
        <v>2859</v>
      </c>
      <c r="G9" s="3054"/>
      <c r="H9" s="3029"/>
      <c r="I9" s="3030"/>
      <c r="J9" s="3445"/>
      <c r="K9" s="3447"/>
      <c r="L9" s="3064" t="s">
        <v>2860</v>
      </c>
      <c r="M9" s="3065"/>
      <c r="N9" s="3041"/>
      <c r="O9" s="3066"/>
      <c r="P9" s="3066"/>
      <c r="Q9" s="3067">
        <v>365</v>
      </c>
      <c r="R9" s="3068">
        <f t="shared" si="0"/>
        <v>0</v>
      </c>
      <c r="S9" s="3022"/>
      <c r="T9" s="3022"/>
      <c r="U9" s="3022"/>
      <c r="V9" s="3030"/>
    </row>
    <row r="10" spans="1:22" s="3034" customFormat="1" ht="13.15" customHeight="1">
      <c r="A10" s="3069">
        <v>2</v>
      </c>
      <c r="B10" s="3449" t="s">
        <v>2861</v>
      </c>
      <c r="C10" s="3450"/>
      <c r="D10" s="3070">
        <f>ROUND(D6*E10,0)</f>
        <v>0</v>
      </c>
      <c r="E10" s="3074"/>
      <c r="F10" s="3075" t="s">
        <v>2862</v>
      </c>
      <c r="G10" s="3054"/>
      <c r="H10" s="3029"/>
      <c r="I10" s="3030"/>
      <c r="J10" s="3445"/>
      <c r="K10" s="3447"/>
      <c r="L10" s="3064" t="s">
        <v>2863</v>
      </c>
      <c r="M10" s="3065"/>
      <c r="N10" s="3041"/>
      <c r="O10" s="3066"/>
      <c r="P10" s="3066"/>
      <c r="Q10" s="3067">
        <v>365</v>
      </c>
      <c r="R10" s="3068">
        <f t="shared" si="0"/>
        <v>0</v>
      </c>
      <c r="S10" s="3022"/>
      <c r="T10" s="3022"/>
      <c r="U10" s="3022"/>
      <c r="V10" s="3030"/>
    </row>
    <row r="11" spans="1:22" s="3034" customFormat="1" ht="13.15" customHeight="1">
      <c r="A11" s="3069">
        <v>3</v>
      </c>
      <c r="B11" s="3449" t="s">
        <v>2864</v>
      </c>
      <c r="C11" s="3450"/>
      <c r="D11" s="3070">
        <f>D12+D14+D15+D16</f>
        <v>0</v>
      </c>
      <c r="E11" s="3076" t="e">
        <f>D11/D6</f>
        <v>#DIV/0!</v>
      </c>
      <c r="F11" s="3072"/>
      <c r="G11" s="3073"/>
      <c r="H11" s="3029"/>
      <c r="I11" s="3030"/>
      <c r="J11" s="3445"/>
      <c r="K11" s="3447"/>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51" t="s">
        <v>2867</v>
      </c>
      <c r="C12" s="3452"/>
      <c r="D12" s="3078">
        <f>ROUND(D13*1.2%*(1-30%),0)</f>
        <v>0</v>
      </c>
      <c r="E12" s="3079">
        <v>1.2E-2</v>
      </c>
      <c r="F12" s="3072" t="s">
        <v>2868</v>
      </c>
      <c r="G12" s="3073"/>
      <c r="H12" s="3029"/>
      <c r="I12" s="3030"/>
      <c r="J12" s="3445"/>
      <c r="K12" s="3447"/>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45"/>
      <c r="K13" s="3447"/>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51" t="s">
        <v>2873</v>
      </c>
      <c r="C14" s="3452"/>
      <c r="D14" s="3078">
        <f>ROUND(E14*B5/10000,0)</f>
        <v>0</v>
      </c>
      <c r="E14" s="3067"/>
      <c r="F14" s="3072" t="s">
        <v>2874</v>
      </c>
      <c r="G14" s="3073"/>
      <c r="H14" s="3029"/>
      <c r="I14" s="3030"/>
      <c r="J14" s="3445"/>
      <c r="K14" s="3448"/>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51" t="s">
        <v>2877</v>
      </c>
      <c r="C15" s="3452"/>
      <c r="D15" s="3078">
        <f>ROUND(D6*E15,0)</f>
        <v>0</v>
      </c>
      <c r="E15" s="3079">
        <v>5.5E-2</v>
      </c>
      <c r="F15" s="3072" t="s">
        <v>2878</v>
      </c>
      <c r="G15" s="3054"/>
      <c r="H15" s="3029"/>
      <c r="I15" s="3030"/>
      <c r="J15" s="3445">
        <v>2</v>
      </c>
      <c r="K15" s="3446"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51" t="s">
        <v>2886</v>
      </c>
      <c r="C16" s="3452"/>
      <c r="D16" s="3089">
        <f>D6*E16</f>
        <v>0</v>
      </c>
      <c r="E16" s="3090"/>
      <c r="F16" s="3075" t="s">
        <v>2887</v>
      </c>
      <c r="G16" s="3054"/>
      <c r="H16" s="3029"/>
      <c r="I16" s="3030"/>
      <c r="J16" s="3445"/>
      <c r="K16" s="3447"/>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53" t="s">
        <v>2889</v>
      </c>
      <c r="C17" s="3454"/>
      <c r="D17" s="3092">
        <f>ROUND(D6*E17,0)</f>
        <v>0</v>
      </c>
      <c r="E17" s="3093"/>
      <c r="F17" s="3094" t="s">
        <v>2890</v>
      </c>
      <c r="G17" s="3054"/>
      <c r="H17" s="3029"/>
      <c r="I17" s="3030"/>
      <c r="J17" s="3445"/>
      <c r="K17" s="3447"/>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45"/>
      <c r="K18" s="3447"/>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45"/>
      <c r="K19" s="3448"/>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45">
        <v>3</v>
      </c>
      <c r="K20" s="3446"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45"/>
      <c r="K21" s="3447"/>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45"/>
      <c r="K22" s="3447"/>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45"/>
      <c r="K23" s="3447"/>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45"/>
      <c r="K24" s="3448"/>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55">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56"/>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38" t="s">
        <v>2822</v>
      </c>
      <c r="K32" s="3439"/>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40" t="s">
        <v>2832</v>
      </c>
      <c r="K33" s="3441"/>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40" t="s">
        <v>2834</v>
      </c>
      <c r="K34" s="3441"/>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45">
        <v>1</v>
      </c>
      <c r="K36" s="3446"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45"/>
      <c r="K37" s="3447"/>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45"/>
      <c r="K38" s="3447"/>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45"/>
      <c r="K39" s="3447"/>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45"/>
      <c r="K40" s="3448"/>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55">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56"/>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4996</v>
      </c>
      <c r="C2" s="2009" t="s">
        <v>2099</v>
      </c>
      <c r="D2" s="2010" t="s">
        <v>2100</v>
      </c>
      <c r="E2" s="2783">
        <f>SUM(E6:E13)</f>
        <v>8634.8499999999985</v>
      </c>
      <c r="F2" s="2886"/>
      <c r="G2" s="1625"/>
      <c r="H2" s="1625"/>
      <c r="I2" s="1625"/>
      <c r="J2" s="1625"/>
      <c r="K2" s="1625"/>
      <c r="L2" s="1625"/>
      <c r="M2" s="1625"/>
      <c r="N2" s="1625"/>
      <c r="O2" s="1625"/>
      <c r="P2" s="1625"/>
      <c r="Q2" s="1625"/>
      <c r="R2" s="1625"/>
      <c r="S2" s="1625"/>
    </row>
    <row r="3" spans="1:22" ht="15.75">
      <c r="A3" s="2007" t="s">
        <v>1119</v>
      </c>
      <c r="B3" s="2777">
        <f ca="1">ROUND(B2*10000/E2,0)</f>
        <v>5786</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57" t="s">
        <v>2102</v>
      </c>
      <c r="C5" s="3458"/>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4996</v>
      </c>
      <c r="C6" s="2009" t="s">
        <v>2099</v>
      </c>
      <c r="D6" s="2888"/>
      <c r="E6" s="2782">
        <f>IF(OR(A6=0,F6="否"),0,'数据-取费表'!K6+'数据-取费表'!S6)</f>
        <v>8634.8499999999985</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8634.8499999999985</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77" t="s">
        <v>2116</v>
      </c>
      <c r="D4" s="3478"/>
      <c r="E4" s="3479" t="s">
        <v>2117</v>
      </c>
      <c r="F4" s="3480"/>
      <c r="G4" s="3477" t="s">
        <v>2118</v>
      </c>
      <c r="H4" s="3478"/>
      <c r="I4" s="3477" t="s">
        <v>2119</v>
      </c>
      <c r="J4" s="3478"/>
      <c r="K4" s="2026" t="s">
        <v>2120</v>
      </c>
      <c r="L4" s="2894"/>
      <c r="M4" s="2895"/>
      <c r="N4" s="2895"/>
      <c r="O4" s="2895"/>
      <c r="P4" s="3481" t="s">
        <v>2121</v>
      </c>
      <c r="Q4" s="3482"/>
      <c r="R4" s="3464" t="s">
        <v>2117</v>
      </c>
      <c r="S4" s="3465"/>
      <c r="T4" s="3464" t="s">
        <v>2118</v>
      </c>
      <c r="U4" s="3465"/>
      <c r="V4" s="3489" t="s">
        <v>2119</v>
      </c>
      <c r="W4" s="3489"/>
      <c r="X4" s="1490"/>
      <c r="Y4" s="3464" t="s">
        <v>2121</v>
      </c>
      <c r="Z4" s="3465"/>
      <c r="AA4" s="3459" t="s">
        <v>2117</v>
      </c>
      <c r="AB4" s="3459" t="s">
        <v>2118</v>
      </c>
      <c r="AC4" s="3459" t="s">
        <v>2119</v>
      </c>
    </row>
    <row r="5" spans="1:29" ht="15">
      <c r="A5" s="364"/>
      <c r="B5" s="365"/>
      <c r="C5" s="3470" t="s">
        <v>2122</v>
      </c>
      <c r="D5" s="3471"/>
      <c r="E5" s="3468" t="s">
        <v>2123</v>
      </c>
      <c r="F5" s="3469"/>
      <c r="G5" s="3470" t="s">
        <v>2124</v>
      </c>
      <c r="H5" s="3471"/>
      <c r="I5" s="3470" t="s">
        <v>2125</v>
      </c>
      <c r="J5" s="3471"/>
      <c r="K5" s="2027"/>
      <c r="L5" s="2894"/>
      <c r="M5" s="2895"/>
      <c r="N5" s="2895"/>
      <c r="O5" s="2895"/>
      <c r="P5" s="3483"/>
      <c r="Q5" s="3484"/>
      <c r="R5" s="3466"/>
      <c r="S5" s="3467"/>
      <c r="T5" s="3466"/>
      <c r="U5" s="3467"/>
      <c r="V5" s="3489"/>
      <c r="W5" s="3489"/>
      <c r="X5" s="1490"/>
      <c r="Y5" s="3466"/>
      <c r="Z5" s="3467"/>
      <c r="AA5" s="3460"/>
      <c r="AB5" s="3460"/>
      <c r="AC5" s="3460"/>
    </row>
    <row r="6" spans="1:29" ht="15.75" thickBot="1">
      <c r="A6" s="366"/>
      <c r="B6" s="367"/>
      <c r="C6" s="3472" t="s">
        <v>2126</v>
      </c>
      <c r="D6" s="3473"/>
      <c r="E6" s="3474" t="s">
        <v>2126</v>
      </c>
      <c r="F6" s="3475"/>
      <c r="G6" s="3472" t="s">
        <v>2126</v>
      </c>
      <c r="H6" s="3473"/>
      <c r="I6" s="3472" t="s">
        <v>2126</v>
      </c>
      <c r="J6" s="3473"/>
      <c r="K6" s="2027" t="s">
        <v>2127</v>
      </c>
      <c r="L6" s="2894"/>
      <c r="M6" s="2895"/>
      <c r="N6" s="2895"/>
      <c r="O6" s="2895"/>
      <c r="P6" s="3485"/>
      <c r="Q6" s="3486"/>
      <c r="R6" s="3466"/>
      <c r="S6" s="3467"/>
      <c r="T6" s="3487"/>
      <c r="U6" s="3488"/>
      <c r="V6" s="3489"/>
      <c r="W6" s="3489"/>
      <c r="X6" s="1490"/>
      <c r="Y6" s="3487"/>
      <c r="Z6" s="3488"/>
      <c r="AA6" s="3461"/>
      <c r="AB6" s="3461"/>
      <c r="AC6" s="3461"/>
    </row>
    <row r="7" spans="1:29" s="113" customFormat="1" ht="15.75" thickBot="1">
      <c r="A7" s="368" t="s">
        <v>2128</v>
      </c>
      <c r="B7" s="369"/>
      <c r="C7" s="370">
        <f>'数据-取费表'!B2</f>
        <v>44728</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62" t="s">
        <v>2129</v>
      </c>
      <c r="Q7" s="3490"/>
      <c r="R7" s="710" t="s">
        <v>23</v>
      </c>
      <c r="S7" s="711">
        <f t="shared" ref="S7:S15" si="0">F7</f>
        <v>0</v>
      </c>
      <c r="T7" s="710" t="s">
        <v>23</v>
      </c>
      <c r="U7" s="711">
        <f t="shared" ref="U7:U15" si="1">H7</f>
        <v>0</v>
      </c>
      <c r="V7" s="710" t="s">
        <v>23</v>
      </c>
      <c r="W7" s="711">
        <f t="shared" ref="W7:W15" si="2">J7</f>
        <v>0</v>
      </c>
      <c r="X7" s="712"/>
      <c r="Y7" s="3462" t="s">
        <v>2129</v>
      </c>
      <c r="Z7" s="3463"/>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62" t="s">
        <v>2132</v>
      </c>
      <c r="Q8" s="3463"/>
      <c r="R8" s="710" t="s">
        <v>23</v>
      </c>
      <c r="S8" s="711">
        <f t="shared" si="0"/>
        <v>0</v>
      </c>
      <c r="T8" s="710" t="s">
        <v>23</v>
      </c>
      <c r="U8" s="711">
        <f t="shared" si="1"/>
        <v>0</v>
      </c>
      <c r="V8" s="710" t="s">
        <v>23</v>
      </c>
      <c r="W8" s="711">
        <f t="shared" si="2"/>
        <v>0</v>
      </c>
      <c r="X8" s="712"/>
      <c r="Y8" s="3462" t="s">
        <v>2132</v>
      </c>
      <c r="Z8" s="3463"/>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6" t="s">
        <v>2135</v>
      </c>
      <c r="Q9" s="1478" t="str">
        <f t="shared" ref="Q9:Q15" si="6">B9</f>
        <v>用途</v>
      </c>
      <c r="R9" s="710" t="s">
        <v>17</v>
      </c>
      <c r="S9" s="711">
        <f t="shared" si="0"/>
        <v>100</v>
      </c>
      <c r="T9" s="710" t="s">
        <v>17</v>
      </c>
      <c r="U9" s="711">
        <f t="shared" si="1"/>
        <v>100</v>
      </c>
      <c r="V9" s="710" t="s">
        <v>17</v>
      </c>
      <c r="W9" s="711">
        <f t="shared" si="2"/>
        <v>100</v>
      </c>
      <c r="X9" s="712"/>
      <c r="Y9" s="340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6"/>
      <c r="Q10" s="1478" t="str">
        <f t="shared" si="6"/>
        <v>土地使用年限（年）</v>
      </c>
      <c r="R10" s="710" t="s">
        <v>17</v>
      </c>
      <c r="S10" s="711">
        <f t="shared" si="0"/>
        <v>100</v>
      </c>
      <c r="T10" s="710" t="s">
        <v>17</v>
      </c>
      <c r="U10" s="711">
        <f t="shared" si="1"/>
        <v>100</v>
      </c>
      <c r="V10" s="710" t="s">
        <v>17</v>
      </c>
      <c r="W10" s="711">
        <f t="shared" si="2"/>
        <v>100</v>
      </c>
      <c r="X10" s="712"/>
      <c r="Y10" s="3406"/>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6"/>
      <c r="Q11" s="1478" t="str">
        <f t="shared" si="6"/>
        <v>容积率</v>
      </c>
      <c r="R11" s="710" t="s">
        <v>21</v>
      </c>
      <c r="S11" s="711" t="e">
        <f t="shared" si="0"/>
        <v>#N/A</v>
      </c>
      <c r="T11" s="710" t="s">
        <v>21</v>
      </c>
      <c r="U11" s="711" t="e">
        <f t="shared" si="1"/>
        <v>#N/A</v>
      </c>
      <c r="V11" s="710" t="s">
        <v>21</v>
      </c>
      <c r="W11" s="711" t="e">
        <f t="shared" si="2"/>
        <v>#N/A</v>
      </c>
      <c r="X11" s="712"/>
      <c r="Y11" s="3406"/>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6"/>
      <c r="Q12" s="1478">
        <f t="shared" si="6"/>
        <v>111</v>
      </c>
      <c r="R12" s="710" t="s">
        <v>21</v>
      </c>
      <c r="S12" s="711">
        <f t="shared" si="0"/>
        <v>100</v>
      </c>
      <c r="T12" s="710" t="s">
        <v>21</v>
      </c>
      <c r="U12" s="711">
        <f t="shared" si="1"/>
        <v>100</v>
      </c>
      <c r="V12" s="710" t="s">
        <v>21</v>
      </c>
      <c r="W12" s="711">
        <f t="shared" si="2"/>
        <v>100</v>
      </c>
      <c r="X12" s="712"/>
      <c r="Y12" s="3406"/>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6"/>
      <c r="Q13" s="1478">
        <f t="shared" si="6"/>
        <v>111</v>
      </c>
      <c r="R13" s="710" t="s">
        <v>21</v>
      </c>
      <c r="S13" s="711">
        <f t="shared" si="0"/>
        <v>100</v>
      </c>
      <c r="T13" s="710" t="s">
        <v>21</v>
      </c>
      <c r="U13" s="711">
        <f t="shared" si="1"/>
        <v>100</v>
      </c>
      <c r="V13" s="710" t="s">
        <v>21</v>
      </c>
      <c r="W13" s="711">
        <f t="shared" si="2"/>
        <v>100</v>
      </c>
      <c r="X13" s="712"/>
      <c r="Y13" s="3406"/>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6"/>
      <c r="Q14" s="1478">
        <f t="shared" si="6"/>
        <v>111</v>
      </c>
      <c r="R14" s="710" t="s">
        <v>21</v>
      </c>
      <c r="S14" s="711">
        <f t="shared" si="0"/>
        <v>100</v>
      </c>
      <c r="T14" s="710" t="s">
        <v>21</v>
      </c>
      <c r="U14" s="711">
        <f t="shared" si="1"/>
        <v>100</v>
      </c>
      <c r="V14" s="710" t="s">
        <v>21</v>
      </c>
      <c r="W14" s="711">
        <f t="shared" si="2"/>
        <v>100</v>
      </c>
      <c r="X14" s="712"/>
      <c r="Y14" s="3406"/>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503" t="s">
        <v>2140</v>
      </c>
      <c r="Q15" s="1487" t="str">
        <f t="shared" si="6"/>
        <v>居住社区成熟度</v>
      </c>
      <c r="R15" s="714" t="s">
        <v>21</v>
      </c>
      <c r="S15" s="715">
        <f t="shared" si="0"/>
        <v>100</v>
      </c>
      <c r="T15" s="714" t="s">
        <v>21</v>
      </c>
      <c r="U15" s="715">
        <f t="shared" si="1"/>
        <v>100</v>
      </c>
      <c r="V15" s="714" t="s">
        <v>21</v>
      </c>
      <c r="W15" s="715">
        <f t="shared" si="2"/>
        <v>100</v>
      </c>
      <c r="X15" s="1490"/>
      <c r="Y15" s="3496"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504"/>
      <c r="Q16" s="1487"/>
      <c r="R16" s="714"/>
      <c r="S16" s="715"/>
      <c r="T16" s="714"/>
      <c r="U16" s="715"/>
      <c r="V16" s="714"/>
      <c r="W16" s="715"/>
      <c r="X16" s="1490"/>
      <c r="Y16" s="3497"/>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504"/>
      <c r="Q17" s="1487" t="str">
        <f>B17</f>
        <v>交通便捷度</v>
      </c>
      <c r="R17" s="714" t="s">
        <v>21</v>
      </c>
      <c r="S17" s="715">
        <f>F17</f>
        <v>100</v>
      </c>
      <c r="T17" s="714" t="s">
        <v>21</v>
      </c>
      <c r="U17" s="715">
        <f>H17</f>
        <v>100</v>
      </c>
      <c r="V17" s="714" t="s">
        <v>21</v>
      </c>
      <c r="W17" s="715">
        <f>J17</f>
        <v>100</v>
      </c>
      <c r="X17" s="1490"/>
      <c r="Y17" s="3497"/>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504"/>
      <c r="Q18" s="1487"/>
      <c r="R18" s="714"/>
      <c r="S18" s="715"/>
      <c r="T18" s="714"/>
      <c r="U18" s="715"/>
      <c r="V18" s="714"/>
      <c r="W18" s="715"/>
      <c r="X18" s="1490"/>
      <c r="Y18" s="3497"/>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504"/>
      <c r="Q19" s="1487" t="str">
        <f>B19</f>
        <v>公共配套设施</v>
      </c>
      <c r="R19" s="714" t="s">
        <v>21</v>
      </c>
      <c r="S19" s="715">
        <f>F19</f>
        <v>100</v>
      </c>
      <c r="T19" s="714" t="s">
        <v>21</v>
      </c>
      <c r="U19" s="715">
        <f>H19</f>
        <v>100</v>
      </c>
      <c r="V19" s="714" t="s">
        <v>21</v>
      </c>
      <c r="W19" s="715">
        <f>J19</f>
        <v>100</v>
      </c>
      <c r="X19" s="1490"/>
      <c r="Y19" s="3497"/>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504"/>
      <c r="Q20" s="1487"/>
      <c r="R20" s="714"/>
      <c r="S20" s="715"/>
      <c r="T20" s="714"/>
      <c r="U20" s="715"/>
      <c r="V20" s="714"/>
      <c r="W20" s="715"/>
      <c r="X20" s="1490"/>
      <c r="Y20" s="3497"/>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504"/>
      <c r="Q21" s="1487" t="str">
        <f>B21</f>
        <v>基础设施水平</v>
      </c>
      <c r="R21" s="714" t="s">
        <v>17</v>
      </c>
      <c r="S21" s="715">
        <f>F21</f>
        <v>100</v>
      </c>
      <c r="T21" s="714" t="s">
        <v>17</v>
      </c>
      <c r="U21" s="715">
        <f>H21</f>
        <v>100</v>
      </c>
      <c r="V21" s="714" t="s">
        <v>17</v>
      </c>
      <c r="W21" s="715">
        <f>J21</f>
        <v>100</v>
      </c>
      <c r="X21" s="1490"/>
      <c r="Y21" s="349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504"/>
      <c r="Q22" s="1487"/>
      <c r="R22" s="714"/>
      <c r="S22" s="715"/>
      <c r="T22" s="714"/>
      <c r="U22" s="715"/>
      <c r="V22" s="714"/>
      <c r="W22" s="715"/>
      <c r="X22" s="1490"/>
      <c r="Y22" s="3497"/>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504"/>
      <c r="Q23" s="1487" t="str">
        <f>B23</f>
        <v>自然及人文环境</v>
      </c>
      <c r="R23" s="714" t="s">
        <v>21</v>
      </c>
      <c r="S23" s="715">
        <f>F23</f>
        <v>100</v>
      </c>
      <c r="T23" s="714" t="s">
        <v>21</v>
      </c>
      <c r="U23" s="715">
        <f>H23</f>
        <v>100</v>
      </c>
      <c r="V23" s="714" t="s">
        <v>21</v>
      </c>
      <c r="W23" s="715">
        <f>J23</f>
        <v>100</v>
      </c>
      <c r="X23" s="1490"/>
      <c r="Y23" s="3497"/>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504"/>
      <c r="Q24" s="1487"/>
      <c r="R24" s="714"/>
      <c r="S24" s="715"/>
      <c r="T24" s="714"/>
      <c r="U24" s="715"/>
      <c r="V24" s="714"/>
      <c r="W24" s="715"/>
      <c r="X24" s="1490"/>
      <c r="Y24" s="3497"/>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504"/>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7"/>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504"/>
      <c r="Q26" s="1487" t="str">
        <f t="shared" si="11"/>
        <v>朝向</v>
      </c>
      <c r="R26" s="714" t="s">
        <v>21</v>
      </c>
      <c r="S26" s="715">
        <f t="shared" si="12"/>
        <v>100</v>
      </c>
      <c r="T26" s="714" t="s">
        <v>21</v>
      </c>
      <c r="U26" s="715">
        <f t="shared" si="13"/>
        <v>100</v>
      </c>
      <c r="V26" s="714" t="s">
        <v>21</v>
      </c>
      <c r="W26" s="715">
        <f t="shared" si="14"/>
        <v>100</v>
      </c>
      <c r="X26" s="1490"/>
      <c r="Y26" s="3497"/>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504"/>
      <c r="Q27" s="1478">
        <f t="shared" si="11"/>
        <v>111</v>
      </c>
      <c r="R27" s="710" t="s">
        <v>21</v>
      </c>
      <c r="S27" s="711">
        <f t="shared" si="12"/>
        <v>100</v>
      </c>
      <c r="T27" s="710" t="s">
        <v>21</v>
      </c>
      <c r="U27" s="711">
        <f t="shared" si="13"/>
        <v>100</v>
      </c>
      <c r="V27" s="710" t="s">
        <v>21</v>
      </c>
      <c r="W27" s="711">
        <f t="shared" si="14"/>
        <v>100</v>
      </c>
      <c r="X27" s="712"/>
      <c r="Y27" s="3497"/>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504"/>
      <c r="Q28" s="1487">
        <f t="shared" si="11"/>
        <v>111</v>
      </c>
      <c r="R28" s="714" t="s">
        <v>21</v>
      </c>
      <c r="S28" s="715">
        <f t="shared" si="12"/>
        <v>100</v>
      </c>
      <c r="T28" s="714" t="s">
        <v>21</v>
      </c>
      <c r="U28" s="715">
        <f t="shared" si="13"/>
        <v>100</v>
      </c>
      <c r="V28" s="714" t="s">
        <v>21</v>
      </c>
      <c r="W28" s="715">
        <f t="shared" si="14"/>
        <v>100</v>
      </c>
      <c r="X28" s="1490"/>
      <c r="Y28" s="3497"/>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504"/>
      <c r="Q29" s="1487">
        <f t="shared" si="11"/>
        <v>111</v>
      </c>
      <c r="R29" s="714" t="s">
        <v>21</v>
      </c>
      <c r="S29" s="715">
        <f t="shared" si="12"/>
        <v>100</v>
      </c>
      <c r="T29" s="714" t="s">
        <v>21</v>
      </c>
      <c r="U29" s="715">
        <f t="shared" si="13"/>
        <v>100</v>
      </c>
      <c r="V29" s="714" t="s">
        <v>21</v>
      </c>
      <c r="W29" s="715">
        <f t="shared" si="14"/>
        <v>100</v>
      </c>
      <c r="X29" s="1490"/>
      <c r="Y29" s="3497"/>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504"/>
      <c r="Q30" s="1487">
        <f t="shared" si="11"/>
        <v>111</v>
      </c>
      <c r="R30" s="714" t="s">
        <v>21</v>
      </c>
      <c r="S30" s="715">
        <f t="shared" si="12"/>
        <v>100</v>
      </c>
      <c r="T30" s="714" t="s">
        <v>21</v>
      </c>
      <c r="U30" s="715">
        <f t="shared" si="13"/>
        <v>100</v>
      </c>
      <c r="V30" s="714" t="s">
        <v>21</v>
      </c>
      <c r="W30" s="715">
        <f t="shared" si="14"/>
        <v>100</v>
      </c>
      <c r="X30" s="1490"/>
      <c r="Y30" s="3497"/>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504"/>
      <c r="Q31" s="1487">
        <f t="shared" si="11"/>
        <v>111</v>
      </c>
      <c r="R31" s="714" t="s">
        <v>21</v>
      </c>
      <c r="S31" s="715">
        <f t="shared" si="12"/>
        <v>100</v>
      </c>
      <c r="T31" s="714" t="s">
        <v>21</v>
      </c>
      <c r="U31" s="715">
        <f t="shared" si="13"/>
        <v>100</v>
      </c>
      <c r="V31" s="714" t="s">
        <v>21</v>
      </c>
      <c r="W31" s="715">
        <f t="shared" si="14"/>
        <v>100</v>
      </c>
      <c r="X31" s="1490"/>
      <c r="Y31" s="3497"/>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98" t="s">
        <v>2145</v>
      </c>
      <c r="Q32" s="1487" t="str">
        <f t="shared" si="11"/>
        <v>建筑类型</v>
      </c>
      <c r="R32" s="714" t="s">
        <v>21</v>
      </c>
      <c r="S32" s="715">
        <f t="shared" si="12"/>
        <v>100</v>
      </c>
      <c r="T32" s="714" t="s">
        <v>21</v>
      </c>
      <c r="U32" s="715">
        <f t="shared" si="13"/>
        <v>100</v>
      </c>
      <c r="V32" s="714" t="s">
        <v>21</v>
      </c>
      <c r="W32" s="715">
        <f t="shared" si="14"/>
        <v>100</v>
      </c>
      <c r="X32" s="1490"/>
      <c r="Y32" s="3501"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9"/>
      <c r="Q33" s="716" t="str">
        <f t="shared" si="11"/>
        <v>项目建筑规模</v>
      </c>
      <c r="R33" s="717" t="s">
        <v>21</v>
      </c>
      <c r="S33" s="718" t="e">
        <f t="shared" si="12"/>
        <v>#N/A</v>
      </c>
      <c r="T33" s="717" t="s">
        <v>21</v>
      </c>
      <c r="U33" s="718" t="e">
        <f t="shared" si="13"/>
        <v>#N/A</v>
      </c>
      <c r="V33" s="717" t="s">
        <v>21</v>
      </c>
      <c r="W33" s="718" t="e">
        <f t="shared" si="14"/>
        <v>#N/A</v>
      </c>
      <c r="X33" s="719"/>
      <c r="Y33" s="3501"/>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9"/>
      <c r="Q34" s="1487" t="str">
        <f t="shared" si="11"/>
        <v>建筑结构</v>
      </c>
      <c r="R34" s="714" t="s">
        <v>21</v>
      </c>
      <c r="S34" s="715">
        <f t="shared" si="12"/>
        <v>100</v>
      </c>
      <c r="T34" s="714" t="s">
        <v>21</v>
      </c>
      <c r="U34" s="715">
        <f t="shared" si="13"/>
        <v>100</v>
      </c>
      <c r="V34" s="714" t="s">
        <v>21</v>
      </c>
      <c r="W34" s="715">
        <f t="shared" si="14"/>
        <v>100</v>
      </c>
      <c r="X34" s="1490"/>
      <c r="Y34" s="3501"/>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9"/>
      <c r="Q35" s="1487" t="str">
        <f t="shared" si="11"/>
        <v>建筑品质</v>
      </c>
      <c r="R35" s="714" t="s">
        <v>21</v>
      </c>
      <c r="S35" s="715">
        <f t="shared" si="12"/>
        <v>100</v>
      </c>
      <c r="T35" s="714" t="s">
        <v>21</v>
      </c>
      <c r="U35" s="715">
        <f t="shared" si="13"/>
        <v>100</v>
      </c>
      <c r="V35" s="714" t="s">
        <v>21</v>
      </c>
      <c r="W35" s="715">
        <f t="shared" si="14"/>
        <v>100</v>
      </c>
      <c r="X35" s="1490"/>
      <c r="Y35" s="3501"/>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9"/>
      <c r="Q36" s="1487" t="str">
        <f t="shared" si="11"/>
        <v>公共部分装修</v>
      </c>
      <c r="R36" s="714" t="s">
        <v>21</v>
      </c>
      <c r="S36" s="715">
        <f t="shared" si="12"/>
        <v>100</v>
      </c>
      <c r="T36" s="714" t="s">
        <v>21</v>
      </c>
      <c r="U36" s="715">
        <f t="shared" si="13"/>
        <v>100</v>
      </c>
      <c r="V36" s="714" t="s">
        <v>21</v>
      </c>
      <c r="W36" s="715">
        <f t="shared" si="14"/>
        <v>100</v>
      </c>
      <c r="X36" s="1490"/>
      <c r="Y36" s="3501"/>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9"/>
      <c r="Q37" s="1478" t="str">
        <f t="shared" si="11"/>
        <v>成新度</v>
      </c>
      <c r="R37" s="710" t="s">
        <v>21</v>
      </c>
      <c r="S37" s="711" t="e">
        <f t="shared" si="12"/>
        <v>#N/A</v>
      </c>
      <c r="T37" s="710" t="s">
        <v>21</v>
      </c>
      <c r="U37" s="711" t="e">
        <f t="shared" si="13"/>
        <v>#N/A</v>
      </c>
      <c r="V37" s="710" t="s">
        <v>21</v>
      </c>
      <c r="W37" s="711" t="e">
        <f t="shared" si="14"/>
        <v>#N/A</v>
      </c>
      <c r="X37" s="712"/>
      <c r="Y37" s="3501"/>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9" t="s">
        <v>2145</v>
      </c>
      <c r="Q38" s="1487" t="str">
        <f t="shared" si="11"/>
        <v>物业管理</v>
      </c>
      <c r="R38" s="714" t="s">
        <v>21</v>
      </c>
      <c r="S38" s="715">
        <f t="shared" si="12"/>
        <v>100</v>
      </c>
      <c r="T38" s="714" t="s">
        <v>21</v>
      </c>
      <c r="U38" s="715">
        <f t="shared" si="13"/>
        <v>100</v>
      </c>
      <c r="V38" s="714" t="s">
        <v>21</v>
      </c>
      <c r="W38" s="715">
        <f t="shared" si="14"/>
        <v>100</v>
      </c>
      <c r="X38" s="1490"/>
      <c r="Y38" s="3501"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9"/>
      <c r="Q39" s="1487" t="str">
        <f t="shared" si="11"/>
        <v>市政基础设施</v>
      </c>
      <c r="R39" s="714" t="s">
        <v>21</v>
      </c>
      <c r="S39" s="715">
        <f t="shared" si="12"/>
        <v>100</v>
      </c>
      <c r="T39" s="714" t="s">
        <v>21</v>
      </c>
      <c r="U39" s="715">
        <f t="shared" si="13"/>
        <v>100</v>
      </c>
      <c r="V39" s="714" t="s">
        <v>21</v>
      </c>
      <c r="W39" s="715">
        <f t="shared" si="14"/>
        <v>100</v>
      </c>
      <c r="X39" s="1490"/>
      <c r="Y39" s="3501"/>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9"/>
      <c r="Q40" s="1487" t="str">
        <f t="shared" si="11"/>
        <v>房型</v>
      </c>
      <c r="R40" s="714" t="s">
        <v>21</v>
      </c>
      <c r="S40" s="715">
        <f t="shared" si="12"/>
        <v>100</v>
      </c>
      <c r="T40" s="714" t="s">
        <v>21</v>
      </c>
      <c r="U40" s="715">
        <f t="shared" si="13"/>
        <v>100</v>
      </c>
      <c r="V40" s="714" t="s">
        <v>21</v>
      </c>
      <c r="W40" s="715">
        <f t="shared" si="14"/>
        <v>100</v>
      </c>
      <c r="X40" s="1490"/>
      <c r="Y40" s="3501"/>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9"/>
      <c r="Q41" s="716" t="str">
        <f t="shared" si="11"/>
        <v>单套/主力户型建筑面积</v>
      </c>
      <c r="R41" s="717" t="s">
        <v>21</v>
      </c>
      <c r="S41" s="718">
        <f t="shared" si="12"/>
        <v>100</v>
      </c>
      <c r="T41" s="717" t="s">
        <v>21</v>
      </c>
      <c r="U41" s="718">
        <f t="shared" si="13"/>
        <v>100</v>
      </c>
      <c r="V41" s="717" t="s">
        <v>21</v>
      </c>
      <c r="W41" s="718">
        <f t="shared" si="14"/>
        <v>100</v>
      </c>
      <c r="X41" s="719"/>
      <c r="Y41" s="3501"/>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9"/>
      <c r="Q42" s="1487" t="str">
        <f t="shared" si="11"/>
        <v>内部装修</v>
      </c>
      <c r="R42" s="714" t="s">
        <v>21</v>
      </c>
      <c r="S42" s="715">
        <f t="shared" si="12"/>
        <v>100</v>
      </c>
      <c r="T42" s="714" t="s">
        <v>21</v>
      </c>
      <c r="U42" s="715">
        <f t="shared" si="13"/>
        <v>100</v>
      </c>
      <c r="V42" s="714" t="s">
        <v>21</v>
      </c>
      <c r="W42" s="715">
        <f t="shared" si="14"/>
        <v>100</v>
      </c>
      <c r="X42" s="1490"/>
      <c r="Y42" s="3501"/>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9"/>
      <c r="Q43" s="1487" t="str">
        <f t="shared" si="11"/>
        <v>内部装修维护情况</v>
      </c>
      <c r="R43" s="714" t="s">
        <v>21</v>
      </c>
      <c r="S43" s="715">
        <f t="shared" si="12"/>
        <v>100</v>
      </c>
      <c r="T43" s="714" t="s">
        <v>21</v>
      </c>
      <c r="U43" s="715">
        <f t="shared" si="13"/>
        <v>100</v>
      </c>
      <c r="V43" s="714" t="s">
        <v>21</v>
      </c>
      <c r="W43" s="715">
        <f t="shared" si="14"/>
        <v>100</v>
      </c>
      <c r="X43" s="1490"/>
      <c r="Y43" s="3501"/>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9"/>
      <c r="Q44" s="1478">
        <f t="shared" si="11"/>
        <v>111</v>
      </c>
      <c r="R44" s="710" t="s">
        <v>21</v>
      </c>
      <c r="S44" s="711">
        <f t="shared" si="12"/>
        <v>100</v>
      </c>
      <c r="T44" s="710" t="s">
        <v>21</v>
      </c>
      <c r="U44" s="711">
        <f t="shared" si="13"/>
        <v>100</v>
      </c>
      <c r="V44" s="710" t="s">
        <v>21</v>
      </c>
      <c r="W44" s="711">
        <f t="shared" si="14"/>
        <v>100</v>
      </c>
      <c r="X44" s="712"/>
      <c r="Y44" s="3501"/>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9"/>
      <c r="Q45" s="1487">
        <f t="shared" si="11"/>
        <v>111</v>
      </c>
      <c r="R45" s="714" t="s">
        <v>21</v>
      </c>
      <c r="S45" s="715">
        <f t="shared" si="12"/>
        <v>100</v>
      </c>
      <c r="T45" s="714" t="s">
        <v>21</v>
      </c>
      <c r="U45" s="715">
        <f t="shared" si="13"/>
        <v>100</v>
      </c>
      <c r="V45" s="714" t="s">
        <v>21</v>
      </c>
      <c r="W45" s="715">
        <f t="shared" si="14"/>
        <v>100</v>
      </c>
      <c r="X45" s="1490"/>
      <c r="Y45" s="3501"/>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500"/>
      <c r="Q46" s="1487">
        <f t="shared" si="11"/>
        <v>111</v>
      </c>
      <c r="R46" s="714" t="s">
        <v>20</v>
      </c>
      <c r="S46" s="715">
        <f t="shared" si="12"/>
        <v>100</v>
      </c>
      <c r="T46" s="714" t="s">
        <v>20</v>
      </c>
      <c r="U46" s="715">
        <f t="shared" si="13"/>
        <v>100</v>
      </c>
      <c r="V46" s="714" t="s">
        <v>20</v>
      </c>
      <c r="W46" s="715">
        <f t="shared" si="14"/>
        <v>100</v>
      </c>
      <c r="X46" s="1490"/>
      <c r="Y46" s="3502"/>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94" t="str">
        <f>A47</f>
        <v>成交单价（元/平方米）</v>
      </c>
      <c r="Q47" s="3494"/>
      <c r="R47" s="3495">
        <f>E47</f>
        <v>0</v>
      </c>
      <c r="S47" s="3495"/>
      <c r="T47" s="3495">
        <f>G47</f>
        <v>0</v>
      </c>
      <c r="U47" s="3495"/>
      <c r="V47" s="3495">
        <f>I47</f>
        <v>0</v>
      </c>
      <c r="W47" s="3495"/>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94" t="str">
        <f>A48</f>
        <v>比较价值（元/平方米）</v>
      </c>
      <c r="Q48" s="3494"/>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91" t="str">
        <f>A49</f>
        <v>估价对象XX用房的比较价值（楼面单价，元/平方米）</v>
      </c>
      <c r="Q49" s="3492"/>
      <c r="R49" s="3493" t="e">
        <f>IF(F1="售价",ROUND(IF(D48="简单平均",AVERAGE(R48:V48),R48*F48+T48*H48+V48*J48),0),ROUND(IF(D48="简单平均",AVERAGE(R48:V48),R48*F48+T48*H48+V48*J48),1))</f>
        <v>#DIV/0!</v>
      </c>
      <c r="S49" s="3493"/>
      <c r="T49" s="3493"/>
      <c r="U49" s="3493"/>
      <c r="V49" s="3493"/>
      <c r="W49" s="3493"/>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8634.8499999999985</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77" t="s">
        <v>2226</v>
      </c>
      <c r="D4" s="3478"/>
      <c r="E4" s="3479" t="s">
        <v>2227</v>
      </c>
      <c r="F4" s="3480"/>
      <c r="G4" s="3477" t="s">
        <v>2228</v>
      </c>
      <c r="H4" s="3478"/>
      <c r="I4" s="3477" t="s">
        <v>2229</v>
      </c>
      <c r="J4" s="3478"/>
      <c r="K4" s="567" t="s">
        <v>2230</v>
      </c>
      <c r="L4" s="2894"/>
      <c r="M4" s="2895"/>
      <c r="N4" s="2895"/>
      <c r="O4" s="2895"/>
      <c r="P4" s="3481" t="s">
        <v>2231</v>
      </c>
      <c r="Q4" s="3482"/>
      <c r="R4" s="3464" t="s">
        <v>2227</v>
      </c>
      <c r="S4" s="3465"/>
      <c r="T4" s="3464" t="s">
        <v>2228</v>
      </c>
      <c r="U4" s="3465"/>
      <c r="V4" s="3489" t="s">
        <v>2229</v>
      </c>
      <c r="W4" s="3489"/>
      <c r="X4" s="1490"/>
      <c r="Y4" s="3464" t="s">
        <v>2231</v>
      </c>
      <c r="Z4" s="3465"/>
      <c r="AA4" s="3459" t="s">
        <v>2227</v>
      </c>
      <c r="AB4" s="3489" t="s">
        <v>2228</v>
      </c>
      <c r="AC4" s="3459" t="s">
        <v>2229</v>
      </c>
    </row>
    <row r="5" spans="1:29" ht="15">
      <c r="A5" s="364"/>
      <c r="B5" s="365"/>
      <c r="C5" s="3470" t="s">
        <v>2122</v>
      </c>
      <c r="D5" s="3471"/>
      <c r="E5" s="3468" t="s">
        <v>2123</v>
      </c>
      <c r="F5" s="3469"/>
      <c r="G5" s="3470" t="s">
        <v>2124</v>
      </c>
      <c r="H5" s="3471"/>
      <c r="I5" s="3470" t="s">
        <v>2125</v>
      </c>
      <c r="J5" s="3471"/>
      <c r="K5" s="567"/>
      <c r="L5" s="2894"/>
      <c r="M5" s="2895"/>
      <c r="N5" s="2895"/>
      <c r="O5" s="2895"/>
      <c r="P5" s="3483"/>
      <c r="Q5" s="3484"/>
      <c r="R5" s="3466"/>
      <c r="S5" s="3467"/>
      <c r="T5" s="3466"/>
      <c r="U5" s="3467"/>
      <c r="V5" s="3489"/>
      <c r="W5" s="3489"/>
      <c r="X5" s="1490"/>
      <c r="Y5" s="3466"/>
      <c r="Z5" s="3467"/>
      <c r="AA5" s="3460"/>
      <c r="AB5" s="3489"/>
      <c r="AC5" s="3460"/>
    </row>
    <row r="6" spans="1:29" ht="15.75" thickBot="1">
      <c r="A6" s="366"/>
      <c r="B6" s="367"/>
      <c r="C6" s="3472" t="s">
        <v>2126</v>
      </c>
      <c r="D6" s="3473"/>
      <c r="E6" s="3474" t="s">
        <v>2126</v>
      </c>
      <c r="F6" s="3475"/>
      <c r="G6" s="3472" t="s">
        <v>2126</v>
      </c>
      <c r="H6" s="3473"/>
      <c r="I6" s="3472" t="s">
        <v>2126</v>
      </c>
      <c r="J6" s="3473"/>
      <c r="K6" s="567" t="s">
        <v>2127</v>
      </c>
      <c r="L6" s="2894"/>
      <c r="M6" s="2895"/>
      <c r="N6" s="2895"/>
      <c r="O6" s="2895"/>
      <c r="P6" s="3485"/>
      <c r="Q6" s="3486"/>
      <c r="R6" s="3466"/>
      <c r="S6" s="3467"/>
      <c r="T6" s="3487"/>
      <c r="U6" s="3488"/>
      <c r="V6" s="3489"/>
      <c r="W6" s="3489"/>
      <c r="X6" s="1490"/>
      <c r="Y6" s="3487"/>
      <c r="Z6" s="3488"/>
      <c r="AA6" s="3461"/>
      <c r="AB6" s="3489"/>
      <c r="AC6" s="3461"/>
    </row>
    <row r="7" spans="1:29" s="113" customFormat="1" ht="15.75" thickBot="1">
      <c r="A7" s="368" t="s">
        <v>2128</v>
      </c>
      <c r="B7" s="369"/>
      <c r="C7" s="370">
        <f>'数据-取费表'!B2</f>
        <v>44728</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62" t="s">
        <v>2129</v>
      </c>
      <c r="Q7" s="3490"/>
      <c r="R7" s="710" t="s">
        <v>17</v>
      </c>
      <c r="S7" s="711">
        <f t="shared" ref="S7:S15" si="0">F7</f>
        <v>0</v>
      </c>
      <c r="T7" s="710" t="s">
        <v>17</v>
      </c>
      <c r="U7" s="711">
        <f t="shared" ref="U7:U15" si="1">H7</f>
        <v>0</v>
      </c>
      <c r="V7" s="710" t="s">
        <v>17</v>
      </c>
      <c r="W7" s="711">
        <f t="shared" ref="W7:W15" si="2">J7</f>
        <v>0</v>
      </c>
      <c r="X7" s="712"/>
      <c r="Y7" s="3462" t="s">
        <v>2129</v>
      </c>
      <c r="Z7" s="3463"/>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62" t="s">
        <v>2132</v>
      </c>
      <c r="Q8" s="3463"/>
      <c r="R8" s="710" t="s">
        <v>17</v>
      </c>
      <c r="S8" s="711">
        <f t="shared" si="0"/>
        <v>0</v>
      </c>
      <c r="T8" s="710" t="s">
        <v>17</v>
      </c>
      <c r="U8" s="711">
        <f t="shared" si="1"/>
        <v>0</v>
      </c>
      <c r="V8" s="710" t="s">
        <v>17</v>
      </c>
      <c r="W8" s="711">
        <f t="shared" si="2"/>
        <v>0</v>
      </c>
      <c r="X8" s="712"/>
      <c r="Y8" s="3462" t="s">
        <v>2132</v>
      </c>
      <c r="Z8" s="3463"/>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6" t="s">
        <v>2135</v>
      </c>
      <c r="Q9" s="1478" t="str">
        <f t="shared" ref="Q9:Q15" si="6">B9</f>
        <v>用途</v>
      </c>
      <c r="R9" s="710" t="s">
        <v>17</v>
      </c>
      <c r="S9" s="711">
        <f t="shared" si="0"/>
        <v>100</v>
      </c>
      <c r="T9" s="710" t="s">
        <v>17</v>
      </c>
      <c r="U9" s="711">
        <f t="shared" si="1"/>
        <v>100</v>
      </c>
      <c r="V9" s="710" t="s">
        <v>17</v>
      </c>
      <c r="W9" s="711">
        <f t="shared" si="2"/>
        <v>100</v>
      </c>
      <c r="X9" s="712"/>
      <c r="Y9" s="340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6"/>
      <c r="Q10" s="1478" t="str">
        <f t="shared" si="6"/>
        <v>土地使用年限（年）</v>
      </c>
      <c r="R10" s="710" t="s">
        <v>17</v>
      </c>
      <c r="S10" s="711">
        <f t="shared" si="0"/>
        <v>100</v>
      </c>
      <c r="T10" s="710" t="s">
        <v>17</v>
      </c>
      <c r="U10" s="711">
        <f t="shared" si="1"/>
        <v>100</v>
      </c>
      <c r="V10" s="710" t="s">
        <v>17</v>
      </c>
      <c r="W10" s="711">
        <f t="shared" si="2"/>
        <v>100</v>
      </c>
      <c r="X10" s="712"/>
      <c r="Y10" s="3406"/>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76"/>
      <c r="Q11" s="1478" t="str">
        <f t="shared" si="6"/>
        <v>容积率</v>
      </c>
      <c r="R11" s="710" t="s">
        <v>17</v>
      </c>
      <c r="S11" s="711" t="e">
        <f t="shared" si="0"/>
        <v>#N/A</v>
      </c>
      <c r="T11" s="710" t="s">
        <v>17</v>
      </c>
      <c r="U11" s="711" t="e">
        <f t="shared" si="1"/>
        <v>#N/A</v>
      </c>
      <c r="V11" s="710" t="s">
        <v>17</v>
      </c>
      <c r="W11" s="711" t="e">
        <f t="shared" si="2"/>
        <v>#N/A</v>
      </c>
      <c r="X11" s="712"/>
      <c r="Y11" s="3406"/>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6"/>
      <c r="Q12" s="1478">
        <f t="shared" si="6"/>
        <v>111</v>
      </c>
      <c r="R12" s="710" t="s">
        <v>17</v>
      </c>
      <c r="S12" s="711">
        <f t="shared" si="0"/>
        <v>100</v>
      </c>
      <c r="T12" s="710" t="s">
        <v>17</v>
      </c>
      <c r="U12" s="711">
        <f t="shared" si="1"/>
        <v>100</v>
      </c>
      <c r="V12" s="710" t="s">
        <v>17</v>
      </c>
      <c r="W12" s="711">
        <f t="shared" si="2"/>
        <v>100</v>
      </c>
      <c r="X12" s="712"/>
      <c r="Y12" s="3406"/>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6"/>
      <c r="Q13" s="1478">
        <f t="shared" si="6"/>
        <v>111</v>
      </c>
      <c r="R13" s="710" t="s">
        <v>17</v>
      </c>
      <c r="S13" s="711">
        <f t="shared" si="0"/>
        <v>100</v>
      </c>
      <c r="T13" s="710" t="s">
        <v>17</v>
      </c>
      <c r="U13" s="711">
        <f t="shared" si="1"/>
        <v>100</v>
      </c>
      <c r="V13" s="710" t="s">
        <v>17</v>
      </c>
      <c r="W13" s="711">
        <f t="shared" si="2"/>
        <v>100</v>
      </c>
      <c r="X13" s="712"/>
      <c r="Y13" s="3406"/>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6"/>
      <c r="Q14" s="1478">
        <f t="shared" si="6"/>
        <v>111</v>
      </c>
      <c r="R14" s="710" t="s">
        <v>17</v>
      </c>
      <c r="S14" s="711">
        <f t="shared" si="0"/>
        <v>100</v>
      </c>
      <c r="T14" s="710" t="s">
        <v>17</v>
      </c>
      <c r="U14" s="711">
        <f t="shared" si="1"/>
        <v>100</v>
      </c>
      <c r="V14" s="710" t="s">
        <v>17</v>
      </c>
      <c r="W14" s="711">
        <f t="shared" si="2"/>
        <v>100</v>
      </c>
      <c r="X14" s="712"/>
      <c r="Y14" s="3406"/>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503" t="s">
        <v>2140</v>
      </c>
      <c r="Q15" s="1487" t="str">
        <f t="shared" si="6"/>
        <v>商业繁华度</v>
      </c>
      <c r="R15" s="714" t="s">
        <v>17</v>
      </c>
      <c r="S15" s="715">
        <f t="shared" si="0"/>
        <v>100</v>
      </c>
      <c r="T15" s="714" t="s">
        <v>17</v>
      </c>
      <c r="U15" s="715">
        <f t="shared" si="1"/>
        <v>100</v>
      </c>
      <c r="V15" s="714" t="s">
        <v>17</v>
      </c>
      <c r="W15" s="715">
        <f t="shared" si="2"/>
        <v>100</v>
      </c>
      <c r="X15" s="1490"/>
      <c r="Y15" s="3496"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504"/>
      <c r="Q16" s="1487"/>
      <c r="R16" s="714"/>
      <c r="S16" s="715"/>
      <c r="T16" s="714"/>
      <c r="U16" s="715"/>
      <c r="V16" s="714"/>
      <c r="W16" s="715"/>
      <c r="X16" s="1490"/>
      <c r="Y16" s="3497"/>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504"/>
      <c r="Q17" s="1487" t="str">
        <f>B17</f>
        <v>交通便捷度</v>
      </c>
      <c r="R17" s="714" t="s">
        <v>17</v>
      </c>
      <c r="S17" s="715">
        <f>F17</f>
        <v>100</v>
      </c>
      <c r="T17" s="714" t="s">
        <v>17</v>
      </c>
      <c r="U17" s="715">
        <f>H17</f>
        <v>100</v>
      </c>
      <c r="V17" s="714" t="s">
        <v>17</v>
      </c>
      <c r="W17" s="715">
        <f>J17</f>
        <v>100</v>
      </c>
      <c r="X17" s="1490"/>
      <c r="Y17" s="3497"/>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504"/>
      <c r="Q18" s="1487"/>
      <c r="R18" s="714"/>
      <c r="S18" s="715"/>
      <c r="T18" s="714"/>
      <c r="U18" s="715"/>
      <c r="V18" s="714"/>
      <c r="W18" s="715"/>
      <c r="X18" s="1490"/>
      <c r="Y18" s="3497"/>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504"/>
      <c r="Q19" s="1487" t="str">
        <f>B19</f>
        <v>公共配套设施</v>
      </c>
      <c r="R19" s="714" t="s">
        <v>17</v>
      </c>
      <c r="S19" s="715">
        <f>F19</f>
        <v>100</v>
      </c>
      <c r="T19" s="714" t="s">
        <v>17</v>
      </c>
      <c r="U19" s="715">
        <f>H19</f>
        <v>100</v>
      </c>
      <c r="V19" s="714" t="s">
        <v>17</v>
      </c>
      <c r="W19" s="715">
        <f>J19</f>
        <v>100</v>
      </c>
      <c r="X19" s="1490"/>
      <c r="Y19" s="3497"/>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504"/>
      <c r="Q20" s="1487"/>
      <c r="R20" s="714"/>
      <c r="S20" s="715"/>
      <c r="T20" s="714"/>
      <c r="U20" s="715"/>
      <c r="V20" s="714"/>
      <c r="W20" s="715"/>
      <c r="X20" s="1490"/>
      <c r="Y20" s="3497"/>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504"/>
      <c r="Q21" s="1487" t="str">
        <f>B21</f>
        <v>基础设施水平</v>
      </c>
      <c r="R21" s="714" t="s">
        <v>17</v>
      </c>
      <c r="S21" s="715">
        <f>F21</f>
        <v>100</v>
      </c>
      <c r="T21" s="714" t="s">
        <v>17</v>
      </c>
      <c r="U21" s="715">
        <f>H21</f>
        <v>100</v>
      </c>
      <c r="V21" s="714" t="s">
        <v>17</v>
      </c>
      <c r="W21" s="715">
        <f>J21</f>
        <v>100</v>
      </c>
      <c r="X21" s="1490"/>
      <c r="Y21" s="349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504"/>
      <c r="Q22" s="1487"/>
      <c r="R22" s="714"/>
      <c r="S22" s="715"/>
      <c r="T22" s="714"/>
      <c r="U22" s="715"/>
      <c r="V22" s="714"/>
      <c r="W22" s="715"/>
      <c r="X22" s="1490"/>
      <c r="Y22" s="3497"/>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504"/>
      <c r="Q23" s="1487" t="str">
        <f>B23</f>
        <v>自然及人文环境</v>
      </c>
      <c r="R23" s="714" t="s">
        <v>17</v>
      </c>
      <c r="S23" s="715">
        <f>F23</f>
        <v>100</v>
      </c>
      <c r="T23" s="714" t="s">
        <v>17</v>
      </c>
      <c r="U23" s="715">
        <f>H23</f>
        <v>100</v>
      </c>
      <c r="V23" s="714" t="s">
        <v>17</v>
      </c>
      <c r="W23" s="715">
        <f>J23</f>
        <v>100</v>
      </c>
      <c r="X23" s="1490"/>
      <c r="Y23" s="3497"/>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504"/>
      <c r="Q24" s="1487"/>
      <c r="R24" s="714"/>
      <c r="S24" s="715"/>
      <c r="T24" s="714"/>
      <c r="U24" s="715"/>
      <c r="V24" s="714"/>
      <c r="W24" s="715"/>
      <c r="X24" s="1490"/>
      <c r="Y24" s="3497"/>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504"/>
      <c r="Q25" s="1487" t="str">
        <f t="shared" ref="Q25:Q46" si="11">B25</f>
        <v>临街状况</v>
      </c>
      <c r="R25" s="714" t="s">
        <v>17</v>
      </c>
      <c r="S25" s="715">
        <f>F25</f>
        <v>100</v>
      </c>
      <c r="T25" s="714" t="s">
        <v>17</v>
      </c>
      <c r="U25" s="715">
        <f>H25</f>
        <v>100</v>
      </c>
      <c r="V25" s="714" t="s">
        <v>17</v>
      </c>
      <c r="W25" s="715">
        <f>J25</f>
        <v>100</v>
      </c>
      <c r="X25" s="1490"/>
      <c r="Y25" s="3497"/>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504"/>
      <c r="Q26" s="1487" t="str">
        <f t="shared" si="11"/>
        <v>平面位置/可视性</v>
      </c>
      <c r="R26" s="714" t="s">
        <v>17</v>
      </c>
      <c r="S26" s="715">
        <f>F26</f>
        <v>100</v>
      </c>
      <c r="T26" s="714" t="s">
        <v>17</v>
      </c>
      <c r="U26" s="715">
        <f>H26</f>
        <v>100</v>
      </c>
      <c r="V26" s="714" t="s">
        <v>17</v>
      </c>
      <c r="W26" s="715">
        <f>J26</f>
        <v>100</v>
      </c>
      <c r="X26" s="1490"/>
      <c r="Y26" s="3497"/>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504"/>
      <c r="Q27" s="1478" t="str">
        <f t="shared" si="11"/>
        <v>人流量</v>
      </c>
      <c r="R27" s="710" t="s">
        <v>17</v>
      </c>
      <c r="S27" s="711">
        <f>F27</f>
        <v>100</v>
      </c>
      <c r="T27" s="710" t="s">
        <v>17</v>
      </c>
      <c r="U27" s="711">
        <f>H27</f>
        <v>100</v>
      </c>
      <c r="V27" s="710" t="s">
        <v>17</v>
      </c>
      <c r="W27" s="711">
        <f>J27</f>
        <v>100</v>
      </c>
      <c r="X27" s="712"/>
      <c r="Y27" s="3497"/>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504"/>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7"/>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504"/>
      <c r="Q29" s="1487">
        <f t="shared" si="11"/>
        <v>111</v>
      </c>
      <c r="R29" s="714" t="s">
        <v>17</v>
      </c>
      <c r="S29" s="715">
        <f t="shared" si="12"/>
        <v>100</v>
      </c>
      <c r="T29" s="714" t="s">
        <v>17</v>
      </c>
      <c r="U29" s="715">
        <f t="shared" si="13"/>
        <v>100</v>
      </c>
      <c r="V29" s="714" t="s">
        <v>17</v>
      </c>
      <c r="W29" s="715">
        <f t="shared" si="14"/>
        <v>100</v>
      </c>
      <c r="X29" s="1490"/>
      <c r="Y29" s="3497"/>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504"/>
      <c r="Q30" s="1487">
        <f t="shared" si="11"/>
        <v>111</v>
      </c>
      <c r="R30" s="714" t="s">
        <v>17</v>
      </c>
      <c r="S30" s="715">
        <f t="shared" si="12"/>
        <v>100</v>
      </c>
      <c r="T30" s="714" t="s">
        <v>17</v>
      </c>
      <c r="U30" s="715">
        <f t="shared" si="13"/>
        <v>100</v>
      </c>
      <c r="V30" s="714" t="s">
        <v>17</v>
      </c>
      <c r="W30" s="715">
        <f t="shared" si="14"/>
        <v>100</v>
      </c>
      <c r="X30" s="1490"/>
      <c r="Y30" s="3497"/>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504"/>
      <c r="Q31" s="1487">
        <f t="shared" si="11"/>
        <v>111</v>
      </c>
      <c r="R31" s="714" t="s">
        <v>17</v>
      </c>
      <c r="S31" s="715">
        <f t="shared" si="12"/>
        <v>100</v>
      </c>
      <c r="T31" s="714" t="s">
        <v>17</v>
      </c>
      <c r="U31" s="715">
        <f t="shared" si="13"/>
        <v>100</v>
      </c>
      <c r="V31" s="714" t="s">
        <v>17</v>
      </c>
      <c r="W31" s="715">
        <f t="shared" si="14"/>
        <v>100</v>
      </c>
      <c r="X31" s="1490"/>
      <c r="Y31" s="3497"/>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98" t="s">
        <v>2145</v>
      </c>
      <c r="Q32" s="1487" t="str">
        <f t="shared" si="11"/>
        <v>商业类型</v>
      </c>
      <c r="R32" s="714" t="s">
        <v>17</v>
      </c>
      <c r="S32" s="715">
        <f t="shared" si="12"/>
        <v>100</v>
      </c>
      <c r="T32" s="714" t="s">
        <v>17</v>
      </c>
      <c r="U32" s="715">
        <f t="shared" si="13"/>
        <v>100</v>
      </c>
      <c r="V32" s="714" t="s">
        <v>17</v>
      </c>
      <c r="W32" s="715">
        <f t="shared" si="14"/>
        <v>100</v>
      </c>
      <c r="X32" s="1490"/>
      <c r="Y32" s="3501"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9"/>
      <c r="Q33" s="716" t="str">
        <f t="shared" si="11"/>
        <v>项目建筑规模</v>
      </c>
      <c r="R33" s="717" t="s">
        <v>17</v>
      </c>
      <c r="S33" s="718" t="e">
        <f t="shared" si="12"/>
        <v>#N/A</v>
      </c>
      <c r="T33" s="717" t="s">
        <v>17</v>
      </c>
      <c r="U33" s="718" t="e">
        <f t="shared" si="13"/>
        <v>#N/A</v>
      </c>
      <c r="V33" s="717" t="s">
        <v>17</v>
      </c>
      <c r="W33" s="718" t="e">
        <f t="shared" si="14"/>
        <v>#N/A</v>
      </c>
      <c r="X33" s="719"/>
      <c r="Y33" s="3501"/>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9"/>
      <c r="Q34" s="1487" t="str">
        <f t="shared" si="11"/>
        <v>建筑结构</v>
      </c>
      <c r="R34" s="714" t="s">
        <v>17</v>
      </c>
      <c r="S34" s="715">
        <f t="shared" si="12"/>
        <v>100</v>
      </c>
      <c r="T34" s="714" t="s">
        <v>17</v>
      </c>
      <c r="U34" s="715">
        <f t="shared" si="13"/>
        <v>100</v>
      </c>
      <c r="V34" s="714" t="s">
        <v>17</v>
      </c>
      <c r="W34" s="715">
        <f t="shared" si="14"/>
        <v>100</v>
      </c>
      <c r="X34" s="1490"/>
      <c r="Y34" s="3501"/>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9"/>
      <c r="Q35" s="1487" t="str">
        <f t="shared" si="11"/>
        <v>公共部分装修</v>
      </c>
      <c r="R35" s="714" t="s">
        <v>17</v>
      </c>
      <c r="S35" s="715">
        <f t="shared" si="12"/>
        <v>100</v>
      </c>
      <c r="T35" s="714" t="s">
        <v>17</v>
      </c>
      <c r="U35" s="715">
        <f t="shared" si="13"/>
        <v>100</v>
      </c>
      <c r="V35" s="714" t="s">
        <v>17</v>
      </c>
      <c r="W35" s="715">
        <f t="shared" si="14"/>
        <v>100</v>
      </c>
      <c r="X35" s="1490"/>
      <c r="Y35" s="3501"/>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9"/>
      <c r="Q36" s="1487" t="str">
        <f t="shared" si="11"/>
        <v>成新度</v>
      </c>
      <c r="R36" s="714" t="s">
        <v>17</v>
      </c>
      <c r="S36" s="715" t="e">
        <f t="shared" si="12"/>
        <v>#N/A</v>
      </c>
      <c r="T36" s="714" t="s">
        <v>17</v>
      </c>
      <c r="U36" s="715" t="e">
        <f t="shared" si="13"/>
        <v>#N/A</v>
      </c>
      <c r="V36" s="714" t="s">
        <v>17</v>
      </c>
      <c r="W36" s="715" t="e">
        <f t="shared" si="14"/>
        <v>#N/A</v>
      </c>
      <c r="X36" s="1490"/>
      <c r="Y36" s="3501"/>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9"/>
      <c r="Q37" s="1478" t="str">
        <f t="shared" si="11"/>
        <v>市政基础设施</v>
      </c>
      <c r="R37" s="710" t="s">
        <v>17</v>
      </c>
      <c r="S37" s="711">
        <f t="shared" si="12"/>
        <v>100</v>
      </c>
      <c r="T37" s="710" t="s">
        <v>17</v>
      </c>
      <c r="U37" s="711">
        <f t="shared" si="13"/>
        <v>100</v>
      </c>
      <c r="V37" s="710" t="s">
        <v>17</v>
      </c>
      <c r="W37" s="711">
        <f t="shared" si="14"/>
        <v>100</v>
      </c>
      <c r="X37" s="712"/>
      <c r="Y37" s="3501"/>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9" t="s">
        <v>2145</v>
      </c>
      <c r="Q38" s="1487" t="str">
        <f t="shared" si="11"/>
        <v>业态</v>
      </c>
      <c r="R38" s="714" t="s">
        <v>17</v>
      </c>
      <c r="S38" s="715">
        <f t="shared" si="12"/>
        <v>100</v>
      </c>
      <c r="T38" s="714" t="s">
        <v>17</v>
      </c>
      <c r="U38" s="715">
        <f t="shared" si="13"/>
        <v>100</v>
      </c>
      <c r="V38" s="714" t="s">
        <v>17</v>
      </c>
      <c r="W38" s="715">
        <f t="shared" si="14"/>
        <v>100</v>
      </c>
      <c r="X38" s="1490"/>
      <c r="Y38" s="3501"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9"/>
      <c r="Q39" s="1487" t="str">
        <f t="shared" si="11"/>
        <v>层高</v>
      </c>
      <c r="R39" s="714" t="s">
        <v>17</v>
      </c>
      <c r="S39" s="715">
        <f t="shared" si="12"/>
        <v>100</v>
      </c>
      <c r="T39" s="714" t="s">
        <v>17</v>
      </c>
      <c r="U39" s="715">
        <f t="shared" si="13"/>
        <v>100</v>
      </c>
      <c r="V39" s="714" t="s">
        <v>17</v>
      </c>
      <c r="W39" s="715">
        <f t="shared" si="14"/>
        <v>100</v>
      </c>
      <c r="X39" s="1490"/>
      <c r="Y39" s="3501"/>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9"/>
      <c r="Q40" s="1487" t="str">
        <f t="shared" si="11"/>
        <v>单套建筑面积</v>
      </c>
      <c r="R40" s="714" t="s">
        <v>17</v>
      </c>
      <c r="S40" s="715">
        <f t="shared" si="12"/>
        <v>100</v>
      </c>
      <c r="T40" s="714" t="s">
        <v>17</v>
      </c>
      <c r="U40" s="715">
        <f t="shared" si="13"/>
        <v>100</v>
      </c>
      <c r="V40" s="714" t="s">
        <v>17</v>
      </c>
      <c r="W40" s="715">
        <f t="shared" si="14"/>
        <v>100</v>
      </c>
      <c r="X40" s="1490"/>
      <c r="Y40" s="3501"/>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9"/>
      <c r="Q41" s="716" t="str">
        <f t="shared" si="11"/>
        <v>进深比</v>
      </c>
      <c r="R41" s="717" t="s">
        <v>17</v>
      </c>
      <c r="S41" s="718">
        <f t="shared" si="12"/>
        <v>100</v>
      </c>
      <c r="T41" s="717" t="s">
        <v>17</v>
      </c>
      <c r="U41" s="718">
        <f t="shared" si="13"/>
        <v>100</v>
      </c>
      <c r="V41" s="717" t="s">
        <v>17</v>
      </c>
      <c r="W41" s="718">
        <f t="shared" si="14"/>
        <v>100</v>
      </c>
      <c r="X41" s="719"/>
      <c r="Y41" s="3501"/>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9"/>
      <c r="Q42" s="1487" t="str">
        <f t="shared" si="11"/>
        <v>内部装修</v>
      </c>
      <c r="R42" s="714" t="s">
        <v>17</v>
      </c>
      <c r="S42" s="715">
        <f t="shared" si="12"/>
        <v>100</v>
      </c>
      <c r="T42" s="714" t="s">
        <v>17</v>
      </c>
      <c r="U42" s="715">
        <f t="shared" si="13"/>
        <v>100</v>
      </c>
      <c r="V42" s="714" t="s">
        <v>17</v>
      </c>
      <c r="W42" s="715">
        <f t="shared" si="14"/>
        <v>100</v>
      </c>
      <c r="X42" s="1490"/>
      <c r="Y42" s="3501"/>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9"/>
      <c r="Q43" s="1487" t="str">
        <f t="shared" si="11"/>
        <v>内部装修维护情况</v>
      </c>
      <c r="R43" s="714" t="s">
        <v>17</v>
      </c>
      <c r="S43" s="715">
        <f t="shared" si="12"/>
        <v>100</v>
      </c>
      <c r="T43" s="714" t="s">
        <v>17</v>
      </c>
      <c r="U43" s="715">
        <f t="shared" si="13"/>
        <v>100</v>
      </c>
      <c r="V43" s="714" t="s">
        <v>17</v>
      </c>
      <c r="W43" s="715">
        <f t="shared" si="14"/>
        <v>100</v>
      </c>
      <c r="X43" s="1490"/>
      <c r="Y43" s="3501"/>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9"/>
      <c r="Q44" s="1478">
        <f t="shared" si="11"/>
        <v>111</v>
      </c>
      <c r="R44" s="710" t="s">
        <v>17</v>
      </c>
      <c r="S44" s="711">
        <f t="shared" si="12"/>
        <v>100</v>
      </c>
      <c r="T44" s="710" t="s">
        <v>17</v>
      </c>
      <c r="U44" s="711">
        <f t="shared" si="13"/>
        <v>100</v>
      </c>
      <c r="V44" s="710" t="s">
        <v>17</v>
      </c>
      <c r="W44" s="711">
        <f t="shared" si="14"/>
        <v>100</v>
      </c>
      <c r="X44" s="712"/>
      <c r="Y44" s="3501"/>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9"/>
      <c r="Q45" s="1487">
        <f t="shared" si="11"/>
        <v>111</v>
      </c>
      <c r="R45" s="714" t="s">
        <v>17</v>
      </c>
      <c r="S45" s="715">
        <f t="shared" si="12"/>
        <v>100</v>
      </c>
      <c r="T45" s="714" t="s">
        <v>17</v>
      </c>
      <c r="U45" s="715">
        <f t="shared" si="13"/>
        <v>100</v>
      </c>
      <c r="V45" s="714" t="s">
        <v>17</v>
      </c>
      <c r="W45" s="715">
        <f t="shared" si="14"/>
        <v>100</v>
      </c>
      <c r="X45" s="1490"/>
      <c r="Y45" s="3501"/>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500"/>
      <c r="Q46" s="1487">
        <f t="shared" si="11"/>
        <v>111</v>
      </c>
      <c r="R46" s="714" t="s">
        <v>17</v>
      </c>
      <c r="S46" s="715">
        <f t="shared" si="12"/>
        <v>100</v>
      </c>
      <c r="T46" s="714" t="s">
        <v>17</v>
      </c>
      <c r="U46" s="715">
        <f t="shared" si="13"/>
        <v>100</v>
      </c>
      <c r="V46" s="714" t="s">
        <v>17</v>
      </c>
      <c r="W46" s="715">
        <f t="shared" si="14"/>
        <v>100</v>
      </c>
      <c r="X46" s="1490"/>
      <c r="Y46" s="3502"/>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94" t="str">
        <f>A47</f>
        <v>成交单价（元/平方米）</v>
      </c>
      <c r="Q47" s="3494"/>
      <c r="R47" s="3489">
        <f>E47</f>
        <v>0</v>
      </c>
      <c r="S47" s="3489"/>
      <c r="T47" s="3489">
        <f>G47</f>
        <v>0</v>
      </c>
      <c r="U47" s="3489"/>
      <c r="V47" s="3489">
        <f>I47</f>
        <v>0</v>
      </c>
      <c r="W47" s="3489"/>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94" t="str">
        <f>A48</f>
        <v>比较价值（元/平方米）</v>
      </c>
      <c r="Q48" s="3494"/>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91" t="str">
        <f>A49</f>
        <v>估价对象XX用房的比较价值（楼面单价，元/平方米）</v>
      </c>
      <c r="Q49" s="3492"/>
      <c r="R49" s="3493" t="e">
        <f>IF(F1="售价",ROUND(IF(D48="简单平均",AVERAGE(R48:V48),R48*F48+T48*H48+V48*J48),0),ROUND(IF(D48="简单平均",AVERAGE(R48:V48),R48*F48+T48*H48+V48*J48),1))</f>
        <v>#DIV/0!</v>
      </c>
      <c r="S49" s="3493"/>
      <c r="T49" s="3493"/>
      <c r="U49" s="3493"/>
      <c r="V49" s="3493"/>
      <c r="W49" s="3493"/>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8634.8499999999985</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77" t="s">
        <v>2226</v>
      </c>
      <c r="D4" s="3478"/>
      <c r="E4" s="3479" t="s">
        <v>2227</v>
      </c>
      <c r="F4" s="3480"/>
      <c r="G4" s="3477" t="s">
        <v>2228</v>
      </c>
      <c r="H4" s="3478"/>
      <c r="I4" s="3477" t="s">
        <v>2229</v>
      </c>
      <c r="J4" s="3478"/>
      <c r="K4" s="567" t="s">
        <v>2230</v>
      </c>
      <c r="L4" s="2894"/>
      <c r="M4" s="2895"/>
      <c r="N4" s="2895"/>
      <c r="O4" s="2895"/>
      <c r="P4" s="3511" t="s">
        <v>2231</v>
      </c>
      <c r="Q4" s="3512"/>
      <c r="R4" s="3506" t="s">
        <v>2227</v>
      </c>
      <c r="S4" s="3507"/>
      <c r="T4" s="3506" t="s">
        <v>2228</v>
      </c>
      <c r="U4" s="3507"/>
      <c r="V4" s="3515" t="s">
        <v>2229</v>
      </c>
      <c r="W4" s="3515"/>
      <c r="X4" s="2095"/>
      <c r="Y4" s="3506" t="s">
        <v>2231</v>
      </c>
      <c r="Z4" s="3507"/>
      <c r="AA4" s="3505" t="s">
        <v>2227</v>
      </c>
      <c r="AB4" s="3505" t="s">
        <v>2228</v>
      </c>
      <c r="AC4" s="3508" t="s">
        <v>2229</v>
      </c>
    </row>
    <row r="5" spans="1:29" ht="15">
      <c r="A5" s="364"/>
      <c r="B5" s="365"/>
      <c r="C5" s="3470" t="s">
        <v>2122</v>
      </c>
      <c r="D5" s="3471"/>
      <c r="E5" s="3468" t="s">
        <v>2123</v>
      </c>
      <c r="F5" s="3469"/>
      <c r="G5" s="3470" t="s">
        <v>2124</v>
      </c>
      <c r="H5" s="3471"/>
      <c r="I5" s="3470" t="s">
        <v>2125</v>
      </c>
      <c r="J5" s="3471"/>
      <c r="K5" s="567"/>
      <c r="L5" s="2894"/>
      <c r="M5" s="2895"/>
      <c r="N5" s="2895"/>
      <c r="O5" s="2895"/>
      <c r="P5" s="3513"/>
      <c r="Q5" s="3484"/>
      <c r="R5" s="3466"/>
      <c r="S5" s="3467"/>
      <c r="T5" s="3466"/>
      <c r="U5" s="3467"/>
      <c r="V5" s="3489"/>
      <c r="W5" s="3489"/>
      <c r="X5" s="1490"/>
      <c r="Y5" s="3466"/>
      <c r="Z5" s="3467"/>
      <c r="AA5" s="3460"/>
      <c r="AB5" s="3460"/>
      <c r="AC5" s="3509"/>
    </row>
    <row r="6" spans="1:29" ht="15.75" thickBot="1">
      <c r="A6" s="366"/>
      <c r="B6" s="367"/>
      <c r="C6" s="3472" t="s">
        <v>2126</v>
      </c>
      <c r="D6" s="3473"/>
      <c r="E6" s="3474" t="s">
        <v>2126</v>
      </c>
      <c r="F6" s="3475"/>
      <c r="G6" s="3472" t="s">
        <v>2126</v>
      </c>
      <c r="H6" s="3473"/>
      <c r="I6" s="3472" t="s">
        <v>2126</v>
      </c>
      <c r="J6" s="3473"/>
      <c r="K6" s="567" t="s">
        <v>2127</v>
      </c>
      <c r="L6" s="2894"/>
      <c r="M6" s="2895"/>
      <c r="N6" s="2895"/>
      <c r="O6" s="2895"/>
      <c r="P6" s="3514"/>
      <c r="Q6" s="3486"/>
      <c r="R6" s="3466"/>
      <c r="S6" s="3467"/>
      <c r="T6" s="3487"/>
      <c r="U6" s="3488"/>
      <c r="V6" s="3489"/>
      <c r="W6" s="3489"/>
      <c r="X6" s="1490"/>
      <c r="Y6" s="3487"/>
      <c r="Z6" s="3488"/>
      <c r="AA6" s="3461"/>
      <c r="AB6" s="3461"/>
      <c r="AC6" s="3510"/>
    </row>
    <row r="7" spans="1:29" s="113" customFormat="1" ht="15.75" thickBot="1">
      <c r="A7" s="368" t="s">
        <v>2128</v>
      </c>
      <c r="B7" s="369"/>
      <c r="C7" s="370">
        <f>'数据-取费表'!B2</f>
        <v>44728</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6" t="s">
        <v>2129</v>
      </c>
      <c r="Q7" s="3490"/>
      <c r="R7" s="710" t="s">
        <v>17</v>
      </c>
      <c r="S7" s="711">
        <f t="shared" ref="S7:S15" si="0">F7</f>
        <v>0</v>
      </c>
      <c r="T7" s="710" t="s">
        <v>17</v>
      </c>
      <c r="U7" s="711">
        <f t="shared" ref="U7:U15" si="1">H7</f>
        <v>0</v>
      </c>
      <c r="V7" s="710" t="s">
        <v>17</v>
      </c>
      <c r="W7" s="711">
        <f t="shared" ref="W7:W15" si="2">J7</f>
        <v>0</v>
      </c>
      <c r="X7" s="712"/>
      <c r="Y7" s="3462" t="s">
        <v>2129</v>
      </c>
      <c r="Z7" s="3463"/>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6" t="s">
        <v>2132</v>
      </c>
      <c r="Q8" s="3463"/>
      <c r="R8" s="710" t="s">
        <v>17</v>
      </c>
      <c r="S8" s="711">
        <f t="shared" si="0"/>
        <v>0</v>
      </c>
      <c r="T8" s="710" t="s">
        <v>17</v>
      </c>
      <c r="U8" s="711">
        <f t="shared" si="1"/>
        <v>0</v>
      </c>
      <c r="V8" s="710" t="s">
        <v>17</v>
      </c>
      <c r="W8" s="711">
        <f t="shared" si="2"/>
        <v>0</v>
      </c>
      <c r="X8" s="712"/>
      <c r="Y8" s="3462" t="s">
        <v>2132</v>
      </c>
      <c r="Z8" s="3463"/>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6" t="s">
        <v>2135</v>
      </c>
      <c r="Q9" s="1478" t="str">
        <f t="shared" ref="Q9:Q15" si="6">B9</f>
        <v>用途</v>
      </c>
      <c r="R9" s="710" t="s">
        <v>17</v>
      </c>
      <c r="S9" s="711">
        <f t="shared" si="0"/>
        <v>100</v>
      </c>
      <c r="T9" s="710" t="s">
        <v>17</v>
      </c>
      <c r="U9" s="711">
        <f t="shared" si="1"/>
        <v>100</v>
      </c>
      <c r="V9" s="710" t="s">
        <v>17</v>
      </c>
      <c r="W9" s="711">
        <f t="shared" si="2"/>
        <v>100</v>
      </c>
      <c r="X9" s="712"/>
      <c r="Y9" s="3406"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6"/>
      <c r="Q10" s="1478" t="str">
        <f t="shared" si="6"/>
        <v>土地使用年限（年）</v>
      </c>
      <c r="R10" s="710" t="s">
        <v>17</v>
      </c>
      <c r="S10" s="711">
        <f t="shared" si="0"/>
        <v>100</v>
      </c>
      <c r="T10" s="710" t="s">
        <v>17</v>
      </c>
      <c r="U10" s="711">
        <f t="shared" si="1"/>
        <v>100</v>
      </c>
      <c r="V10" s="710" t="s">
        <v>17</v>
      </c>
      <c r="W10" s="711">
        <f t="shared" si="2"/>
        <v>100</v>
      </c>
      <c r="X10" s="712"/>
      <c r="Y10" s="3406"/>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6"/>
      <c r="Q11" s="1478" t="str">
        <f t="shared" si="6"/>
        <v>容积率</v>
      </c>
      <c r="R11" s="710" t="s">
        <v>17</v>
      </c>
      <c r="S11" s="711" t="e">
        <f t="shared" si="0"/>
        <v>#N/A</v>
      </c>
      <c r="T11" s="710" t="s">
        <v>17</v>
      </c>
      <c r="U11" s="711" t="e">
        <f t="shared" si="1"/>
        <v>#N/A</v>
      </c>
      <c r="V11" s="710" t="s">
        <v>17</v>
      </c>
      <c r="W11" s="711" t="e">
        <f t="shared" si="2"/>
        <v>#N/A</v>
      </c>
      <c r="X11" s="712"/>
      <c r="Y11" s="3406"/>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6"/>
      <c r="Q12" s="1478">
        <f t="shared" si="6"/>
        <v>111</v>
      </c>
      <c r="R12" s="710" t="s">
        <v>17</v>
      </c>
      <c r="S12" s="711">
        <f t="shared" si="0"/>
        <v>100</v>
      </c>
      <c r="T12" s="710" t="s">
        <v>17</v>
      </c>
      <c r="U12" s="711">
        <f t="shared" si="1"/>
        <v>100</v>
      </c>
      <c r="V12" s="710" t="s">
        <v>17</v>
      </c>
      <c r="W12" s="711">
        <f t="shared" si="2"/>
        <v>100</v>
      </c>
      <c r="X12" s="712"/>
      <c r="Y12" s="3406"/>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6"/>
      <c r="Q13" s="1478">
        <f t="shared" si="6"/>
        <v>111</v>
      </c>
      <c r="R13" s="710" t="s">
        <v>17</v>
      </c>
      <c r="S13" s="711">
        <f t="shared" si="0"/>
        <v>100</v>
      </c>
      <c r="T13" s="710" t="s">
        <v>17</v>
      </c>
      <c r="U13" s="711">
        <f t="shared" si="1"/>
        <v>100</v>
      </c>
      <c r="V13" s="710" t="s">
        <v>17</v>
      </c>
      <c r="W13" s="711">
        <f t="shared" si="2"/>
        <v>100</v>
      </c>
      <c r="X13" s="712"/>
      <c r="Y13" s="3406"/>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6"/>
      <c r="Q14" s="1478">
        <f t="shared" si="6"/>
        <v>111</v>
      </c>
      <c r="R14" s="710" t="s">
        <v>17</v>
      </c>
      <c r="S14" s="711">
        <f t="shared" si="0"/>
        <v>100</v>
      </c>
      <c r="T14" s="710" t="s">
        <v>17</v>
      </c>
      <c r="U14" s="711">
        <f t="shared" si="1"/>
        <v>100</v>
      </c>
      <c r="V14" s="710" t="s">
        <v>17</v>
      </c>
      <c r="W14" s="711">
        <f t="shared" si="2"/>
        <v>100</v>
      </c>
      <c r="X14" s="712"/>
      <c r="Y14" s="3406"/>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503" t="s">
        <v>2140</v>
      </c>
      <c r="Q15" s="1487" t="str">
        <f t="shared" si="6"/>
        <v>办公集聚程度</v>
      </c>
      <c r="R15" s="714" t="s">
        <v>17</v>
      </c>
      <c r="S15" s="715">
        <f t="shared" si="0"/>
        <v>100</v>
      </c>
      <c r="T15" s="714" t="s">
        <v>17</v>
      </c>
      <c r="U15" s="715">
        <f t="shared" si="1"/>
        <v>100</v>
      </c>
      <c r="V15" s="714" t="s">
        <v>17</v>
      </c>
      <c r="W15" s="715">
        <f t="shared" si="2"/>
        <v>100</v>
      </c>
      <c r="X15" s="1490"/>
      <c r="Y15" s="3496"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504"/>
      <c r="Q16" s="1487"/>
      <c r="R16" s="714"/>
      <c r="S16" s="715"/>
      <c r="T16" s="714"/>
      <c r="U16" s="715"/>
      <c r="V16" s="714"/>
      <c r="W16" s="715"/>
      <c r="X16" s="1490"/>
      <c r="Y16" s="3497"/>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504"/>
      <c r="Q17" s="1487" t="str">
        <f>B17</f>
        <v>交通便捷度</v>
      </c>
      <c r="R17" s="714" t="s">
        <v>17</v>
      </c>
      <c r="S17" s="715">
        <f>F17</f>
        <v>100</v>
      </c>
      <c r="T17" s="714" t="s">
        <v>17</v>
      </c>
      <c r="U17" s="715">
        <f>H17</f>
        <v>100</v>
      </c>
      <c r="V17" s="714" t="s">
        <v>17</v>
      </c>
      <c r="W17" s="715">
        <f>J17</f>
        <v>100</v>
      </c>
      <c r="X17" s="1490"/>
      <c r="Y17" s="3497"/>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504"/>
      <c r="Q18" s="1487"/>
      <c r="R18" s="714"/>
      <c r="S18" s="715"/>
      <c r="T18" s="714"/>
      <c r="U18" s="715"/>
      <c r="V18" s="714"/>
      <c r="W18" s="715"/>
      <c r="X18" s="1490"/>
      <c r="Y18" s="3497"/>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504"/>
      <c r="Q19" s="1487" t="str">
        <f>B19</f>
        <v>公共配套设施</v>
      </c>
      <c r="R19" s="714" t="s">
        <v>17</v>
      </c>
      <c r="S19" s="715">
        <f>F19</f>
        <v>100</v>
      </c>
      <c r="T19" s="714" t="s">
        <v>17</v>
      </c>
      <c r="U19" s="715">
        <f>H19</f>
        <v>100</v>
      </c>
      <c r="V19" s="714" t="s">
        <v>17</v>
      </c>
      <c r="W19" s="715">
        <f>J19</f>
        <v>100</v>
      </c>
      <c r="X19" s="1490"/>
      <c r="Y19" s="3497"/>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504"/>
      <c r="Q20" s="1487"/>
      <c r="R20" s="714"/>
      <c r="S20" s="715"/>
      <c r="T20" s="714"/>
      <c r="U20" s="715"/>
      <c r="V20" s="714"/>
      <c r="W20" s="715"/>
      <c r="X20" s="1490"/>
      <c r="Y20" s="3497"/>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504"/>
      <c r="Q21" s="1487" t="str">
        <f>B21</f>
        <v>基础设施水平</v>
      </c>
      <c r="R21" s="714" t="s">
        <v>17</v>
      </c>
      <c r="S21" s="715">
        <f>F21</f>
        <v>100</v>
      </c>
      <c r="T21" s="714" t="s">
        <v>17</v>
      </c>
      <c r="U21" s="715">
        <f>H21</f>
        <v>100</v>
      </c>
      <c r="V21" s="714" t="s">
        <v>17</v>
      </c>
      <c r="W21" s="715">
        <f>J21</f>
        <v>100</v>
      </c>
      <c r="X21" s="1490"/>
      <c r="Y21" s="3497"/>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504"/>
      <c r="Q22" s="1487"/>
      <c r="R22" s="714"/>
      <c r="S22" s="715"/>
      <c r="T22" s="714"/>
      <c r="U22" s="715"/>
      <c r="V22" s="714"/>
      <c r="W22" s="715"/>
      <c r="X22" s="1490"/>
      <c r="Y22" s="3497"/>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504"/>
      <c r="Q23" s="1487" t="str">
        <f>B23</f>
        <v>环境质量</v>
      </c>
      <c r="R23" s="714" t="s">
        <v>17</v>
      </c>
      <c r="S23" s="715">
        <f>F23</f>
        <v>100</v>
      </c>
      <c r="T23" s="714" t="s">
        <v>17</v>
      </c>
      <c r="U23" s="715">
        <f>H23</f>
        <v>100</v>
      </c>
      <c r="V23" s="714" t="s">
        <v>17</v>
      </c>
      <c r="W23" s="715">
        <f>J23</f>
        <v>100</v>
      </c>
      <c r="X23" s="1490"/>
      <c r="Y23" s="3497"/>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504"/>
      <c r="Q24" s="1487"/>
      <c r="R24" s="714"/>
      <c r="S24" s="715"/>
      <c r="T24" s="714"/>
      <c r="U24" s="715"/>
      <c r="V24" s="714"/>
      <c r="W24" s="715"/>
      <c r="X24" s="1490"/>
      <c r="Y24" s="3497"/>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04"/>
      <c r="Q25" s="1487" t="str">
        <f>B25</f>
        <v>毗邻道路的类型与等级</v>
      </c>
      <c r="R25" s="714" t="s">
        <v>17</v>
      </c>
      <c r="S25" s="715">
        <f>F25</f>
        <v>100</v>
      </c>
      <c r="T25" s="714" t="s">
        <v>17</v>
      </c>
      <c r="U25" s="715">
        <f>H25</f>
        <v>100</v>
      </c>
      <c r="V25" s="714" t="s">
        <v>17</v>
      </c>
      <c r="W25" s="715">
        <f>J25</f>
        <v>100</v>
      </c>
      <c r="X25" s="1490"/>
      <c r="Y25" s="3497"/>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504"/>
      <c r="Q26" s="1487"/>
      <c r="R26" s="714"/>
      <c r="S26" s="715"/>
      <c r="T26" s="714"/>
      <c r="U26" s="715"/>
      <c r="V26" s="714"/>
      <c r="W26" s="715"/>
      <c r="X26" s="1490"/>
      <c r="Y26" s="3497"/>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504"/>
      <c r="Q27" s="1487" t="str">
        <f t="shared" ref="Q27:Q47" si="11">B27</f>
        <v>楼层</v>
      </c>
      <c r="R27" s="714" t="s">
        <v>17</v>
      </c>
      <c r="S27" s="715">
        <f>F27</f>
        <v>100</v>
      </c>
      <c r="T27" s="714" t="s">
        <v>17</v>
      </c>
      <c r="U27" s="715">
        <f>H27</f>
        <v>100</v>
      </c>
      <c r="V27" s="714" t="s">
        <v>17</v>
      </c>
      <c r="W27" s="715">
        <f>J27</f>
        <v>100</v>
      </c>
      <c r="X27" s="1490"/>
      <c r="Y27" s="3497"/>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04"/>
      <c r="Q28" s="1478" t="str">
        <f t="shared" si="11"/>
        <v>朝向</v>
      </c>
      <c r="R28" s="710" t="s">
        <v>17</v>
      </c>
      <c r="S28" s="711">
        <f>F28</f>
        <v>100</v>
      </c>
      <c r="T28" s="710" t="s">
        <v>17</v>
      </c>
      <c r="U28" s="711">
        <f>H28</f>
        <v>100</v>
      </c>
      <c r="V28" s="710" t="s">
        <v>17</v>
      </c>
      <c r="W28" s="711">
        <f>J28</f>
        <v>100</v>
      </c>
      <c r="X28" s="712"/>
      <c r="Y28" s="3497"/>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04"/>
      <c r="Q29" s="1487">
        <f t="shared" si="11"/>
        <v>111</v>
      </c>
      <c r="R29" s="714" t="s">
        <v>17</v>
      </c>
      <c r="S29" s="715">
        <f t="shared" ref="S29:S47" si="12">F29</f>
        <v>100</v>
      </c>
      <c r="T29" s="714" t="s">
        <v>17</v>
      </c>
      <c r="U29" s="715">
        <f t="shared" ref="U29:U47" si="13">H29</f>
        <v>100</v>
      </c>
      <c r="V29" s="714" t="s">
        <v>17</v>
      </c>
      <c r="W29" s="715">
        <f t="shared" ref="W29:W47" si="14">J29</f>
        <v>100</v>
      </c>
      <c r="X29" s="1490"/>
      <c r="Y29" s="3497"/>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04"/>
      <c r="Q30" s="1487">
        <f t="shared" si="11"/>
        <v>111</v>
      </c>
      <c r="R30" s="714" t="s">
        <v>17</v>
      </c>
      <c r="S30" s="715">
        <f t="shared" si="12"/>
        <v>100</v>
      </c>
      <c r="T30" s="714" t="s">
        <v>17</v>
      </c>
      <c r="U30" s="715">
        <f t="shared" si="13"/>
        <v>100</v>
      </c>
      <c r="V30" s="714" t="s">
        <v>17</v>
      </c>
      <c r="W30" s="715">
        <f t="shared" si="14"/>
        <v>100</v>
      </c>
      <c r="X30" s="1490"/>
      <c r="Y30" s="3497"/>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04"/>
      <c r="Q31" s="1487">
        <f t="shared" si="11"/>
        <v>111</v>
      </c>
      <c r="R31" s="714" t="s">
        <v>17</v>
      </c>
      <c r="S31" s="715">
        <f t="shared" si="12"/>
        <v>100</v>
      </c>
      <c r="T31" s="714" t="s">
        <v>17</v>
      </c>
      <c r="U31" s="715">
        <f t="shared" si="13"/>
        <v>100</v>
      </c>
      <c r="V31" s="714" t="s">
        <v>17</v>
      </c>
      <c r="W31" s="715">
        <f t="shared" si="14"/>
        <v>100</v>
      </c>
      <c r="X31" s="1490"/>
      <c r="Y31" s="3497"/>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04"/>
      <c r="Q32" s="1487">
        <f t="shared" si="11"/>
        <v>111</v>
      </c>
      <c r="R32" s="714" t="s">
        <v>17</v>
      </c>
      <c r="S32" s="715">
        <f t="shared" si="12"/>
        <v>100</v>
      </c>
      <c r="T32" s="714" t="s">
        <v>17</v>
      </c>
      <c r="U32" s="715">
        <f t="shared" si="13"/>
        <v>100</v>
      </c>
      <c r="V32" s="714" t="s">
        <v>17</v>
      </c>
      <c r="W32" s="715">
        <f t="shared" si="14"/>
        <v>100</v>
      </c>
      <c r="X32" s="1490"/>
      <c r="Y32" s="3497"/>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98" t="s">
        <v>2145</v>
      </c>
      <c r="Q33" s="1487" t="str">
        <f t="shared" si="11"/>
        <v>建筑类型</v>
      </c>
      <c r="R33" s="714" t="s">
        <v>17</v>
      </c>
      <c r="S33" s="715">
        <f t="shared" si="12"/>
        <v>100</v>
      </c>
      <c r="T33" s="714" t="s">
        <v>17</v>
      </c>
      <c r="U33" s="715">
        <f t="shared" si="13"/>
        <v>100</v>
      </c>
      <c r="V33" s="714" t="s">
        <v>17</v>
      </c>
      <c r="W33" s="715">
        <f t="shared" si="14"/>
        <v>100</v>
      </c>
      <c r="X33" s="1490"/>
      <c r="Y33" s="3501"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9"/>
      <c r="Q34" s="716" t="str">
        <f t="shared" si="11"/>
        <v>项目建筑规模</v>
      </c>
      <c r="R34" s="717" t="s">
        <v>17</v>
      </c>
      <c r="S34" s="718" t="e">
        <f t="shared" si="12"/>
        <v>#N/A</v>
      </c>
      <c r="T34" s="717" t="s">
        <v>17</v>
      </c>
      <c r="U34" s="718" t="e">
        <f t="shared" si="13"/>
        <v>#N/A</v>
      </c>
      <c r="V34" s="717" t="s">
        <v>17</v>
      </c>
      <c r="W34" s="718" t="e">
        <f t="shared" si="14"/>
        <v>#N/A</v>
      </c>
      <c r="X34" s="719"/>
      <c r="Y34" s="3501"/>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9"/>
      <c r="Q35" s="1487" t="str">
        <f t="shared" si="11"/>
        <v>建筑结构</v>
      </c>
      <c r="R35" s="714" t="s">
        <v>17</v>
      </c>
      <c r="S35" s="715">
        <f t="shared" si="12"/>
        <v>100</v>
      </c>
      <c r="T35" s="714" t="s">
        <v>17</v>
      </c>
      <c r="U35" s="715">
        <f t="shared" si="13"/>
        <v>100</v>
      </c>
      <c r="V35" s="714" t="s">
        <v>17</v>
      </c>
      <c r="W35" s="715">
        <f t="shared" si="14"/>
        <v>100</v>
      </c>
      <c r="X35" s="1490"/>
      <c r="Y35" s="3501"/>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9"/>
      <c r="Q36" s="1487" t="str">
        <f t="shared" si="11"/>
        <v>公共部分装修</v>
      </c>
      <c r="R36" s="714" t="s">
        <v>17</v>
      </c>
      <c r="S36" s="715">
        <f t="shared" si="12"/>
        <v>100</v>
      </c>
      <c r="T36" s="714" t="s">
        <v>17</v>
      </c>
      <c r="U36" s="715">
        <f t="shared" si="13"/>
        <v>100</v>
      </c>
      <c r="V36" s="714" t="s">
        <v>17</v>
      </c>
      <c r="W36" s="715">
        <f t="shared" si="14"/>
        <v>100</v>
      </c>
      <c r="X36" s="1490"/>
      <c r="Y36" s="3501"/>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9"/>
      <c r="Q37" s="1487" t="str">
        <f t="shared" si="11"/>
        <v>成新度</v>
      </c>
      <c r="R37" s="714" t="s">
        <v>17</v>
      </c>
      <c r="S37" s="715" t="e">
        <f t="shared" si="12"/>
        <v>#N/A</v>
      </c>
      <c r="T37" s="714" t="s">
        <v>17</v>
      </c>
      <c r="U37" s="715" t="e">
        <f t="shared" si="13"/>
        <v>#N/A</v>
      </c>
      <c r="V37" s="714" t="s">
        <v>17</v>
      </c>
      <c r="W37" s="715" t="e">
        <f t="shared" si="14"/>
        <v>#N/A</v>
      </c>
      <c r="X37" s="1490"/>
      <c r="Y37" s="3501"/>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9"/>
      <c r="Q38" s="1478" t="str">
        <f t="shared" si="11"/>
        <v>写字楼等级</v>
      </c>
      <c r="R38" s="710" t="s">
        <v>17</v>
      </c>
      <c r="S38" s="711">
        <f t="shared" si="12"/>
        <v>100</v>
      </c>
      <c r="T38" s="710" t="s">
        <v>17</v>
      </c>
      <c r="U38" s="711">
        <f t="shared" si="13"/>
        <v>100</v>
      </c>
      <c r="V38" s="710" t="s">
        <v>17</v>
      </c>
      <c r="W38" s="711">
        <f t="shared" si="14"/>
        <v>100</v>
      </c>
      <c r="X38" s="712"/>
      <c r="Y38" s="3501"/>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9" t="s">
        <v>2145</v>
      </c>
      <c r="Q39" s="1487" t="str">
        <f t="shared" si="11"/>
        <v>物业管理</v>
      </c>
      <c r="R39" s="714" t="s">
        <v>17</v>
      </c>
      <c r="S39" s="715">
        <f t="shared" si="12"/>
        <v>100</v>
      </c>
      <c r="T39" s="714" t="s">
        <v>17</v>
      </c>
      <c r="U39" s="715">
        <f t="shared" si="13"/>
        <v>100</v>
      </c>
      <c r="V39" s="714" t="s">
        <v>17</v>
      </c>
      <c r="W39" s="715">
        <f t="shared" si="14"/>
        <v>100</v>
      </c>
      <c r="X39" s="1490"/>
      <c r="Y39" s="3501"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9"/>
      <c r="Q40" s="1487" t="str">
        <f t="shared" si="11"/>
        <v>市政基础设施</v>
      </c>
      <c r="R40" s="714" t="s">
        <v>17</v>
      </c>
      <c r="S40" s="715">
        <f t="shared" si="12"/>
        <v>100</v>
      </c>
      <c r="T40" s="714" t="s">
        <v>17</v>
      </c>
      <c r="U40" s="715">
        <f t="shared" si="13"/>
        <v>100</v>
      </c>
      <c r="V40" s="714" t="s">
        <v>17</v>
      </c>
      <c r="W40" s="715">
        <f t="shared" si="14"/>
        <v>100</v>
      </c>
      <c r="X40" s="1490"/>
      <c r="Y40" s="3501"/>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9"/>
      <c r="Q41" s="1487" t="str">
        <f t="shared" si="11"/>
        <v>层高</v>
      </c>
      <c r="R41" s="714" t="s">
        <v>17</v>
      </c>
      <c r="S41" s="715">
        <f t="shared" si="12"/>
        <v>100</v>
      </c>
      <c r="T41" s="714" t="s">
        <v>17</v>
      </c>
      <c r="U41" s="715">
        <f t="shared" si="13"/>
        <v>100</v>
      </c>
      <c r="V41" s="714" t="s">
        <v>17</v>
      </c>
      <c r="W41" s="715">
        <f t="shared" si="14"/>
        <v>100</v>
      </c>
      <c r="X41" s="1490"/>
      <c r="Y41" s="3501"/>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9"/>
      <c r="Q42" s="716" t="str">
        <f t="shared" si="11"/>
        <v>单套建筑面积</v>
      </c>
      <c r="R42" s="717" t="s">
        <v>17</v>
      </c>
      <c r="S42" s="718">
        <f t="shared" si="12"/>
        <v>100</v>
      </c>
      <c r="T42" s="717" t="s">
        <v>17</v>
      </c>
      <c r="U42" s="718">
        <f t="shared" si="13"/>
        <v>100</v>
      </c>
      <c r="V42" s="717" t="s">
        <v>17</v>
      </c>
      <c r="W42" s="718">
        <f t="shared" si="14"/>
        <v>100</v>
      </c>
      <c r="X42" s="719"/>
      <c r="Y42" s="3501"/>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9"/>
      <c r="Q43" s="1487" t="str">
        <f t="shared" si="11"/>
        <v>内部装修</v>
      </c>
      <c r="R43" s="714" t="s">
        <v>17</v>
      </c>
      <c r="S43" s="715">
        <f t="shared" si="12"/>
        <v>100</v>
      </c>
      <c r="T43" s="714" t="s">
        <v>17</v>
      </c>
      <c r="U43" s="715">
        <f t="shared" si="13"/>
        <v>100</v>
      </c>
      <c r="V43" s="714" t="s">
        <v>17</v>
      </c>
      <c r="W43" s="715">
        <f t="shared" si="14"/>
        <v>100</v>
      </c>
      <c r="X43" s="1490"/>
      <c r="Y43" s="3501"/>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9"/>
      <c r="Q44" s="1487" t="str">
        <f t="shared" si="11"/>
        <v>内部装修维护情况</v>
      </c>
      <c r="R44" s="714" t="s">
        <v>17</v>
      </c>
      <c r="S44" s="715">
        <f t="shared" si="12"/>
        <v>100</v>
      </c>
      <c r="T44" s="714" t="s">
        <v>17</v>
      </c>
      <c r="U44" s="715">
        <f t="shared" si="13"/>
        <v>100</v>
      </c>
      <c r="V44" s="714" t="s">
        <v>17</v>
      </c>
      <c r="W44" s="715">
        <f t="shared" si="14"/>
        <v>100</v>
      </c>
      <c r="X44" s="1490"/>
      <c r="Y44" s="3501"/>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9"/>
      <c r="Q45" s="1478">
        <f t="shared" si="11"/>
        <v>111</v>
      </c>
      <c r="R45" s="710" t="s">
        <v>17</v>
      </c>
      <c r="S45" s="711">
        <f t="shared" si="12"/>
        <v>100</v>
      </c>
      <c r="T45" s="710" t="s">
        <v>17</v>
      </c>
      <c r="U45" s="711">
        <f t="shared" si="13"/>
        <v>100</v>
      </c>
      <c r="V45" s="710" t="s">
        <v>17</v>
      </c>
      <c r="W45" s="711">
        <f t="shared" si="14"/>
        <v>100</v>
      </c>
      <c r="X45" s="712"/>
      <c r="Y45" s="3501"/>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9"/>
      <c r="Q46" s="1487">
        <f t="shared" si="11"/>
        <v>111</v>
      </c>
      <c r="R46" s="714" t="s">
        <v>17</v>
      </c>
      <c r="S46" s="715">
        <f t="shared" si="12"/>
        <v>100</v>
      </c>
      <c r="T46" s="714" t="s">
        <v>17</v>
      </c>
      <c r="U46" s="715">
        <f t="shared" si="13"/>
        <v>100</v>
      </c>
      <c r="V46" s="714" t="s">
        <v>17</v>
      </c>
      <c r="W46" s="715">
        <f t="shared" si="14"/>
        <v>100</v>
      </c>
      <c r="X46" s="1490"/>
      <c r="Y46" s="3501"/>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500"/>
      <c r="Q47" s="1487">
        <f t="shared" si="11"/>
        <v>111</v>
      </c>
      <c r="R47" s="714" t="s">
        <v>17</v>
      </c>
      <c r="S47" s="715">
        <f t="shared" si="12"/>
        <v>100</v>
      </c>
      <c r="T47" s="714" t="s">
        <v>17</v>
      </c>
      <c r="U47" s="715">
        <f t="shared" si="13"/>
        <v>100</v>
      </c>
      <c r="V47" s="714" t="s">
        <v>17</v>
      </c>
      <c r="W47" s="715">
        <f t="shared" si="14"/>
        <v>100</v>
      </c>
      <c r="X47" s="1490"/>
      <c r="Y47" s="3502"/>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76" t="str">
        <f>A48</f>
        <v>成交单价（元/平方米）</v>
      </c>
      <c r="Q48" s="3494"/>
      <c r="R48" s="3495">
        <f>E48</f>
        <v>0</v>
      </c>
      <c r="S48" s="3495"/>
      <c r="T48" s="3495">
        <f>G48</f>
        <v>0</v>
      </c>
      <c r="U48" s="3495"/>
      <c r="V48" s="3495">
        <f>I48</f>
        <v>0</v>
      </c>
      <c r="W48" s="3495"/>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76" t="str">
        <f>A49</f>
        <v>比较价值（元/平方米）</v>
      </c>
      <c r="Q49" s="3494"/>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17" t="str">
        <f>A50</f>
        <v>估价对象XX用房的比较价值（楼面单价，元/平方米）</v>
      </c>
      <c r="Q50" s="3518"/>
      <c r="R50" s="3519" t="e">
        <f>IF(F1="售价",ROUND(IF(D49="简单平均",AVERAGE(R49:V49),R49*F49+T49*H49+V49*J49),0),ROUND(IF(D49="简单平均",AVERAGE(R49:V49),R49*F49+T49*H49+V49*J49),1))</f>
        <v>#DIV/0!</v>
      </c>
      <c r="S50" s="3519"/>
      <c r="T50" s="3519"/>
      <c r="U50" s="3519"/>
      <c r="V50" s="3519"/>
      <c r="W50" s="3519"/>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8634.8499999999985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7" t="s">
        <v>2226</v>
      </c>
      <c r="D4" s="3478"/>
      <c r="E4" s="3479" t="s">
        <v>2227</v>
      </c>
      <c r="F4" s="3480"/>
      <c r="G4" s="3477" t="s">
        <v>2228</v>
      </c>
      <c r="H4" s="3478"/>
      <c r="I4" s="3477" t="s">
        <v>2229</v>
      </c>
      <c r="J4" s="3478"/>
      <c r="K4" s="567" t="s">
        <v>2230</v>
      </c>
      <c r="L4" s="1025"/>
      <c r="M4" s="1026"/>
      <c r="N4" s="1026"/>
      <c r="O4" s="1026"/>
      <c r="P4" s="3481" t="s">
        <v>2231</v>
      </c>
      <c r="Q4" s="3482"/>
      <c r="R4" s="3464" t="s">
        <v>2227</v>
      </c>
      <c r="S4" s="3465"/>
      <c r="T4" s="3464" t="s">
        <v>2228</v>
      </c>
      <c r="U4" s="3465"/>
      <c r="V4" s="3489" t="s">
        <v>2229</v>
      </c>
      <c r="W4" s="3489"/>
      <c r="X4" s="1490"/>
      <c r="Y4" s="3464" t="s">
        <v>2231</v>
      </c>
      <c r="Z4" s="3465"/>
      <c r="AA4" s="3459" t="s">
        <v>2227</v>
      </c>
      <c r="AB4" s="3460" t="s">
        <v>2228</v>
      </c>
      <c r="AC4" s="3459" t="s">
        <v>2229</v>
      </c>
    </row>
    <row r="5" spans="1:29" ht="15">
      <c r="A5" s="364"/>
      <c r="B5" s="365"/>
      <c r="C5" s="3470" t="s">
        <v>2122</v>
      </c>
      <c r="D5" s="3471"/>
      <c r="E5" s="3468" t="s">
        <v>2123</v>
      </c>
      <c r="F5" s="3469"/>
      <c r="G5" s="3470" t="s">
        <v>2124</v>
      </c>
      <c r="H5" s="3471"/>
      <c r="I5" s="3470" t="s">
        <v>2125</v>
      </c>
      <c r="J5" s="3471"/>
      <c r="K5" s="567"/>
      <c r="L5" s="1025"/>
      <c r="M5" s="1026"/>
      <c r="N5" s="1026"/>
      <c r="O5" s="1026"/>
      <c r="P5" s="3483"/>
      <c r="Q5" s="3484"/>
      <c r="R5" s="3466"/>
      <c r="S5" s="3467"/>
      <c r="T5" s="3466"/>
      <c r="U5" s="3467"/>
      <c r="V5" s="3489"/>
      <c r="W5" s="3489"/>
      <c r="X5" s="1490"/>
      <c r="Y5" s="3466"/>
      <c r="Z5" s="3467"/>
      <c r="AA5" s="3460"/>
      <c r="AB5" s="3460"/>
      <c r="AC5" s="3460"/>
    </row>
    <row r="6" spans="1:29" ht="15.75" thickBot="1">
      <c r="A6" s="366"/>
      <c r="B6" s="367"/>
      <c r="C6" s="3472" t="s">
        <v>2126</v>
      </c>
      <c r="D6" s="3473"/>
      <c r="E6" s="3474" t="s">
        <v>2126</v>
      </c>
      <c r="F6" s="3475"/>
      <c r="G6" s="3472" t="s">
        <v>2126</v>
      </c>
      <c r="H6" s="3473"/>
      <c r="I6" s="3472" t="s">
        <v>2126</v>
      </c>
      <c r="J6" s="3473"/>
      <c r="K6" s="567" t="s">
        <v>2127</v>
      </c>
      <c r="L6" s="1025"/>
      <c r="M6" s="1026"/>
      <c r="N6" s="1026"/>
      <c r="O6" s="1026"/>
      <c r="P6" s="3485"/>
      <c r="Q6" s="3486"/>
      <c r="R6" s="3466"/>
      <c r="S6" s="3467"/>
      <c r="T6" s="3487"/>
      <c r="U6" s="3488"/>
      <c r="V6" s="3489"/>
      <c r="W6" s="3489"/>
      <c r="X6" s="1490"/>
      <c r="Y6" s="3487"/>
      <c r="Z6" s="3488"/>
      <c r="AA6" s="3461"/>
      <c r="AB6" s="3461"/>
      <c r="AC6" s="3461"/>
    </row>
    <row r="7" spans="1:29" s="113" customFormat="1" ht="15.75" thickBot="1">
      <c r="A7" s="368" t="s">
        <v>2128</v>
      </c>
      <c r="B7" s="369"/>
      <c r="C7" s="370">
        <f>'数据-取费表'!B2</f>
        <v>44728</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62" t="s">
        <v>2129</v>
      </c>
      <c r="Q7" s="3490"/>
      <c r="R7" s="710" t="s">
        <v>17</v>
      </c>
      <c r="S7" s="711">
        <f t="shared" ref="S7:S15" si="0">F7</f>
        <v>0</v>
      </c>
      <c r="T7" s="710" t="s">
        <v>17</v>
      </c>
      <c r="U7" s="711">
        <f t="shared" ref="U7:U15" si="1">H7</f>
        <v>0</v>
      </c>
      <c r="V7" s="710" t="s">
        <v>17</v>
      </c>
      <c r="W7" s="711">
        <f t="shared" ref="W7:W15" si="2">J7</f>
        <v>0</v>
      </c>
      <c r="X7" s="712"/>
      <c r="Y7" s="3462" t="s">
        <v>2129</v>
      </c>
      <c r="Z7" s="3463"/>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62" t="s">
        <v>2132</v>
      </c>
      <c r="Q8" s="3463"/>
      <c r="R8" s="710" t="s">
        <v>17</v>
      </c>
      <c r="S8" s="711">
        <f t="shared" si="0"/>
        <v>0</v>
      </c>
      <c r="T8" s="710" t="s">
        <v>17</v>
      </c>
      <c r="U8" s="711">
        <f t="shared" si="1"/>
        <v>0</v>
      </c>
      <c r="V8" s="710" t="s">
        <v>17</v>
      </c>
      <c r="W8" s="711">
        <f t="shared" si="2"/>
        <v>0</v>
      </c>
      <c r="X8" s="712"/>
      <c r="Y8" s="3462" t="s">
        <v>2132</v>
      </c>
      <c r="Z8" s="3463"/>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4" t="s">
        <v>2135</v>
      </c>
      <c r="Q9" s="1478" t="str">
        <f t="shared" ref="Q9:Q15" si="6">B9</f>
        <v>用途</v>
      </c>
      <c r="R9" s="710" t="s">
        <v>17</v>
      </c>
      <c r="S9" s="711">
        <f t="shared" si="0"/>
        <v>100</v>
      </c>
      <c r="T9" s="710" t="s">
        <v>17</v>
      </c>
      <c r="U9" s="711">
        <f t="shared" si="1"/>
        <v>100</v>
      </c>
      <c r="V9" s="710" t="s">
        <v>17</v>
      </c>
      <c r="W9" s="711">
        <f t="shared" si="2"/>
        <v>100</v>
      </c>
      <c r="X9" s="712"/>
      <c r="Y9" s="340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4"/>
      <c r="Q10" s="1478" t="str">
        <f t="shared" si="6"/>
        <v>土地使用年限（年）</v>
      </c>
      <c r="R10" s="710" t="s">
        <v>17</v>
      </c>
      <c r="S10" s="711">
        <f t="shared" si="0"/>
        <v>100</v>
      </c>
      <c r="T10" s="710" t="s">
        <v>17</v>
      </c>
      <c r="U10" s="711">
        <f t="shared" si="1"/>
        <v>100</v>
      </c>
      <c r="V10" s="710" t="s">
        <v>17</v>
      </c>
      <c r="W10" s="711">
        <f t="shared" si="2"/>
        <v>100</v>
      </c>
      <c r="X10" s="712"/>
      <c r="Y10" s="3406"/>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4"/>
      <c r="Q11" s="1478" t="str">
        <f t="shared" si="6"/>
        <v>容积率</v>
      </c>
      <c r="R11" s="710" t="s">
        <v>17</v>
      </c>
      <c r="S11" s="711" t="e">
        <f t="shared" si="0"/>
        <v>#N/A</v>
      </c>
      <c r="T11" s="710" t="s">
        <v>17</v>
      </c>
      <c r="U11" s="711" t="e">
        <f t="shared" si="1"/>
        <v>#N/A</v>
      </c>
      <c r="V11" s="710" t="s">
        <v>17</v>
      </c>
      <c r="W11" s="711" t="e">
        <f t="shared" si="2"/>
        <v>#N/A</v>
      </c>
      <c r="X11" s="712"/>
      <c r="Y11" s="3406"/>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94"/>
      <c r="Q12" s="1478">
        <f t="shared" si="6"/>
        <v>111</v>
      </c>
      <c r="R12" s="710" t="s">
        <v>17</v>
      </c>
      <c r="S12" s="711">
        <f t="shared" si="0"/>
        <v>100</v>
      </c>
      <c r="T12" s="710" t="s">
        <v>17</v>
      </c>
      <c r="U12" s="711">
        <f t="shared" si="1"/>
        <v>100</v>
      </c>
      <c r="V12" s="710" t="s">
        <v>17</v>
      </c>
      <c r="W12" s="711">
        <f t="shared" si="2"/>
        <v>100</v>
      </c>
      <c r="X12" s="712"/>
      <c r="Y12" s="3406"/>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94"/>
      <c r="Q13" s="1478">
        <f t="shared" si="6"/>
        <v>111</v>
      </c>
      <c r="R13" s="710" t="s">
        <v>17</v>
      </c>
      <c r="S13" s="711">
        <f t="shared" si="0"/>
        <v>100</v>
      </c>
      <c r="T13" s="710" t="s">
        <v>17</v>
      </c>
      <c r="U13" s="711">
        <f t="shared" si="1"/>
        <v>100</v>
      </c>
      <c r="V13" s="710" t="s">
        <v>17</v>
      </c>
      <c r="W13" s="711">
        <f t="shared" si="2"/>
        <v>100</v>
      </c>
      <c r="X13" s="712"/>
      <c r="Y13" s="3406"/>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94"/>
      <c r="Q14" s="1478">
        <f t="shared" si="6"/>
        <v>111</v>
      </c>
      <c r="R14" s="710" t="s">
        <v>17</v>
      </c>
      <c r="S14" s="711">
        <f t="shared" si="0"/>
        <v>100</v>
      </c>
      <c r="T14" s="710" t="s">
        <v>17</v>
      </c>
      <c r="U14" s="711">
        <f t="shared" si="1"/>
        <v>100</v>
      </c>
      <c r="V14" s="710" t="s">
        <v>17</v>
      </c>
      <c r="W14" s="711">
        <f t="shared" si="2"/>
        <v>100</v>
      </c>
      <c r="X14" s="712"/>
      <c r="Y14" s="3406"/>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6" t="s">
        <v>2140</v>
      </c>
      <c r="Q15" s="1487" t="str">
        <f t="shared" si="6"/>
        <v>产业集聚程度</v>
      </c>
      <c r="R15" s="714" t="s">
        <v>17</v>
      </c>
      <c r="S15" s="715">
        <f t="shared" si="0"/>
        <v>100</v>
      </c>
      <c r="T15" s="714" t="s">
        <v>17</v>
      </c>
      <c r="U15" s="715">
        <f t="shared" si="1"/>
        <v>100</v>
      </c>
      <c r="V15" s="714" t="s">
        <v>17</v>
      </c>
      <c r="W15" s="715">
        <f t="shared" si="2"/>
        <v>100</v>
      </c>
      <c r="X15" s="1490"/>
      <c r="Y15" s="3496"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7"/>
      <c r="Q16" s="1487"/>
      <c r="R16" s="714"/>
      <c r="S16" s="715"/>
      <c r="T16" s="714"/>
      <c r="U16" s="715"/>
      <c r="V16" s="714"/>
      <c r="W16" s="715"/>
      <c r="X16" s="1490"/>
      <c r="Y16" s="3497"/>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7"/>
      <c r="Q17" s="1487" t="str">
        <f>B17</f>
        <v>交通便捷度</v>
      </c>
      <c r="R17" s="714" t="s">
        <v>17</v>
      </c>
      <c r="S17" s="715">
        <f>F17</f>
        <v>100</v>
      </c>
      <c r="T17" s="714" t="s">
        <v>17</v>
      </c>
      <c r="U17" s="715">
        <f>H17</f>
        <v>100</v>
      </c>
      <c r="V17" s="714" t="s">
        <v>17</v>
      </c>
      <c r="W17" s="715">
        <f>J17</f>
        <v>100</v>
      </c>
      <c r="X17" s="1490"/>
      <c r="Y17" s="3497"/>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97"/>
      <c r="Q18" s="1487"/>
      <c r="R18" s="714"/>
      <c r="S18" s="715"/>
      <c r="T18" s="714"/>
      <c r="U18" s="715"/>
      <c r="V18" s="714"/>
      <c r="W18" s="715"/>
      <c r="X18" s="1490"/>
      <c r="Y18" s="3497"/>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7"/>
      <c r="Q19" s="1487" t="str">
        <f>B19</f>
        <v>公共配套设施</v>
      </c>
      <c r="R19" s="714" t="s">
        <v>17</v>
      </c>
      <c r="S19" s="715">
        <f>F19</f>
        <v>100</v>
      </c>
      <c r="T19" s="714" t="s">
        <v>17</v>
      </c>
      <c r="U19" s="715">
        <f>H19</f>
        <v>100</v>
      </c>
      <c r="V19" s="714" t="s">
        <v>17</v>
      </c>
      <c r="W19" s="715">
        <f>J19</f>
        <v>100</v>
      </c>
      <c r="X19" s="1490"/>
      <c r="Y19" s="3497"/>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97"/>
      <c r="Q20" s="1487"/>
      <c r="R20" s="714"/>
      <c r="S20" s="715"/>
      <c r="T20" s="714"/>
      <c r="U20" s="715"/>
      <c r="V20" s="714"/>
      <c r="W20" s="715"/>
      <c r="X20" s="1490"/>
      <c r="Y20" s="3497"/>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7"/>
      <c r="Q21" s="1487" t="str">
        <f>B21</f>
        <v>基础设施水平</v>
      </c>
      <c r="R21" s="714" t="s">
        <v>17</v>
      </c>
      <c r="S21" s="715">
        <f>F21</f>
        <v>100</v>
      </c>
      <c r="T21" s="714" t="s">
        <v>17</v>
      </c>
      <c r="U21" s="715">
        <f>H21</f>
        <v>100</v>
      </c>
      <c r="V21" s="714" t="s">
        <v>17</v>
      </c>
      <c r="W21" s="715">
        <f>J21</f>
        <v>100</v>
      </c>
      <c r="X21" s="1490"/>
      <c r="Y21" s="349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97"/>
      <c r="Q22" s="1487"/>
      <c r="R22" s="714"/>
      <c r="S22" s="715"/>
      <c r="T22" s="714"/>
      <c r="U22" s="715"/>
      <c r="V22" s="714"/>
      <c r="W22" s="715"/>
      <c r="X22" s="1490"/>
      <c r="Y22" s="3497"/>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7"/>
      <c r="Q23" s="1487" t="str">
        <f>B23</f>
        <v>环境质量</v>
      </c>
      <c r="R23" s="714" t="s">
        <v>17</v>
      </c>
      <c r="S23" s="715">
        <f>F23</f>
        <v>100</v>
      </c>
      <c r="T23" s="714" t="s">
        <v>17</v>
      </c>
      <c r="U23" s="715">
        <f>H23</f>
        <v>100</v>
      </c>
      <c r="V23" s="714" t="s">
        <v>17</v>
      </c>
      <c r="W23" s="715">
        <f>J23</f>
        <v>100</v>
      </c>
      <c r="X23" s="1490"/>
      <c r="Y23" s="3497"/>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97"/>
      <c r="Q24" s="1487"/>
      <c r="R24" s="714"/>
      <c r="S24" s="715"/>
      <c r="T24" s="714"/>
      <c r="U24" s="715"/>
      <c r="V24" s="714"/>
      <c r="W24" s="715"/>
      <c r="X24" s="1490"/>
      <c r="Y24" s="3497"/>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7"/>
      <c r="Q25" s="1487">
        <f>B25</f>
        <v>111</v>
      </c>
      <c r="R25" s="714" t="s">
        <v>17</v>
      </c>
      <c r="S25" s="715">
        <f>F25</f>
        <v>100</v>
      </c>
      <c r="T25" s="714" t="s">
        <v>17</v>
      </c>
      <c r="U25" s="715">
        <f>H25</f>
        <v>100</v>
      </c>
      <c r="V25" s="714" t="s">
        <v>17</v>
      </c>
      <c r="W25" s="715">
        <f>J25</f>
        <v>100</v>
      </c>
      <c r="X25" s="1490"/>
      <c r="Y25" s="3497"/>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7"/>
      <c r="Q26" s="1487">
        <f t="shared" ref="Q26:Q40" si="11">B26</f>
        <v>111</v>
      </c>
      <c r="R26" s="714" t="s">
        <v>17</v>
      </c>
      <c r="S26" s="715">
        <f>F26</f>
        <v>100</v>
      </c>
      <c r="T26" s="714" t="s">
        <v>17</v>
      </c>
      <c r="U26" s="715">
        <f>H26</f>
        <v>100</v>
      </c>
      <c r="V26" s="714" t="s">
        <v>17</v>
      </c>
      <c r="W26" s="715">
        <f>J26</f>
        <v>100</v>
      </c>
      <c r="X26" s="1490"/>
      <c r="Y26" s="3497"/>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7"/>
      <c r="Q27" s="1478">
        <f t="shared" si="11"/>
        <v>111</v>
      </c>
      <c r="R27" s="710" t="s">
        <v>17</v>
      </c>
      <c r="S27" s="711">
        <f>F27</f>
        <v>100</v>
      </c>
      <c r="T27" s="710" t="s">
        <v>17</v>
      </c>
      <c r="U27" s="711">
        <f>H27</f>
        <v>100</v>
      </c>
      <c r="V27" s="710" t="s">
        <v>17</v>
      </c>
      <c r="W27" s="711">
        <f>J27</f>
        <v>100</v>
      </c>
      <c r="X27" s="712"/>
      <c r="Y27" s="3497"/>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7"/>
      <c r="Q28" s="1487">
        <f t="shared" si="11"/>
        <v>111</v>
      </c>
      <c r="R28" s="714" t="s">
        <v>17</v>
      </c>
      <c r="S28" s="715">
        <f t="shared" ref="S28:S40" si="12">F28</f>
        <v>100</v>
      </c>
      <c r="T28" s="714" t="s">
        <v>17</v>
      </c>
      <c r="U28" s="715">
        <f t="shared" ref="U28:U40" si="13">H28</f>
        <v>100</v>
      </c>
      <c r="V28" s="714" t="s">
        <v>17</v>
      </c>
      <c r="W28" s="715">
        <f t="shared" ref="W28:W40" si="14">J28</f>
        <v>100</v>
      </c>
      <c r="X28" s="1490"/>
      <c r="Y28" s="3497"/>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20" t="s">
        <v>2145</v>
      </c>
      <c r="Q29" s="1487" t="str">
        <f t="shared" si="11"/>
        <v>建筑类型</v>
      </c>
      <c r="R29" s="714" t="s">
        <v>17</v>
      </c>
      <c r="S29" s="715">
        <f t="shared" si="12"/>
        <v>100</v>
      </c>
      <c r="T29" s="714" t="s">
        <v>17</v>
      </c>
      <c r="U29" s="715">
        <f t="shared" si="13"/>
        <v>100</v>
      </c>
      <c r="V29" s="714" t="s">
        <v>17</v>
      </c>
      <c r="W29" s="715">
        <f t="shared" si="14"/>
        <v>100</v>
      </c>
      <c r="X29" s="1490"/>
      <c r="Y29" s="3501"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01"/>
      <c r="Q30" s="716" t="str">
        <f t="shared" si="11"/>
        <v>项目建筑规模</v>
      </c>
      <c r="R30" s="717" t="s">
        <v>17</v>
      </c>
      <c r="S30" s="718" t="e">
        <f t="shared" si="12"/>
        <v>#N/A</v>
      </c>
      <c r="T30" s="717" t="s">
        <v>17</v>
      </c>
      <c r="U30" s="718" t="e">
        <f t="shared" si="13"/>
        <v>#N/A</v>
      </c>
      <c r="V30" s="717" t="s">
        <v>17</v>
      </c>
      <c r="W30" s="718" t="e">
        <f t="shared" si="14"/>
        <v>#N/A</v>
      </c>
      <c r="X30" s="719"/>
      <c r="Y30" s="3501"/>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01"/>
      <c r="Q31" s="1487" t="str">
        <f t="shared" si="11"/>
        <v>建筑结构</v>
      </c>
      <c r="R31" s="714" t="s">
        <v>17</v>
      </c>
      <c r="S31" s="715">
        <f t="shared" si="12"/>
        <v>100</v>
      </c>
      <c r="T31" s="714" t="s">
        <v>17</v>
      </c>
      <c r="U31" s="715">
        <f t="shared" si="13"/>
        <v>100</v>
      </c>
      <c r="V31" s="714" t="s">
        <v>17</v>
      </c>
      <c r="W31" s="715">
        <f t="shared" si="14"/>
        <v>100</v>
      </c>
      <c r="X31" s="1490"/>
      <c r="Y31" s="3501"/>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01"/>
      <c r="Q32" s="1487" t="str">
        <f t="shared" si="11"/>
        <v>公共部分装修</v>
      </c>
      <c r="R32" s="714" t="s">
        <v>17</v>
      </c>
      <c r="S32" s="715">
        <f t="shared" si="12"/>
        <v>100</v>
      </c>
      <c r="T32" s="714" t="s">
        <v>17</v>
      </c>
      <c r="U32" s="715">
        <f t="shared" si="13"/>
        <v>100</v>
      </c>
      <c r="V32" s="714" t="s">
        <v>17</v>
      </c>
      <c r="W32" s="715">
        <f t="shared" si="14"/>
        <v>100</v>
      </c>
      <c r="X32" s="1490"/>
      <c r="Y32" s="3501"/>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01"/>
      <c r="Q33" s="1487" t="str">
        <f t="shared" si="11"/>
        <v>成新度</v>
      </c>
      <c r="R33" s="714" t="s">
        <v>17</v>
      </c>
      <c r="S33" s="715" t="e">
        <f t="shared" si="12"/>
        <v>#N/A</v>
      </c>
      <c r="T33" s="714" t="s">
        <v>17</v>
      </c>
      <c r="U33" s="715" t="e">
        <f t="shared" si="13"/>
        <v>#N/A</v>
      </c>
      <c r="V33" s="714" t="s">
        <v>17</v>
      </c>
      <c r="W33" s="715" t="e">
        <f t="shared" si="14"/>
        <v>#N/A</v>
      </c>
      <c r="X33" s="1490"/>
      <c r="Y33" s="3501"/>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01"/>
      <c r="Q34" s="1478" t="str">
        <f t="shared" si="11"/>
        <v>物业管理</v>
      </c>
      <c r="R34" s="710" t="s">
        <v>17</v>
      </c>
      <c r="S34" s="711">
        <f t="shared" si="12"/>
        <v>100</v>
      </c>
      <c r="T34" s="710" t="s">
        <v>17</v>
      </c>
      <c r="U34" s="711">
        <f t="shared" si="13"/>
        <v>100</v>
      </c>
      <c r="V34" s="710" t="s">
        <v>17</v>
      </c>
      <c r="W34" s="711">
        <f t="shared" si="14"/>
        <v>100</v>
      </c>
      <c r="X34" s="712"/>
      <c r="Y34" s="3501"/>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01" t="s">
        <v>2145</v>
      </c>
      <c r="Q35" s="1487" t="str">
        <f t="shared" si="11"/>
        <v>市政基础设施</v>
      </c>
      <c r="R35" s="714" t="s">
        <v>17</v>
      </c>
      <c r="S35" s="715">
        <f t="shared" si="12"/>
        <v>100</v>
      </c>
      <c r="T35" s="714" t="s">
        <v>17</v>
      </c>
      <c r="U35" s="715">
        <f t="shared" si="13"/>
        <v>100</v>
      </c>
      <c r="V35" s="714" t="s">
        <v>17</v>
      </c>
      <c r="W35" s="715">
        <f t="shared" si="14"/>
        <v>100</v>
      </c>
      <c r="X35" s="1490"/>
      <c r="Y35" s="3501"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01"/>
      <c r="Q36" s="1487" t="str">
        <f t="shared" si="11"/>
        <v>内部装修</v>
      </c>
      <c r="R36" s="714" t="s">
        <v>17</v>
      </c>
      <c r="S36" s="715">
        <f t="shared" si="12"/>
        <v>100</v>
      </c>
      <c r="T36" s="714" t="s">
        <v>17</v>
      </c>
      <c r="U36" s="715">
        <f t="shared" si="13"/>
        <v>100</v>
      </c>
      <c r="V36" s="714" t="s">
        <v>17</v>
      </c>
      <c r="W36" s="715">
        <f t="shared" si="14"/>
        <v>100</v>
      </c>
      <c r="X36" s="1490"/>
      <c r="Y36" s="3501"/>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01"/>
      <c r="Q37" s="1487" t="str">
        <f t="shared" si="11"/>
        <v>内部装修状况</v>
      </c>
      <c r="R37" s="714" t="s">
        <v>17</v>
      </c>
      <c r="S37" s="715">
        <f t="shared" si="12"/>
        <v>100</v>
      </c>
      <c r="T37" s="714" t="s">
        <v>17</v>
      </c>
      <c r="U37" s="715">
        <f t="shared" si="13"/>
        <v>100</v>
      </c>
      <c r="V37" s="714" t="s">
        <v>17</v>
      </c>
      <c r="W37" s="715">
        <f t="shared" si="14"/>
        <v>100</v>
      </c>
      <c r="X37" s="1490"/>
      <c r="Y37" s="3501"/>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01"/>
      <c r="Q38" s="716">
        <f t="shared" si="11"/>
        <v>111</v>
      </c>
      <c r="R38" s="717" t="s">
        <v>17</v>
      </c>
      <c r="S38" s="718">
        <f t="shared" si="12"/>
        <v>100</v>
      </c>
      <c r="T38" s="717" t="s">
        <v>17</v>
      </c>
      <c r="U38" s="718">
        <f t="shared" si="13"/>
        <v>100</v>
      </c>
      <c r="V38" s="717" t="s">
        <v>17</v>
      </c>
      <c r="W38" s="718">
        <f t="shared" si="14"/>
        <v>100</v>
      </c>
      <c r="X38" s="719"/>
      <c r="Y38" s="3501"/>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01"/>
      <c r="Q39" s="1487">
        <f t="shared" si="11"/>
        <v>111</v>
      </c>
      <c r="R39" s="714" t="s">
        <v>17</v>
      </c>
      <c r="S39" s="715">
        <f t="shared" si="12"/>
        <v>100</v>
      </c>
      <c r="T39" s="714" t="s">
        <v>17</v>
      </c>
      <c r="U39" s="715">
        <f t="shared" si="13"/>
        <v>100</v>
      </c>
      <c r="V39" s="714" t="s">
        <v>17</v>
      </c>
      <c r="W39" s="715">
        <f t="shared" si="14"/>
        <v>100</v>
      </c>
      <c r="X39" s="1490"/>
      <c r="Y39" s="3501"/>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02"/>
      <c r="Q40" s="1487">
        <f t="shared" si="11"/>
        <v>111</v>
      </c>
      <c r="R40" s="714" t="s">
        <v>17</v>
      </c>
      <c r="S40" s="715">
        <f t="shared" si="12"/>
        <v>100</v>
      </c>
      <c r="T40" s="714" t="s">
        <v>17</v>
      </c>
      <c r="U40" s="715">
        <f t="shared" si="13"/>
        <v>100</v>
      </c>
      <c r="V40" s="714" t="s">
        <v>17</v>
      </c>
      <c r="W40" s="715">
        <f t="shared" si="14"/>
        <v>100</v>
      </c>
      <c r="X40" s="1490"/>
      <c r="Y40" s="3502"/>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94" t="str">
        <f>A41</f>
        <v>成交单价（元/平方米）</v>
      </c>
      <c r="Q41" s="3494"/>
      <c r="R41" s="3495">
        <f>E41</f>
        <v>0</v>
      </c>
      <c r="S41" s="3495"/>
      <c r="T41" s="3495">
        <f>G41</f>
        <v>0</v>
      </c>
      <c r="U41" s="3495"/>
      <c r="V41" s="3495">
        <f>I41</f>
        <v>0</v>
      </c>
      <c r="W41" s="3495"/>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94" t="str">
        <f>A42</f>
        <v>比较价值（元/平方米）</v>
      </c>
      <c r="Q42" s="3494"/>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91" t="str">
        <f>A43</f>
        <v>估价对象XX用房的比较价值（楼面单价，元/平方米）</v>
      </c>
      <c r="Q43" s="3492"/>
      <c r="R43" s="3493" t="e">
        <f>IF(F1="售价",ROUND(IF(D42="简单平均",AVERAGE(R42:V42),R42*F42+T42*H42+V42*J42),0),ROUND(IF(D42="简单平均",AVERAGE(R42:V42),R42*F42+T42*H42+V42*J42),1))</f>
        <v>#DIV/0!</v>
      </c>
      <c r="S43" s="3493"/>
      <c r="T43" s="3493"/>
      <c r="U43" s="3493"/>
      <c r="V43" s="3493"/>
      <c r="W43" s="3493"/>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估价对象为北京市房地产，为所有。根据《国有土地使用证》[]，估价对象（分摊）出让国有建设用地使用权面积为17477平方米，建筑面积为8634.85平方米。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估价对象为北京市房地产,属开发建设的工业项目，该项目尚在开发建设中。根据《国有土地使用证》[]，估价对象（分摊）出让国有建设用地使用权面积为17477平方米，规划建筑面积为8634.85平方米。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2022年6月16日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77" t="s">
        <v>2226</v>
      </c>
      <c r="D4" s="3478"/>
      <c r="E4" s="3479" t="s">
        <v>2227</v>
      </c>
      <c r="F4" s="3480"/>
      <c r="G4" s="3477" t="s">
        <v>2228</v>
      </c>
      <c r="H4" s="3478"/>
      <c r="I4" s="3477" t="s">
        <v>2229</v>
      </c>
      <c r="J4" s="3478"/>
      <c r="K4" s="567" t="s">
        <v>2230</v>
      </c>
      <c r="L4" s="2894"/>
      <c r="M4" s="2895"/>
      <c r="N4" s="2895"/>
      <c r="O4" s="2895"/>
      <c r="P4" s="3481" t="s">
        <v>2231</v>
      </c>
      <c r="Q4" s="3482"/>
      <c r="R4" s="3464" t="s">
        <v>2227</v>
      </c>
      <c r="S4" s="3465"/>
      <c r="T4" s="3464" t="s">
        <v>2228</v>
      </c>
      <c r="U4" s="3465"/>
      <c r="V4" s="3489" t="s">
        <v>2229</v>
      </c>
      <c r="W4" s="3489"/>
      <c r="X4" s="1490"/>
      <c r="Y4" s="3464" t="s">
        <v>2231</v>
      </c>
      <c r="Z4" s="3465"/>
      <c r="AA4" s="3459" t="s">
        <v>2227</v>
      </c>
      <c r="AB4" s="3460" t="s">
        <v>2228</v>
      </c>
      <c r="AC4" s="3459" t="s">
        <v>2229</v>
      </c>
    </row>
    <row r="5" spans="1:29" ht="15">
      <c r="A5" s="364"/>
      <c r="B5" s="365"/>
      <c r="C5" s="3470" t="s">
        <v>2122</v>
      </c>
      <c r="D5" s="3471"/>
      <c r="E5" s="3468" t="s">
        <v>2123</v>
      </c>
      <c r="F5" s="3469"/>
      <c r="G5" s="3470" t="s">
        <v>2124</v>
      </c>
      <c r="H5" s="3471"/>
      <c r="I5" s="3470" t="s">
        <v>2125</v>
      </c>
      <c r="J5" s="3471"/>
      <c r="K5" s="567"/>
      <c r="L5" s="2894"/>
      <c r="M5" s="2895"/>
      <c r="N5" s="2895"/>
      <c r="O5" s="2895"/>
      <c r="P5" s="3483"/>
      <c r="Q5" s="3484"/>
      <c r="R5" s="3466"/>
      <c r="S5" s="3467"/>
      <c r="T5" s="3466"/>
      <c r="U5" s="3467"/>
      <c r="V5" s="3489"/>
      <c r="W5" s="3489"/>
      <c r="X5" s="1490"/>
      <c r="Y5" s="3466"/>
      <c r="Z5" s="3467"/>
      <c r="AA5" s="3460"/>
      <c r="AB5" s="3460"/>
      <c r="AC5" s="3460"/>
    </row>
    <row r="6" spans="1:29" ht="15.75" thickBot="1">
      <c r="A6" s="366"/>
      <c r="B6" s="367"/>
      <c r="C6" s="3472" t="s">
        <v>2126</v>
      </c>
      <c r="D6" s="3473"/>
      <c r="E6" s="3474" t="s">
        <v>2126</v>
      </c>
      <c r="F6" s="3475"/>
      <c r="G6" s="3472" t="s">
        <v>2126</v>
      </c>
      <c r="H6" s="3473"/>
      <c r="I6" s="3472" t="s">
        <v>2126</v>
      </c>
      <c r="J6" s="3473"/>
      <c r="K6" s="567" t="s">
        <v>2127</v>
      </c>
      <c r="L6" s="2894"/>
      <c r="M6" s="2895"/>
      <c r="N6" s="2895"/>
      <c r="O6" s="2895"/>
      <c r="P6" s="3485"/>
      <c r="Q6" s="3486"/>
      <c r="R6" s="3466"/>
      <c r="S6" s="3467"/>
      <c r="T6" s="3487"/>
      <c r="U6" s="3488"/>
      <c r="V6" s="3489"/>
      <c r="W6" s="3489"/>
      <c r="X6" s="1490"/>
      <c r="Y6" s="3487"/>
      <c r="Z6" s="3488"/>
      <c r="AA6" s="3461"/>
      <c r="AB6" s="3461"/>
      <c r="AC6" s="3461"/>
    </row>
    <row r="7" spans="1:29" s="113" customFormat="1" ht="15.75" thickBot="1">
      <c r="A7" s="368" t="s">
        <v>2128</v>
      </c>
      <c r="B7" s="369"/>
      <c r="C7" s="370">
        <f>'数据-取费表'!B2</f>
        <v>44728</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62" t="s">
        <v>2129</v>
      </c>
      <c r="Q7" s="3490"/>
      <c r="R7" s="710" t="s">
        <v>17</v>
      </c>
      <c r="S7" s="711">
        <f t="shared" ref="S7:S14" si="0">F7</f>
        <v>0</v>
      </c>
      <c r="T7" s="710" t="s">
        <v>17</v>
      </c>
      <c r="U7" s="711">
        <f t="shared" ref="U7:U14" si="1">H7</f>
        <v>0</v>
      </c>
      <c r="V7" s="710" t="s">
        <v>17</v>
      </c>
      <c r="W7" s="711">
        <f t="shared" ref="W7:W14" si="2">J7</f>
        <v>0</v>
      </c>
      <c r="X7" s="712"/>
      <c r="Y7" s="3462" t="s">
        <v>2129</v>
      </c>
      <c r="Z7" s="3463"/>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62" t="s">
        <v>2132</v>
      </c>
      <c r="Q8" s="3463"/>
      <c r="R8" s="710" t="s">
        <v>17</v>
      </c>
      <c r="S8" s="711">
        <f t="shared" si="0"/>
        <v>0</v>
      </c>
      <c r="T8" s="710" t="s">
        <v>17</v>
      </c>
      <c r="U8" s="711">
        <f t="shared" si="1"/>
        <v>0</v>
      </c>
      <c r="V8" s="710" t="s">
        <v>17</v>
      </c>
      <c r="W8" s="711">
        <f t="shared" si="2"/>
        <v>0</v>
      </c>
      <c r="X8" s="712"/>
      <c r="Y8" s="3462" t="s">
        <v>2132</v>
      </c>
      <c r="Z8" s="3463"/>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94" t="s">
        <v>2135</v>
      </c>
      <c r="Q9" s="1478" t="str">
        <f t="shared" ref="Q9:Q14" si="6">B9</f>
        <v>用途</v>
      </c>
      <c r="R9" s="710" t="s">
        <v>17</v>
      </c>
      <c r="S9" s="711">
        <f t="shared" si="0"/>
        <v>100</v>
      </c>
      <c r="T9" s="710" t="s">
        <v>17</v>
      </c>
      <c r="U9" s="711">
        <f t="shared" si="1"/>
        <v>100</v>
      </c>
      <c r="V9" s="710" t="s">
        <v>17</v>
      </c>
      <c r="W9" s="711">
        <f t="shared" si="2"/>
        <v>100</v>
      </c>
      <c r="X9" s="712"/>
      <c r="Y9" s="3406"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94"/>
      <c r="Q10" s="1478" t="str">
        <f t="shared" si="6"/>
        <v>土地使用年限（年）</v>
      </c>
      <c r="R10" s="710" t="s">
        <v>17</v>
      </c>
      <c r="S10" s="711">
        <f t="shared" si="0"/>
        <v>100</v>
      </c>
      <c r="T10" s="710" t="s">
        <v>17</v>
      </c>
      <c r="U10" s="711">
        <f t="shared" si="1"/>
        <v>100</v>
      </c>
      <c r="V10" s="710" t="s">
        <v>17</v>
      </c>
      <c r="W10" s="711">
        <f t="shared" si="2"/>
        <v>100</v>
      </c>
      <c r="X10" s="712"/>
      <c r="Y10" s="340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94"/>
      <c r="Q11" s="1478">
        <f t="shared" si="6"/>
        <v>111</v>
      </c>
      <c r="R11" s="710" t="s">
        <v>17</v>
      </c>
      <c r="S11" s="711">
        <f t="shared" si="0"/>
        <v>100</v>
      </c>
      <c r="T11" s="710" t="s">
        <v>17</v>
      </c>
      <c r="U11" s="711">
        <f t="shared" si="1"/>
        <v>100</v>
      </c>
      <c r="V11" s="710" t="s">
        <v>17</v>
      </c>
      <c r="W11" s="711">
        <f t="shared" si="2"/>
        <v>100</v>
      </c>
      <c r="X11" s="712"/>
      <c r="Y11" s="340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94"/>
      <c r="Q12" s="1478">
        <f t="shared" si="6"/>
        <v>111</v>
      </c>
      <c r="R12" s="710" t="s">
        <v>17</v>
      </c>
      <c r="S12" s="711">
        <f t="shared" si="0"/>
        <v>100</v>
      </c>
      <c r="T12" s="710" t="s">
        <v>17</v>
      </c>
      <c r="U12" s="711">
        <f t="shared" si="1"/>
        <v>100</v>
      </c>
      <c r="V12" s="710" t="s">
        <v>17</v>
      </c>
      <c r="W12" s="711">
        <f t="shared" si="2"/>
        <v>100</v>
      </c>
      <c r="X12" s="712"/>
      <c r="Y12" s="340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94"/>
      <c r="Q13" s="1478">
        <f t="shared" si="6"/>
        <v>111</v>
      </c>
      <c r="R13" s="710" t="s">
        <v>17</v>
      </c>
      <c r="S13" s="711">
        <f t="shared" si="0"/>
        <v>100</v>
      </c>
      <c r="T13" s="710" t="s">
        <v>17</v>
      </c>
      <c r="U13" s="711">
        <f t="shared" si="1"/>
        <v>100</v>
      </c>
      <c r="V13" s="710" t="s">
        <v>17</v>
      </c>
      <c r="W13" s="711">
        <f t="shared" si="2"/>
        <v>100</v>
      </c>
      <c r="X13" s="712"/>
      <c r="Y13" s="3406"/>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96" t="s">
        <v>2140</v>
      </c>
      <c r="Q14" s="1487" t="str">
        <f t="shared" si="6"/>
        <v>交通便捷度</v>
      </c>
      <c r="R14" s="714" t="s">
        <v>17</v>
      </c>
      <c r="S14" s="715">
        <f t="shared" si="0"/>
        <v>100</v>
      </c>
      <c r="T14" s="714" t="s">
        <v>17</v>
      </c>
      <c r="U14" s="715">
        <f t="shared" si="1"/>
        <v>100</v>
      </c>
      <c r="V14" s="714" t="s">
        <v>17</v>
      </c>
      <c r="W14" s="715">
        <f t="shared" si="2"/>
        <v>100</v>
      </c>
      <c r="X14" s="1490"/>
      <c r="Y14" s="3496"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97"/>
      <c r="Q15" s="1487"/>
      <c r="R15" s="714"/>
      <c r="S15" s="715"/>
      <c r="T15" s="714"/>
      <c r="U15" s="715"/>
      <c r="V15" s="714"/>
      <c r="W15" s="715"/>
      <c r="X15" s="1490"/>
      <c r="Y15" s="3497"/>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97"/>
      <c r="Q16" s="1487" t="str">
        <f>B16</f>
        <v>公共配套设施</v>
      </c>
      <c r="R16" s="714" t="s">
        <v>17</v>
      </c>
      <c r="S16" s="715">
        <f>F16</f>
        <v>100</v>
      </c>
      <c r="T16" s="714" t="s">
        <v>17</v>
      </c>
      <c r="U16" s="715">
        <f>H16</f>
        <v>100</v>
      </c>
      <c r="V16" s="714" t="s">
        <v>17</v>
      </c>
      <c r="W16" s="715">
        <f>J16</f>
        <v>100</v>
      </c>
      <c r="X16" s="1490"/>
      <c r="Y16" s="3497"/>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97"/>
      <c r="Q17" s="1487"/>
      <c r="R17" s="714"/>
      <c r="S17" s="715"/>
      <c r="T17" s="714"/>
      <c r="U17" s="715"/>
      <c r="V17" s="714"/>
      <c r="W17" s="715"/>
      <c r="X17" s="1490"/>
      <c r="Y17" s="3497"/>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97"/>
      <c r="Q18" s="1487" t="str">
        <f>B18</f>
        <v>基础设施水平</v>
      </c>
      <c r="R18" s="714" t="s">
        <v>17</v>
      </c>
      <c r="S18" s="715">
        <f>F18</f>
        <v>100</v>
      </c>
      <c r="T18" s="714" t="s">
        <v>17</v>
      </c>
      <c r="U18" s="715">
        <f>H18</f>
        <v>100</v>
      </c>
      <c r="V18" s="714" t="s">
        <v>17</v>
      </c>
      <c r="W18" s="715">
        <f>J18</f>
        <v>100</v>
      </c>
      <c r="X18" s="1490"/>
      <c r="Y18" s="3497"/>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97"/>
      <c r="Q19" s="1487"/>
      <c r="R19" s="714"/>
      <c r="S19" s="715"/>
      <c r="T19" s="714"/>
      <c r="U19" s="715"/>
      <c r="V19" s="714"/>
      <c r="W19" s="715"/>
      <c r="X19" s="1490"/>
      <c r="Y19" s="3497"/>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97"/>
      <c r="Q20" s="1487" t="str">
        <f>B20</f>
        <v>自然及人文环境</v>
      </c>
      <c r="R20" s="714" t="s">
        <v>17</v>
      </c>
      <c r="S20" s="715">
        <f>F20</f>
        <v>100</v>
      </c>
      <c r="T20" s="714" t="s">
        <v>17</v>
      </c>
      <c r="U20" s="715">
        <f>H20</f>
        <v>100</v>
      </c>
      <c r="V20" s="714" t="s">
        <v>17</v>
      </c>
      <c r="W20" s="715">
        <f>J20</f>
        <v>100</v>
      </c>
      <c r="X20" s="1490"/>
      <c r="Y20" s="3497"/>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97"/>
      <c r="Q21" s="1487"/>
      <c r="R21" s="714"/>
      <c r="S21" s="715"/>
      <c r="T21" s="714"/>
      <c r="U21" s="715"/>
      <c r="V21" s="714"/>
      <c r="W21" s="715"/>
      <c r="X21" s="1490"/>
      <c r="Y21" s="3497"/>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97"/>
      <c r="Q22" s="1487" t="str">
        <f>B22</f>
        <v>楼层</v>
      </c>
      <c r="R22" s="714" t="s">
        <v>17</v>
      </c>
      <c r="S22" s="715">
        <f>F22</f>
        <v>100</v>
      </c>
      <c r="T22" s="714" t="s">
        <v>17</v>
      </c>
      <c r="U22" s="715">
        <f>H22</f>
        <v>100</v>
      </c>
      <c r="V22" s="714" t="s">
        <v>17</v>
      </c>
      <c r="W22" s="715">
        <f>J22</f>
        <v>100</v>
      </c>
      <c r="X22" s="1490"/>
      <c r="Y22" s="3497"/>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97"/>
      <c r="Q23" s="1487">
        <f>B23</f>
        <v>111</v>
      </c>
      <c r="R23" s="714" t="s">
        <v>17</v>
      </c>
      <c r="S23" s="715">
        <f>F23</f>
        <v>100</v>
      </c>
      <c r="T23" s="714" t="s">
        <v>17</v>
      </c>
      <c r="U23" s="715">
        <f>H23</f>
        <v>100</v>
      </c>
      <c r="V23" s="714" t="s">
        <v>17</v>
      </c>
      <c r="W23" s="715">
        <f>J23</f>
        <v>100</v>
      </c>
      <c r="X23" s="1490"/>
      <c r="Y23" s="3497"/>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97"/>
      <c r="Q24" s="1487">
        <f t="shared" ref="Q24:Q36" si="11">B24</f>
        <v>111</v>
      </c>
      <c r="R24" s="714" t="s">
        <v>17</v>
      </c>
      <c r="S24" s="715">
        <f>F24</f>
        <v>100</v>
      </c>
      <c r="T24" s="714" t="s">
        <v>17</v>
      </c>
      <c r="U24" s="715">
        <f>H24</f>
        <v>100</v>
      </c>
      <c r="V24" s="714" t="s">
        <v>17</v>
      </c>
      <c r="W24" s="715">
        <f>J24</f>
        <v>100</v>
      </c>
      <c r="X24" s="1490"/>
      <c r="Y24" s="3497"/>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97"/>
      <c r="Q25" s="1478">
        <f t="shared" si="11"/>
        <v>111</v>
      </c>
      <c r="R25" s="710" t="s">
        <v>17</v>
      </c>
      <c r="S25" s="711">
        <f>F25</f>
        <v>100</v>
      </c>
      <c r="T25" s="710" t="s">
        <v>17</v>
      </c>
      <c r="U25" s="711">
        <f>H25</f>
        <v>100</v>
      </c>
      <c r="V25" s="710" t="s">
        <v>17</v>
      </c>
      <c r="W25" s="711">
        <f>J25</f>
        <v>100</v>
      </c>
      <c r="X25" s="712"/>
      <c r="Y25" s="3497"/>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2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01"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501"/>
      <c r="Q27" s="716" t="str">
        <f t="shared" si="11"/>
        <v>项目停车位配比</v>
      </c>
      <c r="R27" s="717" t="s">
        <v>17</v>
      </c>
      <c r="S27" s="718">
        <f t="shared" si="12"/>
        <v>100</v>
      </c>
      <c r="T27" s="717" t="s">
        <v>17</v>
      </c>
      <c r="U27" s="718">
        <f t="shared" si="13"/>
        <v>100</v>
      </c>
      <c r="V27" s="717" t="s">
        <v>17</v>
      </c>
      <c r="W27" s="718">
        <f t="shared" si="14"/>
        <v>100</v>
      </c>
      <c r="X27" s="719"/>
      <c r="Y27" s="3501"/>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501"/>
      <c r="Q28" s="1487" t="str">
        <f t="shared" si="11"/>
        <v>公共部分装修</v>
      </c>
      <c r="R28" s="714" t="s">
        <v>17</v>
      </c>
      <c r="S28" s="715">
        <f t="shared" si="12"/>
        <v>100</v>
      </c>
      <c r="T28" s="714" t="s">
        <v>17</v>
      </c>
      <c r="U28" s="715">
        <f t="shared" si="13"/>
        <v>100</v>
      </c>
      <c r="V28" s="714" t="s">
        <v>17</v>
      </c>
      <c r="W28" s="715">
        <f t="shared" si="14"/>
        <v>100</v>
      </c>
      <c r="X28" s="1490"/>
      <c r="Y28" s="3501"/>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501"/>
      <c r="Q29" s="1487" t="str">
        <f t="shared" si="11"/>
        <v>成新率</v>
      </c>
      <c r="R29" s="714" t="s">
        <v>17</v>
      </c>
      <c r="S29" s="715" t="e">
        <f t="shared" si="12"/>
        <v>#N/A</v>
      </c>
      <c r="T29" s="714" t="s">
        <v>17</v>
      </c>
      <c r="U29" s="715" t="e">
        <f t="shared" si="13"/>
        <v>#N/A</v>
      </c>
      <c r="V29" s="714" t="s">
        <v>17</v>
      </c>
      <c r="W29" s="715" t="e">
        <f t="shared" si="14"/>
        <v>#N/A</v>
      </c>
      <c r="X29" s="1490"/>
      <c r="Y29" s="3501"/>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501"/>
      <c r="Q30" s="1487" t="str">
        <f t="shared" si="11"/>
        <v>物业等级</v>
      </c>
      <c r="R30" s="714" t="s">
        <v>17</v>
      </c>
      <c r="S30" s="715">
        <f t="shared" si="12"/>
        <v>100</v>
      </c>
      <c r="T30" s="714" t="s">
        <v>17</v>
      </c>
      <c r="U30" s="715">
        <f t="shared" si="13"/>
        <v>100</v>
      </c>
      <c r="V30" s="714" t="s">
        <v>17</v>
      </c>
      <c r="W30" s="715">
        <f t="shared" si="14"/>
        <v>100</v>
      </c>
      <c r="X30" s="1490"/>
      <c r="Y30" s="3501"/>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501"/>
      <c r="Q31" s="1478" t="str">
        <f t="shared" si="11"/>
        <v>停车位面积</v>
      </c>
      <c r="R31" s="710" t="s">
        <v>17</v>
      </c>
      <c r="S31" s="711" t="e">
        <f t="shared" si="12"/>
        <v>#N/A</v>
      </c>
      <c r="T31" s="710" t="s">
        <v>17</v>
      </c>
      <c r="U31" s="711" t="e">
        <f t="shared" si="13"/>
        <v>#N/A</v>
      </c>
      <c r="V31" s="710" t="s">
        <v>17</v>
      </c>
      <c r="W31" s="711" t="e">
        <f t="shared" si="14"/>
        <v>#N/A</v>
      </c>
      <c r="X31" s="712"/>
      <c r="Y31" s="3501"/>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501" t="s">
        <v>2145</v>
      </c>
      <c r="Q32" s="1487" t="str">
        <f t="shared" si="11"/>
        <v>车位类型</v>
      </c>
      <c r="R32" s="714" t="s">
        <v>17</v>
      </c>
      <c r="S32" s="715">
        <f t="shared" si="12"/>
        <v>100</v>
      </c>
      <c r="T32" s="714" t="s">
        <v>17</v>
      </c>
      <c r="U32" s="715">
        <f t="shared" si="13"/>
        <v>100</v>
      </c>
      <c r="V32" s="714" t="s">
        <v>17</v>
      </c>
      <c r="W32" s="715">
        <f t="shared" si="14"/>
        <v>100</v>
      </c>
      <c r="X32" s="1490"/>
      <c r="Y32" s="3501"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501"/>
      <c r="Q33" s="1487" t="str">
        <f t="shared" si="11"/>
        <v>是否直接入户</v>
      </c>
      <c r="R33" s="714" t="s">
        <v>17</v>
      </c>
      <c r="S33" s="715">
        <f t="shared" si="12"/>
        <v>100</v>
      </c>
      <c r="T33" s="714" t="s">
        <v>17</v>
      </c>
      <c r="U33" s="715">
        <f t="shared" si="13"/>
        <v>100</v>
      </c>
      <c r="V33" s="714" t="s">
        <v>17</v>
      </c>
      <c r="W33" s="715">
        <f t="shared" si="14"/>
        <v>100</v>
      </c>
      <c r="X33" s="1490"/>
      <c r="Y33" s="3501"/>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501"/>
      <c r="Q34" s="1487">
        <f t="shared" si="11"/>
        <v>111</v>
      </c>
      <c r="R34" s="714" t="s">
        <v>17</v>
      </c>
      <c r="S34" s="715">
        <f t="shared" si="12"/>
        <v>100</v>
      </c>
      <c r="T34" s="714" t="s">
        <v>17</v>
      </c>
      <c r="U34" s="715">
        <f t="shared" si="13"/>
        <v>100</v>
      </c>
      <c r="V34" s="714" t="s">
        <v>17</v>
      </c>
      <c r="W34" s="715">
        <f t="shared" si="14"/>
        <v>100</v>
      </c>
      <c r="X34" s="1490"/>
      <c r="Y34" s="3501"/>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501"/>
      <c r="Q35" s="716">
        <f t="shared" si="11"/>
        <v>111</v>
      </c>
      <c r="R35" s="717" t="s">
        <v>17</v>
      </c>
      <c r="S35" s="718">
        <f t="shared" si="12"/>
        <v>100</v>
      </c>
      <c r="T35" s="717" t="s">
        <v>17</v>
      </c>
      <c r="U35" s="718">
        <f t="shared" si="13"/>
        <v>100</v>
      </c>
      <c r="V35" s="717" t="s">
        <v>17</v>
      </c>
      <c r="W35" s="718">
        <f t="shared" si="14"/>
        <v>100</v>
      </c>
      <c r="X35" s="719"/>
      <c r="Y35" s="3501"/>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501"/>
      <c r="Q36" s="1487">
        <f t="shared" si="11"/>
        <v>111</v>
      </c>
      <c r="R36" s="714" t="s">
        <v>17</v>
      </c>
      <c r="S36" s="715">
        <f t="shared" si="12"/>
        <v>100</v>
      </c>
      <c r="T36" s="714" t="s">
        <v>17</v>
      </c>
      <c r="U36" s="715">
        <f t="shared" si="13"/>
        <v>100</v>
      </c>
      <c r="V36" s="714" t="s">
        <v>17</v>
      </c>
      <c r="W36" s="715">
        <f t="shared" si="14"/>
        <v>100</v>
      </c>
      <c r="X36" s="1490"/>
      <c r="Y36" s="3501"/>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94" t="str">
        <f>A37</f>
        <v>成交单价</v>
      </c>
      <c r="Q37" s="3494"/>
      <c r="R37" s="3495">
        <f>E37</f>
        <v>0</v>
      </c>
      <c r="S37" s="3495"/>
      <c r="T37" s="3495">
        <f>G37</f>
        <v>0</v>
      </c>
      <c r="U37" s="3495"/>
      <c r="V37" s="3495">
        <f>I37</f>
        <v>0</v>
      </c>
      <c r="W37" s="3495"/>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94" t="str">
        <f>A38</f>
        <v>比较价值（元/平方米）</v>
      </c>
      <c r="Q38" s="3494"/>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91" t="str">
        <f>A39</f>
        <v>估价对象XX用房的比较价值（楼面单价，元/平方米）</v>
      </c>
      <c r="Q39" s="3492"/>
      <c r="R39" s="3521" t="e">
        <f>IF(F1="售价",ROUND(IF(D38="简单平均",AVERAGE(R38:W38),R38*F38+T38*H38+V38*J38),0),ROUND(IF(D38="简单平均",AVERAGE(R38:V38),R38*F38+T38*H38+V38*J38),1))</f>
        <v>#DIV/0!</v>
      </c>
      <c r="S39" s="3521"/>
      <c r="T39" s="3521"/>
      <c r="U39" s="3521"/>
      <c r="V39" s="3521"/>
      <c r="W39" s="3521"/>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7" t="s">
        <v>2226</v>
      </c>
      <c r="D4" s="3478"/>
      <c r="E4" s="3479" t="s">
        <v>2227</v>
      </c>
      <c r="F4" s="3480"/>
      <c r="G4" s="3477" t="s">
        <v>2228</v>
      </c>
      <c r="H4" s="3478"/>
      <c r="I4" s="3477" t="s">
        <v>2229</v>
      </c>
      <c r="J4" s="3478"/>
      <c r="K4" s="567" t="s">
        <v>2230</v>
      </c>
      <c r="L4" s="2894"/>
      <c r="M4" s="2895"/>
      <c r="N4" s="2895"/>
      <c r="O4" s="2895"/>
      <c r="P4" s="3481" t="s">
        <v>2231</v>
      </c>
      <c r="Q4" s="3482"/>
      <c r="R4" s="3464" t="s">
        <v>2227</v>
      </c>
      <c r="S4" s="3465"/>
      <c r="T4" s="3464" t="s">
        <v>2228</v>
      </c>
      <c r="U4" s="3465"/>
      <c r="V4" s="3489" t="s">
        <v>2229</v>
      </c>
      <c r="W4" s="3489"/>
      <c r="X4" s="1490"/>
      <c r="Y4" s="3464" t="s">
        <v>2231</v>
      </c>
      <c r="Z4" s="3465"/>
      <c r="AA4" s="3459" t="s">
        <v>2227</v>
      </c>
      <c r="AB4" s="3460" t="s">
        <v>2228</v>
      </c>
      <c r="AC4" s="3459" t="s">
        <v>2229</v>
      </c>
    </row>
    <row r="5" spans="1:29" ht="15">
      <c r="A5" s="364"/>
      <c r="B5" s="365"/>
      <c r="C5" s="3470" t="s">
        <v>2122</v>
      </c>
      <c r="D5" s="3471"/>
      <c r="E5" s="3468" t="s">
        <v>2123</v>
      </c>
      <c r="F5" s="3469"/>
      <c r="G5" s="3470" t="s">
        <v>2124</v>
      </c>
      <c r="H5" s="3471"/>
      <c r="I5" s="3470" t="s">
        <v>2125</v>
      </c>
      <c r="J5" s="3471"/>
      <c r="K5" s="567"/>
      <c r="L5" s="2894"/>
      <c r="M5" s="2895"/>
      <c r="N5" s="2895"/>
      <c r="O5" s="2895"/>
      <c r="P5" s="3483"/>
      <c r="Q5" s="3484"/>
      <c r="R5" s="3466"/>
      <c r="S5" s="3467"/>
      <c r="T5" s="3466"/>
      <c r="U5" s="3467"/>
      <c r="V5" s="3489"/>
      <c r="W5" s="3489"/>
      <c r="X5" s="1490"/>
      <c r="Y5" s="3466"/>
      <c r="Z5" s="3467"/>
      <c r="AA5" s="3460"/>
      <c r="AB5" s="3460"/>
      <c r="AC5" s="3460"/>
    </row>
    <row r="6" spans="1:29" ht="15.75" thickBot="1">
      <c r="A6" s="366"/>
      <c r="B6" s="367"/>
      <c r="C6" s="3472" t="s">
        <v>2126</v>
      </c>
      <c r="D6" s="3473"/>
      <c r="E6" s="3474" t="s">
        <v>2126</v>
      </c>
      <c r="F6" s="3475"/>
      <c r="G6" s="3472" t="s">
        <v>2126</v>
      </c>
      <c r="H6" s="3473"/>
      <c r="I6" s="3472" t="s">
        <v>2126</v>
      </c>
      <c r="J6" s="3473"/>
      <c r="K6" s="567" t="s">
        <v>2127</v>
      </c>
      <c r="L6" s="2894"/>
      <c r="M6" s="2895"/>
      <c r="N6" s="2895"/>
      <c r="O6" s="2895"/>
      <c r="P6" s="3485"/>
      <c r="Q6" s="3486"/>
      <c r="R6" s="3466"/>
      <c r="S6" s="3467"/>
      <c r="T6" s="3487"/>
      <c r="U6" s="3488"/>
      <c r="V6" s="3489"/>
      <c r="W6" s="3489"/>
      <c r="X6" s="1490"/>
      <c r="Y6" s="3487"/>
      <c r="Z6" s="3488"/>
      <c r="AA6" s="3461"/>
      <c r="AB6" s="3461"/>
      <c r="AC6" s="3461"/>
    </row>
    <row r="7" spans="1:29" s="113" customFormat="1" ht="15.75" thickBot="1">
      <c r="A7" s="368" t="s">
        <v>2128</v>
      </c>
      <c r="B7" s="369"/>
      <c r="C7" s="370">
        <f>'数据-取费表'!B2</f>
        <v>44728</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62" t="s">
        <v>2129</v>
      </c>
      <c r="Q7" s="3490"/>
      <c r="R7" s="710" t="s">
        <v>17</v>
      </c>
      <c r="S7" s="711">
        <f t="shared" ref="S7:S14" si="0">F7</f>
        <v>0</v>
      </c>
      <c r="T7" s="710" t="s">
        <v>17</v>
      </c>
      <c r="U7" s="711">
        <f t="shared" ref="U7:U14" si="1">H7</f>
        <v>0</v>
      </c>
      <c r="V7" s="710" t="s">
        <v>17</v>
      </c>
      <c r="W7" s="711">
        <f t="shared" ref="W7:W14" si="2">J7</f>
        <v>0</v>
      </c>
      <c r="X7" s="712"/>
      <c r="Y7" s="3462" t="s">
        <v>2129</v>
      </c>
      <c r="Z7" s="3463"/>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62" t="s">
        <v>2132</v>
      </c>
      <c r="Q8" s="3463"/>
      <c r="R8" s="710" t="s">
        <v>17</v>
      </c>
      <c r="S8" s="711">
        <f t="shared" si="0"/>
        <v>0</v>
      </c>
      <c r="T8" s="710" t="s">
        <v>17</v>
      </c>
      <c r="U8" s="711">
        <f t="shared" si="1"/>
        <v>0</v>
      </c>
      <c r="V8" s="710" t="s">
        <v>17</v>
      </c>
      <c r="W8" s="711">
        <f t="shared" si="2"/>
        <v>0</v>
      </c>
      <c r="X8" s="712"/>
      <c r="Y8" s="3462" t="s">
        <v>2132</v>
      </c>
      <c r="Z8" s="3463"/>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94" t="s">
        <v>2135</v>
      </c>
      <c r="Q9" s="1478" t="str">
        <f t="shared" ref="Q9:Q14" si="6">B9</f>
        <v>用途</v>
      </c>
      <c r="R9" s="710" t="s">
        <v>17</v>
      </c>
      <c r="S9" s="711">
        <f t="shared" si="0"/>
        <v>100</v>
      </c>
      <c r="T9" s="710" t="s">
        <v>17</v>
      </c>
      <c r="U9" s="711">
        <f t="shared" si="1"/>
        <v>100</v>
      </c>
      <c r="V9" s="710" t="s">
        <v>17</v>
      </c>
      <c r="W9" s="711">
        <f t="shared" si="2"/>
        <v>100</v>
      </c>
      <c r="X9" s="712"/>
      <c r="Y9" s="3406"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94"/>
      <c r="Q10" s="1478" t="str">
        <f t="shared" si="6"/>
        <v>土地使用年限（年）</v>
      </c>
      <c r="R10" s="710" t="s">
        <v>17</v>
      </c>
      <c r="S10" s="711">
        <f t="shared" si="0"/>
        <v>100</v>
      </c>
      <c r="T10" s="710" t="s">
        <v>17</v>
      </c>
      <c r="U10" s="711">
        <f t="shared" si="1"/>
        <v>100</v>
      </c>
      <c r="V10" s="710" t="s">
        <v>17</v>
      </c>
      <c r="W10" s="711">
        <f t="shared" si="2"/>
        <v>100</v>
      </c>
      <c r="X10" s="712"/>
      <c r="Y10" s="3406"/>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94"/>
      <c r="Q11" s="1478">
        <f t="shared" si="6"/>
        <v>111</v>
      </c>
      <c r="R11" s="710" t="s">
        <v>17</v>
      </c>
      <c r="S11" s="711">
        <f t="shared" si="0"/>
        <v>100</v>
      </c>
      <c r="T11" s="710" t="s">
        <v>17</v>
      </c>
      <c r="U11" s="711">
        <f t="shared" si="1"/>
        <v>100</v>
      </c>
      <c r="V11" s="710" t="s">
        <v>17</v>
      </c>
      <c r="W11" s="711">
        <f t="shared" si="2"/>
        <v>100</v>
      </c>
      <c r="X11" s="712"/>
      <c r="Y11" s="3406"/>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94"/>
      <c r="Q12" s="1478">
        <f t="shared" si="6"/>
        <v>111</v>
      </c>
      <c r="R12" s="710" t="s">
        <v>17</v>
      </c>
      <c r="S12" s="711">
        <f t="shared" si="0"/>
        <v>100</v>
      </c>
      <c r="T12" s="710" t="s">
        <v>17</v>
      </c>
      <c r="U12" s="711">
        <f t="shared" si="1"/>
        <v>100</v>
      </c>
      <c r="V12" s="710" t="s">
        <v>17</v>
      </c>
      <c r="W12" s="711">
        <f t="shared" si="2"/>
        <v>100</v>
      </c>
      <c r="X12" s="712"/>
      <c r="Y12" s="3406"/>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94"/>
      <c r="Q13" s="1478">
        <f t="shared" si="6"/>
        <v>111</v>
      </c>
      <c r="R13" s="710" t="s">
        <v>17</v>
      </c>
      <c r="S13" s="711">
        <f t="shared" si="0"/>
        <v>100</v>
      </c>
      <c r="T13" s="710" t="s">
        <v>17</v>
      </c>
      <c r="U13" s="711">
        <f t="shared" si="1"/>
        <v>100</v>
      </c>
      <c r="V13" s="710" t="s">
        <v>17</v>
      </c>
      <c r="W13" s="711">
        <f t="shared" si="2"/>
        <v>100</v>
      </c>
      <c r="X13" s="712"/>
      <c r="Y13" s="3406"/>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96" t="s">
        <v>2140</v>
      </c>
      <c r="Q14" s="1487" t="str">
        <f t="shared" si="6"/>
        <v>交通便捷度</v>
      </c>
      <c r="R14" s="714" t="s">
        <v>17</v>
      </c>
      <c r="S14" s="715">
        <f t="shared" si="0"/>
        <v>100</v>
      </c>
      <c r="T14" s="714" t="s">
        <v>17</v>
      </c>
      <c r="U14" s="715">
        <f t="shared" si="1"/>
        <v>100</v>
      </c>
      <c r="V14" s="714" t="s">
        <v>17</v>
      </c>
      <c r="W14" s="715">
        <f t="shared" si="2"/>
        <v>100</v>
      </c>
      <c r="X14" s="1490"/>
      <c r="Y14" s="3496"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97"/>
      <c r="Q15" s="1487"/>
      <c r="R15" s="714"/>
      <c r="S15" s="715"/>
      <c r="T15" s="714"/>
      <c r="U15" s="715"/>
      <c r="V15" s="714"/>
      <c r="W15" s="715"/>
      <c r="X15" s="1490"/>
      <c r="Y15" s="3497"/>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97"/>
      <c r="Q16" s="1487" t="str">
        <f>B16</f>
        <v>公共配套设施</v>
      </c>
      <c r="R16" s="714" t="s">
        <v>17</v>
      </c>
      <c r="S16" s="715">
        <f>F16</f>
        <v>100</v>
      </c>
      <c r="T16" s="714" t="s">
        <v>17</v>
      </c>
      <c r="U16" s="715">
        <f>H16</f>
        <v>100</v>
      </c>
      <c r="V16" s="714" t="s">
        <v>17</v>
      </c>
      <c r="W16" s="715">
        <f>J16</f>
        <v>100</v>
      </c>
      <c r="X16" s="1490"/>
      <c r="Y16" s="3497"/>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97"/>
      <c r="Q17" s="1487"/>
      <c r="R17" s="714"/>
      <c r="S17" s="715"/>
      <c r="T17" s="714"/>
      <c r="U17" s="715"/>
      <c r="V17" s="714"/>
      <c r="W17" s="715"/>
      <c r="X17" s="1490"/>
      <c r="Y17" s="3497"/>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97"/>
      <c r="Q18" s="1487" t="str">
        <f>B18</f>
        <v>基础设施水平</v>
      </c>
      <c r="R18" s="714" t="s">
        <v>17</v>
      </c>
      <c r="S18" s="715">
        <f>F18</f>
        <v>100</v>
      </c>
      <c r="T18" s="714" t="s">
        <v>17</v>
      </c>
      <c r="U18" s="715">
        <f>H18</f>
        <v>100</v>
      </c>
      <c r="V18" s="714" t="s">
        <v>17</v>
      </c>
      <c r="W18" s="715">
        <f>J18</f>
        <v>100</v>
      </c>
      <c r="X18" s="1490"/>
      <c r="Y18" s="3497"/>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97"/>
      <c r="Q19" s="1487"/>
      <c r="R19" s="714"/>
      <c r="S19" s="715"/>
      <c r="T19" s="714"/>
      <c r="U19" s="715"/>
      <c r="V19" s="714"/>
      <c r="W19" s="715"/>
      <c r="X19" s="1490"/>
      <c r="Y19" s="3497"/>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97"/>
      <c r="Q20" s="1487" t="str">
        <f>B20</f>
        <v>自然及人文环境</v>
      </c>
      <c r="R20" s="714" t="s">
        <v>17</v>
      </c>
      <c r="S20" s="715">
        <f>F20</f>
        <v>100</v>
      </c>
      <c r="T20" s="714" t="s">
        <v>17</v>
      </c>
      <c r="U20" s="715">
        <f>H20</f>
        <v>100</v>
      </c>
      <c r="V20" s="714" t="s">
        <v>17</v>
      </c>
      <c r="W20" s="715">
        <f>J20</f>
        <v>100</v>
      </c>
      <c r="X20" s="1490"/>
      <c r="Y20" s="3497"/>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97"/>
      <c r="Q21" s="1487"/>
      <c r="R21" s="714"/>
      <c r="S21" s="715"/>
      <c r="T21" s="714"/>
      <c r="U21" s="715"/>
      <c r="V21" s="714"/>
      <c r="W21" s="715"/>
      <c r="X21" s="1490"/>
      <c r="Y21" s="3497"/>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97"/>
      <c r="Q22" s="1487" t="str">
        <f>B22</f>
        <v>楼层</v>
      </c>
      <c r="R22" s="714" t="s">
        <v>17</v>
      </c>
      <c r="S22" s="715">
        <f>F22</f>
        <v>100</v>
      </c>
      <c r="T22" s="714" t="s">
        <v>17</v>
      </c>
      <c r="U22" s="715">
        <f>H22</f>
        <v>100</v>
      </c>
      <c r="V22" s="714" t="s">
        <v>17</v>
      </c>
      <c r="W22" s="715">
        <f>J22</f>
        <v>100</v>
      </c>
      <c r="X22" s="1490"/>
      <c r="Y22" s="3497"/>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97"/>
      <c r="Q23" s="1487">
        <f>B23</f>
        <v>111</v>
      </c>
      <c r="R23" s="714" t="s">
        <v>17</v>
      </c>
      <c r="S23" s="715">
        <f>F23</f>
        <v>100</v>
      </c>
      <c r="T23" s="714" t="s">
        <v>17</v>
      </c>
      <c r="U23" s="715">
        <f>H23</f>
        <v>100</v>
      </c>
      <c r="V23" s="714" t="s">
        <v>17</v>
      </c>
      <c r="W23" s="715">
        <f>J23</f>
        <v>100</v>
      </c>
      <c r="X23" s="1490"/>
      <c r="Y23" s="3497"/>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97"/>
      <c r="Q24" s="1487">
        <f t="shared" ref="Q24:Q34" si="11">B24</f>
        <v>111</v>
      </c>
      <c r="R24" s="714" t="s">
        <v>17</v>
      </c>
      <c r="S24" s="715">
        <f>F24</f>
        <v>100</v>
      </c>
      <c r="T24" s="714" t="s">
        <v>17</v>
      </c>
      <c r="U24" s="715">
        <f>H24</f>
        <v>100</v>
      </c>
      <c r="V24" s="714" t="s">
        <v>17</v>
      </c>
      <c r="W24" s="715">
        <f>J24</f>
        <v>100</v>
      </c>
      <c r="X24" s="1490"/>
      <c r="Y24" s="3497"/>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97"/>
      <c r="Q25" s="1478">
        <f t="shared" si="11"/>
        <v>111</v>
      </c>
      <c r="R25" s="710" t="s">
        <v>17</v>
      </c>
      <c r="S25" s="711">
        <f>F25</f>
        <v>100</v>
      </c>
      <c r="T25" s="710" t="s">
        <v>17</v>
      </c>
      <c r="U25" s="711">
        <f>H25</f>
        <v>100</v>
      </c>
      <c r="V25" s="710" t="s">
        <v>17</v>
      </c>
      <c r="W25" s="711">
        <f>J25</f>
        <v>100</v>
      </c>
      <c r="X25" s="712"/>
      <c r="Y25" s="3497"/>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2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01"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501"/>
      <c r="Q27" s="716" t="str">
        <f t="shared" si="11"/>
        <v>成新率</v>
      </c>
      <c r="R27" s="717" t="s">
        <v>17</v>
      </c>
      <c r="S27" s="718" t="e">
        <f t="shared" si="12"/>
        <v>#N/A</v>
      </c>
      <c r="T27" s="717" t="s">
        <v>17</v>
      </c>
      <c r="U27" s="718" t="e">
        <f t="shared" si="13"/>
        <v>#N/A</v>
      </c>
      <c r="V27" s="717" t="s">
        <v>17</v>
      </c>
      <c r="W27" s="718" t="e">
        <f t="shared" si="14"/>
        <v>#N/A</v>
      </c>
      <c r="X27" s="719"/>
      <c r="Y27" s="3501"/>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501"/>
      <c r="Q28" s="1487" t="str">
        <f t="shared" si="11"/>
        <v>物业等级</v>
      </c>
      <c r="R28" s="714" t="s">
        <v>17</v>
      </c>
      <c r="S28" s="715">
        <f t="shared" si="12"/>
        <v>100</v>
      </c>
      <c r="T28" s="714" t="s">
        <v>17</v>
      </c>
      <c r="U28" s="715">
        <f t="shared" si="13"/>
        <v>100</v>
      </c>
      <c r="V28" s="714" t="s">
        <v>17</v>
      </c>
      <c r="W28" s="715">
        <f t="shared" si="14"/>
        <v>100</v>
      </c>
      <c r="X28" s="1490"/>
      <c r="Y28" s="3501"/>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501"/>
      <c r="Q29" s="1487" t="str">
        <f t="shared" si="11"/>
        <v>有无电梯</v>
      </c>
      <c r="R29" s="714" t="s">
        <v>17</v>
      </c>
      <c r="S29" s="715">
        <f t="shared" si="12"/>
        <v>100</v>
      </c>
      <c r="T29" s="714" t="s">
        <v>17</v>
      </c>
      <c r="U29" s="715">
        <f t="shared" si="13"/>
        <v>100</v>
      </c>
      <c r="V29" s="714" t="s">
        <v>17</v>
      </c>
      <c r="W29" s="715">
        <f t="shared" si="14"/>
        <v>100</v>
      </c>
      <c r="X29" s="1490"/>
      <c r="Y29" s="3501"/>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501"/>
      <c r="Q30" s="1487" t="str">
        <f t="shared" si="11"/>
        <v>建筑面积</v>
      </c>
      <c r="R30" s="714" t="s">
        <v>17</v>
      </c>
      <c r="S30" s="715" t="e">
        <f t="shared" si="12"/>
        <v>#N/A</v>
      </c>
      <c r="T30" s="714" t="s">
        <v>17</v>
      </c>
      <c r="U30" s="715" t="e">
        <f t="shared" si="13"/>
        <v>#N/A</v>
      </c>
      <c r="V30" s="714" t="s">
        <v>17</v>
      </c>
      <c r="W30" s="715" t="e">
        <f t="shared" si="14"/>
        <v>#N/A</v>
      </c>
      <c r="X30" s="1490"/>
      <c r="Y30" s="3501"/>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501"/>
      <c r="Q31" s="1478" t="str">
        <f t="shared" si="11"/>
        <v>是否封闭</v>
      </c>
      <c r="R31" s="710" t="s">
        <v>17</v>
      </c>
      <c r="S31" s="711">
        <f t="shared" si="12"/>
        <v>100</v>
      </c>
      <c r="T31" s="710" t="s">
        <v>17</v>
      </c>
      <c r="U31" s="711">
        <f t="shared" si="13"/>
        <v>100</v>
      </c>
      <c r="V31" s="710" t="s">
        <v>17</v>
      </c>
      <c r="W31" s="711">
        <f t="shared" si="14"/>
        <v>100</v>
      </c>
      <c r="X31" s="712"/>
      <c r="Y31" s="3501"/>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501" t="s">
        <v>2145</v>
      </c>
      <c r="Q32" s="1487">
        <f t="shared" si="11"/>
        <v>111</v>
      </c>
      <c r="R32" s="714" t="s">
        <v>17</v>
      </c>
      <c r="S32" s="715">
        <f t="shared" si="12"/>
        <v>100</v>
      </c>
      <c r="T32" s="714" t="s">
        <v>17</v>
      </c>
      <c r="U32" s="715">
        <f t="shared" si="13"/>
        <v>100</v>
      </c>
      <c r="V32" s="714" t="s">
        <v>17</v>
      </c>
      <c r="W32" s="715">
        <f t="shared" si="14"/>
        <v>100</v>
      </c>
      <c r="X32" s="1490"/>
      <c r="Y32" s="3501"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501"/>
      <c r="Q33" s="1487">
        <f t="shared" si="11"/>
        <v>111</v>
      </c>
      <c r="R33" s="714" t="s">
        <v>17</v>
      </c>
      <c r="S33" s="715">
        <f t="shared" si="12"/>
        <v>100</v>
      </c>
      <c r="T33" s="714" t="s">
        <v>17</v>
      </c>
      <c r="U33" s="715">
        <f t="shared" si="13"/>
        <v>100</v>
      </c>
      <c r="V33" s="714" t="s">
        <v>17</v>
      </c>
      <c r="W33" s="715">
        <f t="shared" si="14"/>
        <v>100</v>
      </c>
      <c r="X33" s="1490"/>
      <c r="Y33" s="3501"/>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501"/>
      <c r="Q34" s="1487">
        <f t="shared" si="11"/>
        <v>111</v>
      </c>
      <c r="R34" s="714" t="s">
        <v>17</v>
      </c>
      <c r="S34" s="715">
        <f t="shared" si="12"/>
        <v>100</v>
      </c>
      <c r="T34" s="714" t="s">
        <v>17</v>
      </c>
      <c r="U34" s="715">
        <f t="shared" si="13"/>
        <v>100</v>
      </c>
      <c r="V34" s="714" t="s">
        <v>17</v>
      </c>
      <c r="W34" s="715">
        <f t="shared" si="14"/>
        <v>100</v>
      </c>
      <c r="X34" s="1490"/>
      <c r="Y34" s="3501"/>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94" t="str">
        <f>A35</f>
        <v>成交单价（元/平方米）</v>
      </c>
      <c r="Q35" s="3494"/>
      <c r="R35" s="3495">
        <f>E35</f>
        <v>0</v>
      </c>
      <c r="S35" s="3495"/>
      <c r="T35" s="3495">
        <f>G35</f>
        <v>0</v>
      </c>
      <c r="U35" s="3495"/>
      <c r="V35" s="3495">
        <f>I35</f>
        <v>0</v>
      </c>
      <c r="W35" s="3495"/>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94" t="str">
        <f>A36</f>
        <v>比较价值（元/平方米）</v>
      </c>
      <c r="Q36" s="3494"/>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91" t="str">
        <f>A37</f>
        <v>估价对象XX用房的比较价值（楼面单价，元/平方米）</v>
      </c>
      <c r="Q37" s="3492"/>
      <c r="R37" s="3521" t="e">
        <f>IF(F1="售价",ROUND(IF(D36="简单平均",AVERAGE(R36:W36),R36*F36+T36*H36+V36*J36),0),ROUND(IF(D36="简单平均",AVERAGE(R36:V36),R36*F36+T36*H36+V36*J36),1))</f>
        <v>#DIV/0!</v>
      </c>
      <c r="S37" s="3521"/>
      <c r="T37" s="3521"/>
      <c r="U37" s="3521"/>
      <c r="V37" s="3521"/>
      <c r="W37" s="3521"/>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77" t="s">
        <v>2226</v>
      </c>
      <c r="D4" s="3478"/>
      <c r="E4" s="3479" t="s">
        <v>2227</v>
      </c>
      <c r="F4" s="3480"/>
      <c r="G4" s="3477" t="s">
        <v>2228</v>
      </c>
      <c r="H4" s="3478"/>
      <c r="I4" s="3477" t="s">
        <v>2229</v>
      </c>
      <c r="J4" s="3478"/>
      <c r="K4" s="567" t="s">
        <v>2230</v>
      </c>
      <c r="L4" s="2894"/>
      <c r="M4" s="2895"/>
      <c r="N4" s="2895"/>
      <c r="O4" s="2895"/>
      <c r="P4" s="3481" t="s">
        <v>2231</v>
      </c>
      <c r="Q4" s="3482"/>
      <c r="R4" s="3464" t="s">
        <v>2227</v>
      </c>
      <c r="S4" s="3465"/>
      <c r="T4" s="3464" t="s">
        <v>2228</v>
      </c>
      <c r="U4" s="3465"/>
      <c r="V4" s="3489" t="s">
        <v>2229</v>
      </c>
      <c r="W4" s="3489"/>
      <c r="X4" s="1490"/>
      <c r="Y4" s="3464" t="s">
        <v>2231</v>
      </c>
      <c r="Z4" s="3465"/>
      <c r="AA4" s="3459" t="s">
        <v>2227</v>
      </c>
      <c r="AB4" s="3460" t="s">
        <v>2228</v>
      </c>
      <c r="AC4" s="3459" t="s">
        <v>2229</v>
      </c>
    </row>
    <row r="5" spans="1:30" ht="15">
      <c r="A5" s="364"/>
      <c r="B5" s="365"/>
      <c r="C5" s="3470" t="s">
        <v>2122</v>
      </c>
      <c r="D5" s="3471"/>
      <c r="E5" s="3468" t="s">
        <v>2123</v>
      </c>
      <c r="F5" s="3469"/>
      <c r="G5" s="3470" t="s">
        <v>2124</v>
      </c>
      <c r="H5" s="3471"/>
      <c r="I5" s="3470" t="s">
        <v>2125</v>
      </c>
      <c r="J5" s="3471"/>
      <c r="K5" s="567"/>
      <c r="L5" s="2894"/>
      <c r="M5" s="2895"/>
      <c r="N5" s="2895"/>
      <c r="O5" s="2895"/>
      <c r="P5" s="3483"/>
      <c r="Q5" s="3484"/>
      <c r="R5" s="3466"/>
      <c r="S5" s="3467"/>
      <c r="T5" s="3466"/>
      <c r="U5" s="3467"/>
      <c r="V5" s="3489"/>
      <c r="W5" s="3489"/>
      <c r="X5" s="1490"/>
      <c r="Y5" s="3466"/>
      <c r="Z5" s="3467"/>
      <c r="AA5" s="3460"/>
      <c r="AB5" s="3460"/>
      <c r="AC5" s="3460"/>
    </row>
    <row r="6" spans="1:30" ht="15.75" thickBot="1">
      <c r="A6" s="366"/>
      <c r="B6" s="367"/>
      <c r="C6" s="3472" t="s">
        <v>2126</v>
      </c>
      <c r="D6" s="3473"/>
      <c r="E6" s="3474" t="s">
        <v>2126</v>
      </c>
      <c r="F6" s="3475"/>
      <c r="G6" s="3472" t="s">
        <v>2126</v>
      </c>
      <c r="H6" s="3473"/>
      <c r="I6" s="3472" t="s">
        <v>2126</v>
      </c>
      <c r="J6" s="3473"/>
      <c r="K6" s="567" t="s">
        <v>2127</v>
      </c>
      <c r="L6" s="2894"/>
      <c r="M6" s="2895"/>
      <c r="N6" s="2895"/>
      <c r="O6" s="2895"/>
      <c r="P6" s="3485"/>
      <c r="Q6" s="3486"/>
      <c r="R6" s="3466"/>
      <c r="S6" s="3467"/>
      <c r="T6" s="3487"/>
      <c r="U6" s="3488"/>
      <c r="V6" s="3489"/>
      <c r="W6" s="3489"/>
      <c r="X6" s="1490"/>
      <c r="Y6" s="3487"/>
      <c r="Z6" s="3488"/>
      <c r="AA6" s="3461"/>
      <c r="AB6" s="3461"/>
      <c r="AC6" s="3461"/>
    </row>
    <row r="7" spans="1:30" s="113" customFormat="1" ht="15.75" thickBot="1">
      <c r="A7" s="368" t="s">
        <v>2128</v>
      </c>
      <c r="B7" s="369"/>
      <c r="C7" s="370">
        <f>'数据-取费表'!B2</f>
        <v>44728</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62" t="s">
        <v>2129</v>
      </c>
      <c r="Q7" s="3490"/>
      <c r="R7" s="710" t="s">
        <v>17</v>
      </c>
      <c r="S7" s="711">
        <f t="shared" ref="S7:S15" si="0">F7</f>
        <v>0</v>
      </c>
      <c r="T7" s="710" t="s">
        <v>17</v>
      </c>
      <c r="U7" s="711">
        <f t="shared" ref="U7:U15" si="1">H7</f>
        <v>0</v>
      </c>
      <c r="V7" s="710" t="s">
        <v>17</v>
      </c>
      <c r="W7" s="711">
        <f t="shared" ref="W7:W15" si="2">J7</f>
        <v>0</v>
      </c>
      <c r="X7" s="712"/>
      <c r="Y7" s="3462" t="s">
        <v>2129</v>
      </c>
      <c r="Z7" s="3463"/>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62" t="s">
        <v>2132</v>
      </c>
      <c r="Q8" s="3463"/>
      <c r="R8" s="710" t="s">
        <v>17</v>
      </c>
      <c r="S8" s="711">
        <f t="shared" si="0"/>
        <v>0</v>
      </c>
      <c r="T8" s="710" t="s">
        <v>17</v>
      </c>
      <c r="U8" s="711">
        <f t="shared" si="1"/>
        <v>0</v>
      </c>
      <c r="V8" s="710" t="s">
        <v>17</v>
      </c>
      <c r="W8" s="711">
        <f t="shared" si="2"/>
        <v>0</v>
      </c>
      <c r="X8" s="712"/>
      <c r="Y8" s="3462" t="s">
        <v>2132</v>
      </c>
      <c r="Z8" s="3463"/>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94" t="s">
        <v>2135</v>
      </c>
      <c r="Q9" s="1478" t="str">
        <f t="shared" ref="Q9:Q15" si="6">B9</f>
        <v>用途</v>
      </c>
      <c r="R9" s="710" t="s">
        <v>17</v>
      </c>
      <c r="S9" s="711">
        <f t="shared" si="0"/>
        <v>100</v>
      </c>
      <c r="T9" s="710" t="s">
        <v>17</v>
      </c>
      <c r="U9" s="711">
        <f t="shared" si="1"/>
        <v>100</v>
      </c>
      <c r="V9" s="710" t="s">
        <v>17</v>
      </c>
      <c r="W9" s="711">
        <f t="shared" si="2"/>
        <v>100</v>
      </c>
      <c r="X9" s="712"/>
      <c r="Y9" s="3406"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116</v>
      </c>
      <c r="G10" s="422"/>
      <c r="H10" s="132">
        <f>ROUND(100/'数据-取费表'!G16,0)</f>
        <v>116</v>
      </c>
      <c r="I10" s="422"/>
      <c r="J10" s="132">
        <f>ROUND(100/'数据-取费表'!G16,0)</f>
        <v>116</v>
      </c>
      <c r="K10" s="628"/>
      <c r="L10" s="2898"/>
      <c r="M10" s="2899"/>
      <c r="N10" s="2899"/>
      <c r="O10" s="2952"/>
      <c r="P10" s="3494"/>
      <c r="Q10" s="1478" t="str">
        <f t="shared" si="6"/>
        <v>土地使用年限（年）</v>
      </c>
      <c r="R10" s="710" t="s">
        <v>17</v>
      </c>
      <c r="S10" s="711">
        <f t="shared" si="0"/>
        <v>116</v>
      </c>
      <c r="T10" s="710" t="s">
        <v>17</v>
      </c>
      <c r="U10" s="711">
        <f t="shared" si="1"/>
        <v>116</v>
      </c>
      <c r="V10" s="710" t="s">
        <v>17</v>
      </c>
      <c r="W10" s="711">
        <f t="shared" si="2"/>
        <v>116</v>
      </c>
      <c r="X10" s="712"/>
      <c r="Y10" s="3406"/>
      <c r="Z10" s="55" t="str">
        <f t="shared" si="7"/>
        <v>土地使用年限（年）</v>
      </c>
      <c r="AA10" s="713">
        <f t="shared" si="3"/>
        <v>0.86206896551724133</v>
      </c>
      <c r="AB10" s="713">
        <f t="shared" si="4"/>
        <v>0.86206896551724133</v>
      </c>
      <c r="AC10" s="713">
        <f t="shared" si="5"/>
        <v>0.86206896551724133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94"/>
      <c r="Q11" s="1478" t="str">
        <f t="shared" si="6"/>
        <v>容积率</v>
      </c>
      <c r="R11" s="710" t="s">
        <v>17</v>
      </c>
      <c r="S11" s="711" t="e">
        <f t="shared" si="0"/>
        <v>#N/A</v>
      </c>
      <c r="T11" s="710" t="s">
        <v>17</v>
      </c>
      <c r="U11" s="711" t="e">
        <f t="shared" si="1"/>
        <v>#N/A</v>
      </c>
      <c r="V11" s="710" t="s">
        <v>17</v>
      </c>
      <c r="W11" s="711" t="e">
        <f t="shared" si="2"/>
        <v>#N/A</v>
      </c>
      <c r="X11" s="712"/>
      <c r="Y11" s="3406"/>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94"/>
      <c r="Q12" s="1478" t="str">
        <f t="shared" si="6"/>
        <v>配建</v>
      </c>
      <c r="R12" s="710" t="s">
        <v>17</v>
      </c>
      <c r="S12" s="711">
        <f t="shared" si="0"/>
        <v>100</v>
      </c>
      <c r="T12" s="710" t="s">
        <v>17</v>
      </c>
      <c r="U12" s="711">
        <f t="shared" si="1"/>
        <v>100</v>
      </c>
      <c r="V12" s="710" t="s">
        <v>17</v>
      </c>
      <c r="W12" s="711">
        <f t="shared" si="2"/>
        <v>100</v>
      </c>
      <c r="X12" s="712"/>
      <c r="Y12" s="3406"/>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94"/>
      <c r="Q13" s="1478">
        <f t="shared" si="6"/>
        <v>111</v>
      </c>
      <c r="R13" s="710" t="s">
        <v>17</v>
      </c>
      <c r="S13" s="711">
        <f t="shared" si="0"/>
        <v>100</v>
      </c>
      <c r="T13" s="710" t="s">
        <v>17</v>
      </c>
      <c r="U13" s="711">
        <f t="shared" si="1"/>
        <v>100</v>
      </c>
      <c r="V13" s="710" t="s">
        <v>17</v>
      </c>
      <c r="W13" s="711">
        <f t="shared" si="2"/>
        <v>100</v>
      </c>
      <c r="X13" s="712"/>
      <c r="Y13" s="3406"/>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94"/>
      <c r="Q14" s="1478">
        <f t="shared" si="6"/>
        <v>111</v>
      </c>
      <c r="R14" s="710" t="s">
        <v>17</v>
      </c>
      <c r="S14" s="711">
        <f t="shared" si="0"/>
        <v>100</v>
      </c>
      <c r="T14" s="710" t="s">
        <v>17</v>
      </c>
      <c r="U14" s="711">
        <f t="shared" si="1"/>
        <v>100</v>
      </c>
      <c r="V14" s="710" t="s">
        <v>17</v>
      </c>
      <c r="W14" s="711">
        <f t="shared" si="2"/>
        <v>100</v>
      </c>
      <c r="X14" s="712"/>
      <c r="Y14" s="3406"/>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96" t="s">
        <v>2140</v>
      </c>
      <c r="Q15" s="1487" t="str">
        <f t="shared" si="6"/>
        <v>居住社区成熟度</v>
      </c>
      <c r="R15" s="714" t="s">
        <v>17</v>
      </c>
      <c r="S15" s="715">
        <f t="shared" si="0"/>
        <v>100</v>
      </c>
      <c r="T15" s="714" t="s">
        <v>17</v>
      </c>
      <c r="U15" s="715">
        <f t="shared" si="1"/>
        <v>100</v>
      </c>
      <c r="V15" s="714" t="s">
        <v>17</v>
      </c>
      <c r="W15" s="715">
        <f t="shared" si="2"/>
        <v>100</v>
      </c>
      <c r="X15" s="1490"/>
      <c r="Y15" s="3496"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97"/>
      <c r="Q16" s="1487"/>
      <c r="R16" s="714"/>
      <c r="S16" s="715"/>
      <c r="T16" s="714"/>
      <c r="U16" s="715"/>
      <c r="V16" s="714"/>
      <c r="W16" s="715"/>
      <c r="X16" s="1490"/>
      <c r="Y16" s="3497"/>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97"/>
      <c r="Q17" s="1487" t="str">
        <f>B17</f>
        <v>商业繁华度</v>
      </c>
      <c r="R17" s="714" t="s">
        <v>17</v>
      </c>
      <c r="S17" s="715">
        <f>F17</f>
        <v>100</v>
      </c>
      <c r="T17" s="714" t="s">
        <v>17</v>
      </c>
      <c r="U17" s="715">
        <f>H17</f>
        <v>100</v>
      </c>
      <c r="V17" s="714" t="s">
        <v>17</v>
      </c>
      <c r="W17" s="715">
        <f>J17</f>
        <v>100</v>
      </c>
      <c r="X17" s="1490"/>
      <c r="Y17" s="3497"/>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97"/>
      <c r="Q18" s="1487"/>
      <c r="R18" s="714"/>
      <c r="S18" s="715"/>
      <c r="T18" s="714"/>
      <c r="U18" s="715"/>
      <c r="V18" s="714"/>
      <c r="W18" s="715"/>
      <c r="X18" s="1490"/>
      <c r="Y18" s="3497"/>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97"/>
      <c r="Q19" s="1487" t="str">
        <f>B19</f>
        <v>办公集聚程度</v>
      </c>
      <c r="R19" s="714" t="s">
        <v>17</v>
      </c>
      <c r="S19" s="715">
        <f>F19</f>
        <v>100</v>
      </c>
      <c r="T19" s="714" t="s">
        <v>17</v>
      </c>
      <c r="U19" s="715">
        <f>H19</f>
        <v>100</v>
      </c>
      <c r="V19" s="714" t="s">
        <v>17</v>
      </c>
      <c r="W19" s="715">
        <f>J19</f>
        <v>100</v>
      </c>
      <c r="X19" s="1490"/>
      <c r="Y19" s="3497"/>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97"/>
      <c r="Q20" s="1487"/>
      <c r="R20" s="714"/>
      <c r="S20" s="715"/>
      <c r="T20" s="714"/>
      <c r="U20" s="715"/>
      <c r="V20" s="714"/>
      <c r="W20" s="715"/>
      <c r="X20" s="1490"/>
      <c r="Y20" s="3497"/>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97"/>
      <c r="Q21" s="1487" t="str">
        <f>B21</f>
        <v>交通便捷度</v>
      </c>
      <c r="R21" s="714" t="s">
        <v>17</v>
      </c>
      <c r="S21" s="715">
        <f>F21</f>
        <v>100</v>
      </c>
      <c r="T21" s="714" t="s">
        <v>17</v>
      </c>
      <c r="U21" s="715">
        <f>H21</f>
        <v>100</v>
      </c>
      <c r="V21" s="714" t="s">
        <v>17</v>
      </c>
      <c r="W21" s="715">
        <f>J21</f>
        <v>100</v>
      </c>
      <c r="X21" s="1490"/>
      <c r="Y21" s="3497"/>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97"/>
      <c r="Q22" s="1487"/>
      <c r="R22" s="714"/>
      <c r="S22" s="715"/>
      <c r="T22" s="714"/>
      <c r="U22" s="715"/>
      <c r="V22" s="714"/>
      <c r="W22" s="715"/>
      <c r="X22" s="1490"/>
      <c r="Y22" s="3497"/>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97"/>
      <c r="Q23" s="1487" t="str">
        <f t="shared" ref="Q23:Q37" si="8">B23</f>
        <v>区域土地利用方向</v>
      </c>
      <c r="R23" s="714" t="s">
        <v>17</v>
      </c>
      <c r="S23" s="715">
        <f>F23</f>
        <v>100</v>
      </c>
      <c r="T23" s="714" t="s">
        <v>17</v>
      </c>
      <c r="U23" s="715">
        <f>H23</f>
        <v>100</v>
      </c>
      <c r="V23" s="714" t="s">
        <v>17</v>
      </c>
      <c r="W23" s="715">
        <f>J23</f>
        <v>100</v>
      </c>
      <c r="X23" s="1490"/>
      <c r="Y23" s="3497"/>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97"/>
      <c r="Q24" s="1487"/>
      <c r="R24" s="714"/>
      <c r="S24" s="715"/>
      <c r="T24" s="714"/>
      <c r="U24" s="715"/>
      <c r="V24" s="714"/>
      <c r="W24" s="715"/>
      <c r="X24" s="1490"/>
      <c r="Y24" s="3497"/>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97"/>
      <c r="Q25" s="1487" t="str">
        <f t="shared" si="8"/>
        <v>自然及人文环境状况</v>
      </c>
      <c r="R25" s="714" t="s">
        <v>17</v>
      </c>
      <c r="S25" s="715">
        <f>F25</f>
        <v>100</v>
      </c>
      <c r="T25" s="714" t="s">
        <v>17</v>
      </c>
      <c r="U25" s="715">
        <f>H25</f>
        <v>100</v>
      </c>
      <c r="V25" s="714" t="s">
        <v>17</v>
      </c>
      <c r="W25" s="715">
        <f>J25</f>
        <v>100</v>
      </c>
      <c r="X25" s="1490"/>
      <c r="Y25" s="3497"/>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97"/>
      <c r="Q26" s="1487"/>
      <c r="R26" s="714"/>
      <c r="S26" s="715"/>
      <c r="T26" s="714"/>
      <c r="U26" s="715"/>
      <c r="V26" s="714"/>
      <c r="W26" s="715"/>
      <c r="X26" s="1490"/>
      <c r="Y26" s="3497"/>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97"/>
      <c r="Q27" s="1478" t="str">
        <f t="shared" si="8"/>
        <v>公共配套设施</v>
      </c>
      <c r="R27" s="710" t="s">
        <v>17</v>
      </c>
      <c r="S27" s="711">
        <f>F27</f>
        <v>100</v>
      </c>
      <c r="T27" s="710" t="s">
        <v>17</v>
      </c>
      <c r="U27" s="711">
        <f>H27</f>
        <v>100</v>
      </c>
      <c r="V27" s="710" t="s">
        <v>17</v>
      </c>
      <c r="W27" s="711">
        <f>J27</f>
        <v>100</v>
      </c>
      <c r="X27" s="712"/>
      <c r="Y27" s="3497"/>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97"/>
      <c r="Q28" s="1478"/>
      <c r="R28" s="710"/>
      <c r="S28" s="711"/>
      <c r="T28" s="710"/>
      <c r="U28" s="711"/>
      <c r="V28" s="710"/>
      <c r="W28" s="711"/>
      <c r="X28" s="712"/>
      <c r="Y28" s="3497"/>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97"/>
      <c r="Q29" s="1478" t="str">
        <f t="shared" ref="Q29" si="9">B29</f>
        <v>基础设施水平</v>
      </c>
      <c r="R29" s="710" t="s">
        <v>17</v>
      </c>
      <c r="S29" s="711">
        <f>F29</f>
        <v>100</v>
      </c>
      <c r="T29" s="710" t="s">
        <v>17</v>
      </c>
      <c r="U29" s="711">
        <f>H29</f>
        <v>100</v>
      </c>
      <c r="V29" s="710" t="s">
        <v>17</v>
      </c>
      <c r="W29" s="711">
        <f>J29</f>
        <v>100</v>
      </c>
      <c r="X29" s="712"/>
      <c r="Y29" s="3497"/>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97"/>
      <c r="Q30" s="1478"/>
      <c r="R30" s="710"/>
      <c r="S30" s="711"/>
      <c r="T30" s="710"/>
      <c r="U30" s="711"/>
      <c r="V30" s="710"/>
      <c r="W30" s="711"/>
      <c r="X30" s="712"/>
      <c r="Y30" s="3497"/>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97"/>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7"/>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97"/>
      <c r="Q32" s="1487" t="str">
        <f t="shared" si="8"/>
        <v>毗邻道路的类型与等级</v>
      </c>
      <c r="R32" s="714" t="s">
        <v>17</v>
      </c>
      <c r="S32" s="715">
        <f t="shared" si="10"/>
        <v>100</v>
      </c>
      <c r="T32" s="714" t="s">
        <v>17</v>
      </c>
      <c r="U32" s="715">
        <f t="shared" si="11"/>
        <v>100</v>
      </c>
      <c r="V32" s="714" t="s">
        <v>17</v>
      </c>
      <c r="W32" s="715">
        <f t="shared" si="12"/>
        <v>100</v>
      </c>
      <c r="X32" s="1490"/>
      <c r="Y32" s="3497"/>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97"/>
      <c r="Q33" s="1487"/>
      <c r="R33" s="714"/>
      <c r="S33" s="715"/>
      <c r="T33" s="714"/>
      <c r="U33" s="715"/>
      <c r="V33" s="714"/>
      <c r="W33" s="715"/>
      <c r="X33" s="1490"/>
      <c r="Y33" s="3497"/>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97"/>
      <c r="Q34" s="1487" t="str">
        <f t="shared" si="8"/>
        <v>土地级别</v>
      </c>
      <c r="R34" s="714" t="s">
        <v>17</v>
      </c>
      <c r="S34" s="715">
        <f t="shared" si="10"/>
        <v>100</v>
      </c>
      <c r="T34" s="714" t="s">
        <v>17</v>
      </c>
      <c r="U34" s="715">
        <f t="shared" si="11"/>
        <v>100</v>
      </c>
      <c r="V34" s="714" t="s">
        <v>17</v>
      </c>
      <c r="W34" s="715">
        <f t="shared" si="12"/>
        <v>100</v>
      </c>
      <c r="X34" s="1490"/>
      <c r="Y34" s="3497"/>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97"/>
      <c r="Q35" s="1487">
        <f t="shared" si="8"/>
        <v>111</v>
      </c>
      <c r="R35" s="714" t="s">
        <v>17</v>
      </c>
      <c r="S35" s="715">
        <f t="shared" si="10"/>
        <v>100</v>
      </c>
      <c r="T35" s="714" t="s">
        <v>17</v>
      </c>
      <c r="U35" s="715">
        <f t="shared" si="11"/>
        <v>100</v>
      </c>
      <c r="V35" s="714" t="s">
        <v>17</v>
      </c>
      <c r="W35" s="715">
        <f t="shared" si="12"/>
        <v>100</v>
      </c>
      <c r="X35" s="1490"/>
      <c r="Y35" s="3497"/>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20" t="s">
        <v>2145</v>
      </c>
      <c r="Q36" s="1487">
        <f t="shared" si="8"/>
        <v>111</v>
      </c>
      <c r="R36" s="714" t="s">
        <v>17</v>
      </c>
      <c r="S36" s="715">
        <f t="shared" si="10"/>
        <v>100</v>
      </c>
      <c r="T36" s="714" t="s">
        <v>17</v>
      </c>
      <c r="U36" s="715">
        <f t="shared" si="11"/>
        <v>100</v>
      </c>
      <c r="V36" s="714" t="s">
        <v>17</v>
      </c>
      <c r="W36" s="715">
        <f t="shared" si="12"/>
        <v>100</v>
      </c>
      <c r="X36" s="1490"/>
      <c r="Y36" s="3501"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501"/>
      <c r="Q37" s="1487">
        <f t="shared" si="8"/>
        <v>111</v>
      </c>
      <c r="R37" s="717" t="s">
        <v>17</v>
      </c>
      <c r="S37" s="718">
        <f t="shared" si="10"/>
        <v>100</v>
      </c>
      <c r="T37" s="717" t="s">
        <v>17</v>
      </c>
      <c r="U37" s="718">
        <f t="shared" si="11"/>
        <v>100</v>
      </c>
      <c r="V37" s="717" t="s">
        <v>17</v>
      </c>
      <c r="W37" s="718">
        <f t="shared" si="12"/>
        <v>100</v>
      </c>
      <c r="X37" s="719"/>
      <c r="Y37" s="3501"/>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501"/>
      <c r="Q38" s="1487" t="str">
        <f>B38</f>
        <v>宗地面积</v>
      </c>
      <c r="R38" s="714" t="s">
        <v>17</v>
      </c>
      <c r="S38" s="715" t="e">
        <f t="shared" si="10"/>
        <v>#N/A</v>
      </c>
      <c r="T38" s="714" t="s">
        <v>17</v>
      </c>
      <c r="U38" s="715" t="e">
        <f t="shared" si="11"/>
        <v>#N/A</v>
      </c>
      <c r="V38" s="714" t="s">
        <v>17</v>
      </c>
      <c r="W38" s="715" t="e">
        <f t="shared" si="12"/>
        <v>#N/A</v>
      </c>
      <c r="X38" s="1490"/>
      <c r="Y38" s="3501"/>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501"/>
      <c r="Q39" s="1487" t="str">
        <f t="shared" ref="Q39:Q45" si="14">B39</f>
        <v>宗地形状</v>
      </c>
      <c r="R39" s="714" t="s">
        <v>17</v>
      </c>
      <c r="S39" s="715">
        <f t="shared" si="10"/>
        <v>100</v>
      </c>
      <c r="T39" s="714" t="s">
        <v>17</v>
      </c>
      <c r="U39" s="715">
        <f t="shared" si="11"/>
        <v>100</v>
      </c>
      <c r="V39" s="714" t="s">
        <v>17</v>
      </c>
      <c r="W39" s="715">
        <f t="shared" si="12"/>
        <v>100</v>
      </c>
      <c r="X39" s="1490"/>
      <c r="Y39" s="3501"/>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501"/>
      <c r="Q40" s="1487" t="str">
        <f t="shared" si="14"/>
        <v>临街宽度及深度</v>
      </c>
      <c r="R40" s="714" t="s">
        <v>17</v>
      </c>
      <c r="S40" s="715">
        <f t="shared" si="10"/>
        <v>100</v>
      </c>
      <c r="T40" s="714" t="s">
        <v>17</v>
      </c>
      <c r="U40" s="715">
        <f t="shared" si="11"/>
        <v>100</v>
      </c>
      <c r="V40" s="714" t="s">
        <v>17</v>
      </c>
      <c r="W40" s="715">
        <f t="shared" si="12"/>
        <v>100</v>
      </c>
      <c r="X40" s="1490"/>
      <c r="Y40" s="3501"/>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501"/>
      <c r="Q41" s="1487" t="str">
        <f t="shared" si="14"/>
        <v>宗地开发程度</v>
      </c>
      <c r="R41" s="710" t="s">
        <v>17</v>
      </c>
      <c r="S41" s="711">
        <f t="shared" si="10"/>
        <v>100</v>
      </c>
      <c r="T41" s="710" t="s">
        <v>17</v>
      </c>
      <c r="U41" s="711">
        <f t="shared" si="11"/>
        <v>100</v>
      </c>
      <c r="V41" s="710" t="s">
        <v>17</v>
      </c>
      <c r="W41" s="711">
        <f t="shared" si="12"/>
        <v>100</v>
      </c>
      <c r="X41" s="712"/>
      <c r="Y41" s="3501"/>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501" t="s">
        <v>2145</v>
      </c>
      <c r="Q42" s="1487" t="str">
        <f t="shared" si="14"/>
        <v>工程地质条件</v>
      </c>
      <c r="R42" s="714" t="s">
        <v>17</v>
      </c>
      <c r="S42" s="715">
        <f t="shared" si="10"/>
        <v>100</v>
      </c>
      <c r="T42" s="714" t="s">
        <v>17</v>
      </c>
      <c r="U42" s="715">
        <f t="shared" si="11"/>
        <v>100</v>
      </c>
      <c r="V42" s="714" t="s">
        <v>17</v>
      </c>
      <c r="W42" s="715">
        <f t="shared" si="12"/>
        <v>100</v>
      </c>
      <c r="X42" s="1490"/>
      <c r="Y42" s="3501"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501"/>
      <c r="Q43" s="1487">
        <f t="shared" si="14"/>
        <v>111</v>
      </c>
      <c r="R43" s="714" t="s">
        <v>17</v>
      </c>
      <c r="S43" s="715">
        <f t="shared" si="10"/>
        <v>100</v>
      </c>
      <c r="T43" s="714" t="s">
        <v>17</v>
      </c>
      <c r="U43" s="715">
        <f t="shared" si="11"/>
        <v>100</v>
      </c>
      <c r="V43" s="714" t="s">
        <v>17</v>
      </c>
      <c r="W43" s="715">
        <f t="shared" si="12"/>
        <v>100</v>
      </c>
      <c r="X43" s="1490"/>
      <c r="Y43" s="3501"/>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501"/>
      <c r="Q44" s="1487">
        <f t="shared" si="14"/>
        <v>111</v>
      </c>
      <c r="R44" s="714" t="s">
        <v>17</v>
      </c>
      <c r="S44" s="715">
        <f t="shared" si="10"/>
        <v>100</v>
      </c>
      <c r="T44" s="714" t="s">
        <v>17</v>
      </c>
      <c r="U44" s="715">
        <f t="shared" si="11"/>
        <v>100</v>
      </c>
      <c r="V44" s="714" t="s">
        <v>17</v>
      </c>
      <c r="W44" s="715">
        <f t="shared" si="12"/>
        <v>100</v>
      </c>
      <c r="X44" s="1490"/>
      <c r="Y44" s="3501"/>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501"/>
      <c r="Q45" s="1487">
        <f t="shared" si="14"/>
        <v>111</v>
      </c>
      <c r="R45" s="717" t="s">
        <v>17</v>
      </c>
      <c r="S45" s="718">
        <f t="shared" si="10"/>
        <v>100</v>
      </c>
      <c r="T45" s="717" t="s">
        <v>17</v>
      </c>
      <c r="U45" s="718">
        <f t="shared" si="11"/>
        <v>100</v>
      </c>
      <c r="V45" s="717" t="s">
        <v>17</v>
      </c>
      <c r="W45" s="718">
        <f t="shared" si="12"/>
        <v>100</v>
      </c>
      <c r="X45" s="719"/>
      <c r="Y45" s="3501"/>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94" t="str">
        <f>A46</f>
        <v>成交单价</v>
      </c>
      <c r="Q46" s="3494"/>
      <c r="R46" s="3489">
        <f>E46</f>
        <v>0</v>
      </c>
      <c r="S46" s="3489"/>
      <c r="T46" s="3489">
        <f>G46</f>
        <v>0</v>
      </c>
      <c r="U46" s="3489"/>
      <c r="V46" s="3489">
        <f>I46</f>
        <v>0</v>
      </c>
      <c r="W46" s="3489"/>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94" t="str">
        <f>A47</f>
        <v>比较价值（元/平方米）</v>
      </c>
      <c r="Q47" s="3494"/>
      <c r="R47" s="3522" t="e">
        <f>ROUND(PRODUCT(R46,AA7:AA45),0)</f>
        <v>#DIV/0!</v>
      </c>
      <c r="S47" s="3522"/>
      <c r="T47" s="3522" t="e">
        <f>ROUND(PRODUCT(T46,AB7:AB45),0)</f>
        <v>#DIV/0!</v>
      </c>
      <c r="U47" s="3522"/>
      <c r="V47" s="3522" t="e">
        <f>ROUND(PRODUCT(V46,AC7:AC45),0)</f>
        <v>#DIV/0!</v>
      </c>
      <c r="W47" s="352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91" t="str">
        <f>A48</f>
        <v>估价对象XX用房的比较价值（楼面单价，元/平方米）</v>
      </c>
      <c r="Q48" s="3492"/>
      <c r="R48" s="3523" t="e">
        <f>ROUND(IF(D47="简单平均",AVERAGE(R47:W47),R47*F47+T47*H47+V47*J47),0)</f>
        <v>#DIV/0!</v>
      </c>
      <c r="S48" s="3523"/>
      <c r="T48" s="3523"/>
      <c r="U48" s="3523"/>
      <c r="V48" s="3523"/>
      <c r="W48" s="3523"/>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77" t="s">
        <v>2344</v>
      </c>
      <c r="H55" s="3524"/>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8634.8499999999985</v>
      </c>
      <c r="F56" s="998" t="e">
        <f t="shared" ref="F56:F64" si="15">ROUND(B56*E56/10000,0)</f>
        <v>#DIV/0!</v>
      </c>
      <c r="G56" s="3476"/>
      <c r="H56" s="3494"/>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8634.8499999999985</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7" t="s">
        <v>2226</v>
      </c>
      <c r="D4" s="3478"/>
      <c r="E4" s="3479" t="s">
        <v>2227</v>
      </c>
      <c r="F4" s="3480"/>
      <c r="G4" s="3477" t="s">
        <v>2228</v>
      </c>
      <c r="H4" s="3478"/>
      <c r="I4" s="3477" t="s">
        <v>2229</v>
      </c>
      <c r="J4" s="3478"/>
      <c r="K4" s="567" t="s">
        <v>2230</v>
      </c>
      <c r="L4" s="2894"/>
      <c r="M4" s="2895"/>
      <c r="N4" s="2895"/>
      <c r="O4" s="2895"/>
      <c r="P4" s="3481" t="s">
        <v>2231</v>
      </c>
      <c r="Q4" s="3482"/>
      <c r="R4" s="3464" t="s">
        <v>2227</v>
      </c>
      <c r="S4" s="3465"/>
      <c r="T4" s="3464" t="s">
        <v>2228</v>
      </c>
      <c r="U4" s="3465"/>
      <c r="V4" s="3489" t="s">
        <v>2229</v>
      </c>
      <c r="W4" s="3489"/>
      <c r="X4" s="1490"/>
      <c r="Y4" s="3464" t="s">
        <v>2231</v>
      </c>
      <c r="Z4" s="3465"/>
      <c r="AA4" s="3459" t="s">
        <v>2227</v>
      </c>
      <c r="AB4" s="3460" t="s">
        <v>2228</v>
      </c>
      <c r="AC4" s="3459" t="s">
        <v>2229</v>
      </c>
    </row>
    <row r="5" spans="1:29" ht="15">
      <c r="A5" s="364"/>
      <c r="B5" s="365"/>
      <c r="C5" s="3470" t="s">
        <v>2122</v>
      </c>
      <c r="D5" s="3471"/>
      <c r="E5" s="3468" t="s">
        <v>2123</v>
      </c>
      <c r="F5" s="3469"/>
      <c r="G5" s="3470" t="s">
        <v>2124</v>
      </c>
      <c r="H5" s="3471"/>
      <c r="I5" s="3470" t="s">
        <v>2125</v>
      </c>
      <c r="J5" s="3471"/>
      <c r="K5" s="567"/>
      <c r="L5" s="2894"/>
      <c r="M5" s="2895"/>
      <c r="N5" s="2895"/>
      <c r="O5" s="2895"/>
      <c r="P5" s="3483"/>
      <c r="Q5" s="3484"/>
      <c r="R5" s="3466"/>
      <c r="S5" s="3467"/>
      <c r="T5" s="3466"/>
      <c r="U5" s="3467"/>
      <c r="V5" s="3489"/>
      <c r="W5" s="3489"/>
      <c r="X5" s="1490"/>
      <c r="Y5" s="3466"/>
      <c r="Z5" s="3467"/>
      <c r="AA5" s="3460"/>
      <c r="AB5" s="3460"/>
      <c r="AC5" s="3460"/>
    </row>
    <row r="6" spans="1:29" ht="15.75" thickBot="1">
      <c r="A6" s="366"/>
      <c r="B6" s="367"/>
      <c r="C6" s="3525" t="s">
        <v>2376</v>
      </c>
      <c r="D6" s="3526"/>
      <c r="E6" s="3527" t="s">
        <v>2376</v>
      </c>
      <c r="F6" s="3528"/>
      <c r="G6" s="3525" t="s">
        <v>2376</v>
      </c>
      <c r="H6" s="3526"/>
      <c r="I6" s="3525" t="s">
        <v>2376</v>
      </c>
      <c r="J6" s="3526"/>
      <c r="K6" s="567" t="s">
        <v>2127</v>
      </c>
      <c r="L6" s="2894"/>
      <c r="M6" s="2895"/>
      <c r="N6" s="2895"/>
      <c r="O6" s="2895"/>
      <c r="P6" s="3485"/>
      <c r="Q6" s="3486"/>
      <c r="R6" s="3466"/>
      <c r="S6" s="3467"/>
      <c r="T6" s="3487"/>
      <c r="U6" s="3488"/>
      <c r="V6" s="3489"/>
      <c r="W6" s="3489"/>
      <c r="X6" s="1490"/>
      <c r="Y6" s="3487"/>
      <c r="Z6" s="3488"/>
      <c r="AA6" s="3461"/>
      <c r="AB6" s="3461"/>
      <c r="AC6" s="3461"/>
    </row>
    <row r="7" spans="1:29" s="113" customFormat="1" ht="15.75" thickBot="1">
      <c r="A7" s="368" t="s">
        <v>2128</v>
      </c>
      <c r="B7" s="369"/>
      <c r="C7" s="370">
        <f>'数据-取费表'!B2</f>
        <v>44728</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62" t="s">
        <v>2129</v>
      </c>
      <c r="Q7" s="3490"/>
      <c r="R7" s="710" t="s">
        <v>17</v>
      </c>
      <c r="S7" s="711">
        <f t="shared" ref="S7:S15" si="0">F7</f>
        <v>0</v>
      </c>
      <c r="T7" s="710" t="s">
        <v>17</v>
      </c>
      <c r="U7" s="711">
        <f t="shared" ref="U7:U15" si="1">H7</f>
        <v>0</v>
      </c>
      <c r="V7" s="710" t="s">
        <v>17</v>
      </c>
      <c r="W7" s="711">
        <f t="shared" ref="W7:W15" si="2">J7</f>
        <v>0</v>
      </c>
      <c r="X7" s="712"/>
      <c r="Y7" s="3462" t="s">
        <v>2129</v>
      </c>
      <c r="Z7" s="3463"/>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62" t="s">
        <v>2132</v>
      </c>
      <c r="Q8" s="3463"/>
      <c r="R8" s="710" t="s">
        <v>17</v>
      </c>
      <c r="S8" s="711">
        <f t="shared" si="0"/>
        <v>0</v>
      </c>
      <c r="T8" s="710" t="s">
        <v>17</v>
      </c>
      <c r="U8" s="711">
        <f t="shared" si="1"/>
        <v>0</v>
      </c>
      <c r="V8" s="710" t="s">
        <v>17</v>
      </c>
      <c r="W8" s="711">
        <f t="shared" si="2"/>
        <v>0</v>
      </c>
      <c r="X8" s="712"/>
      <c r="Y8" s="3462" t="s">
        <v>2132</v>
      </c>
      <c r="Z8" s="3463"/>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94" t="s">
        <v>2135</v>
      </c>
      <c r="Q9" s="1478" t="str">
        <f t="shared" ref="Q9:Q15" si="6">B9</f>
        <v>用途</v>
      </c>
      <c r="R9" s="710" t="s">
        <v>17</v>
      </c>
      <c r="S9" s="711">
        <f t="shared" si="0"/>
        <v>100</v>
      </c>
      <c r="T9" s="710" t="s">
        <v>17</v>
      </c>
      <c r="U9" s="711">
        <f t="shared" si="1"/>
        <v>100</v>
      </c>
      <c r="V9" s="710" t="s">
        <v>17</v>
      </c>
      <c r="W9" s="711">
        <f t="shared" si="2"/>
        <v>100</v>
      </c>
      <c r="X9" s="712"/>
      <c r="Y9" s="3406"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116</v>
      </c>
      <c r="G10" s="391"/>
      <c r="H10" s="132">
        <f>ROUND(100/'数据-取费表'!G16,0)</f>
        <v>116</v>
      </c>
      <c r="I10" s="391"/>
      <c r="J10" s="132">
        <f>ROUND(100/'数据-取费表'!G16,0)</f>
        <v>116</v>
      </c>
      <c r="K10" s="628"/>
      <c r="L10" s="2898"/>
      <c r="M10" s="2899"/>
      <c r="N10" s="2899"/>
      <c r="O10" s="2952"/>
      <c r="P10" s="3494"/>
      <c r="Q10" s="1478" t="str">
        <f t="shared" si="6"/>
        <v>土地使用年限（年）</v>
      </c>
      <c r="R10" s="710" t="s">
        <v>17</v>
      </c>
      <c r="S10" s="711">
        <f t="shared" si="0"/>
        <v>116</v>
      </c>
      <c r="T10" s="710" t="s">
        <v>17</v>
      </c>
      <c r="U10" s="711">
        <f t="shared" si="1"/>
        <v>116</v>
      </c>
      <c r="V10" s="710" t="s">
        <v>17</v>
      </c>
      <c r="W10" s="711">
        <f t="shared" si="2"/>
        <v>116</v>
      </c>
      <c r="X10" s="712"/>
      <c r="Y10" s="3406"/>
      <c r="Z10" s="55" t="str">
        <f t="shared" si="7"/>
        <v>土地使用年限（年）</v>
      </c>
      <c r="AA10" s="713">
        <f t="shared" si="3"/>
        <v>0.86206896551724133</v>
      </c>
      <c r="AB10" s="713">
        <f t="shared" si="4"/>
        <v>0.86206896551724133</v>
      </c>
      <c r="AC10" s="713">
        <f t="shared" si="5"/>
        <v>0.86206896551724133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94"/>
      <c r="Q11" s="1478" t="str">
        <f t="shared" si="6"/>
        <v>容积率</v>
      </c>
      <c r="R11" s="710" t="s">
        <v>17</v>
      </c>
      <c r="S11" s="711" t="e">
        <f t="shared" si="0"/>
        <v>#N/A</v>
      </c>
      <c r="T11" s="710" t="s">
        <v>17</v>
      </c>
      <c r="U11" s="711" t="e">
        <f t="shared" si="1"/>
        <v>#N/A</v>
      </c>
      <c r="V11" s="710" t="s">
        <v>17</v>
      </c>
      <c r="W11" s="711" t="e">
        <f t="shared" si="2"/>
        <v>#N/A</v>
      </c>
      <c r="X11" s="712"/>
      <c r="Y11" s="3406"/>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94"/>
      <c r="Q12" s="1478">
        <f t="shared" si="6"/>
        <v>111</v>
      </c>
      <c r="R12" s="710" t="s">
        <v>17</v>
      </c>
      <c r="S12" s="711">
        <f t="shared" si="0"/>
        <v>100</v>
      </c>
      <c r="T12" s="710" t="s">
        <v>17</v>
      </c>
      <c r="U12" s="711">
        <f t="shared" si="1"/>
        <v>100</v>
      </c>
      <c r="V12" s="710" t="s">
        <v>17</v>
      </c>
      <c r="W12" s="711">
        <f t="shared" si="2"/>
        <v>100</v>
      </c>
      <c r="X12" s="712"/>
      <c r="Y12" s="3406"/>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94"/>
      <c r="Q13" s="1478">
        <f t="shared" si="6"/>
        <v>111</v>
      </c>
      <c r="R13" s="710" t="s">
        <v>17</v>
      </c>
      <c r="S13" s="711">
        <f t="shared" si="0"/>
        <v>100</v>
      </c>
      <c r="T13" s="710" t="s">
        <v>17</v>
      </c>
      <c r="U13" s="711">
        <f t="shared" si="1"/>
        <v>100</v>
      </c>
      <c r="V13" s="710" t="s">
        <v>17</v>
      </c>
      <c r="W13" s="711">
        <f t="shared" si="2"/>
        <v>100</v>
      </c>
      <c r="X13" s="712"/>
      <c r="Y13" s="3406"/>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94"/>
      <c r="Q14" s="1478">
        <f t="shared" si="6"/>
        <v>111</v>
      </c>
      <c r="R14" s="710" t="s">
        <v>17</v>
      </c>
      <c r="S14" s="711">
        <f t="shared" si="0"/>
        <v>100</v>
      </c>
      <c r="T14" s="710" t="s">
        <v>17</v>
      </c>
      <c r="U14" s="711">
        <f t="shared" si="1"/>
        <v>100</v>
      </c>
      <c r="V14" s="710" t="s">
        <v>17</v>
      </c>
      <c r="W14" s="711">
        <f t="shared" si="2"/>
        <v>100</v>
      </c>
      <c r="X14" s="712"/>
      <c r="Y14" s="3406"/>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96" t="s">
        <v>2140</v>
      </c>
      <c r="Q15" s="1487" t="str">
        <f t="shared" si="6"/>
        <v>产业集聚程度</v>
      </c>
      <c r="R15" s="714" t="s">
        <v>17</v>
      </c>
      <c r="S15" s="715">
        <f t="shared" si="0"/>
        <v>100</v>
      </c>
      <c r="T15" s="714" t="s">
        <v>17</v>
      </c>
      <c r="U15" s="715">
        <f t="shared" si="1"/>
        <v>100</v>
      </c>
      <c r="V15" s="714" t="s">
        <v>17</v>
      </c>
      <c r="W15" s="715">
        <f t="shared" si="2"/>
        <v>100</v>
      </c>
      <c r="X15" s="1490"/>
      <c r="Y15" s="3496"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97"/>
      <c r="Q16" s="1487"/>
      <c r="R16" s="714"/>
      <c r="S16" s="715"/>
      <c r="T16" s="714"/>
      <c r="U16" s="715"/>
      <c r="V16" s="714"/>
      <c r="W16" s="715"/>
      <c r="X16" s="1490"/>
      <c r="Y16" s="3497"/>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97"/>
      <c r="Q17" s="1487" t="str">
        <f>B17</f>
        <v>交通便捷度</v>
      </c>
      <c r="R17" s="714" t="s">
        <v>17</v>
      </c>
      <c r="S17" s="715">
        <f>F17</f>
        <v>100</v>
      </c>
      <c r="T17" s="714" t="s">
        <v>17</v>
      </c>
      <c r="U17" s="715">
        <f>H17</f>
        <v>100</v>
      </c>
      <c r="V17" s="714" t="s">
        <v>17</v>
      </c>
      <c r="W17" s="715">
        <f>J17</f>
        <v>100</v>
      </c>
      <c r="X17" s="1490"/>
      <c r="Y17" s="3497"/>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97"/>
      <c r="Q18" s="1487"/>
      <c r="R18" s="714"/>
      <c r="S18" s="715"/>
      <c r="T18" s="714"/>
      <c r="U18" s="715"/>
      <c r="V18" s="714"/>
      <c r="W18" s="715"/>
      <c r="X18" s="1490"/>
      <c r="Y18" s="3497"/>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97"/>
      <c r="Q19" s="1487" t="str">
        <f t="shared" ref="Q19:Q33" si="8">B19</f>
        <v>区域土地利用方向</v>
      </c>
      <c r="R19" s="714" t="s">
        <v>17</v>
      </c>
      <c r="S19" s="715">
        <f>F19</f>
        <v>100</v>
      </c>
      <c r="T19" s="714" t="s">
        <v>17</v>
      </c>
      <c r="U19" s="715">
        <f>H19</f>
        <v>100</v>
      </c>
      <c r="V19" s="714" t="s">
        <v>17</v>
      </c>
      <c r="W19" s="715">
        <f>J19</f>
        <v>100</v>
      </c>
      <c r="X19" s="1490"/>
      <c r="Y19" s="3497"/>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97"/>
      <c r="Q20" s="1487"/>
      <c r="R20" s="714"/>
      <c r="S20" s="715"/>
      <c r="T20" s="714"/>
      <c r="U20" s="715"/>
      <c r="V20" s="714"/>
      <c r="W20" s="715"/>
      <c r="X20" s="1490"/>
      <c r="Y20" s="3497"/>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97"/>
      <c r="Q21" s="1487" t="str">
        <f t="shared" si="8"/>
        <v>环境状况</v>
      </c>
      <c r="R21" s="714" t="s">
        <v>17</v>
      </c>
      <c r="S21" s="715">
        <f>F21</f>
        <v>100</v>
      </c>
      <c r="T21" s="714" t="s">
        <v>17</v>
      </c>
      <c r="U21" s="715">
        <f>H21</f>
        <v>100</v>
      </c>
      <c r="V21" s="714" t="s">
        <v>17</v>
      </c>
      <c r="W21" s="715">
        <f>J21</f>
        <v>100</v>
      </c>
      <c r="X21" s="1490"/>
      <c r="Y21" s="3497"/>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97"/>
      <c r="Q22" s="1487"/>
      <c r="R22" s="714"/>
      <c r="S22" s="715"/>
      <c r="T22" s="714"/>
      <c r="U22" s="715"/>
      <c r="V22" s="714"/>
      <c r="W22" s="715"/>
      <c r="X22" s="1490"/>
      <c r="Y22" s="3497"/>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97"/>
      <c r="Q23" s="1478" t="str">
        <f t="shared" si="8"/>
        <v>公共配套设施</v>
      </c>
      <c r="R23" s="710" t="s">
        <v>17</v>
      </c>
      <c r="S23" s="711">
        <f>F23</f>
        <v>100</v>
      </c>
      <c r="T23" s="710" t="s">
        <v>17</v>
      </c>
      <c r="U23" s="711">
        <f>H23</f>
        <v>100</v>
      </c>
      <c r="V23" s="710" t="s">
        <v>17</v>
      </c>
      <c r="W23" s="711">
        <f>J23</f>
        <v>100</v>
      </c>
      <c r="X23" s="712"/>
      <c r="Y23" s="3497"/>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97"/>
      <c r="Q24" s="1478"/>
      <c r="R24" s="710"/>
      <c r="S24" s="711"/>
      <c r="T24" s="710"/>
      <c r="U24" s="711"/>
      <c r="V24" s="710"/>
      <c r="W24" s="711"/>
      <c r="X24" s="712"/>
      <c r="Y24" s="3497"/>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97"/>
      <c r="Q25" s="1478" t="str">
        <f t="shared" ref="Q25" si="9">B25</f>
        <v>基础设施水平</v>
      </c>
      <c r="R25" s="710" t="s">
        <v>17</v>
      </c>
      <c r="S25" s="711">
        <f>F25</f>
        <v>100</v>
      </c>
      <c r="T25" s="710" t="s">
        <v>17</v>
      </c>
      <c r="U25" s="711">
        <f>H25</f>
        <v>100</v>
      </c>
      <c r="V25" s="710" t="s">
        <v>17</v>
      </c>
      <c r="W25" s="711">
        <f>J25</f>
        <v>100</v>
      </c>
      <c r="X25" s="712"/>
      <c r="Y25" s="3497"/>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97"/>
      <c r="Q26" s="1478"/>
      <c r="R26" s="710"/>
      <c r="S26" s="711"/>
      <c r="T26" s="710"/>
      <c r="U26" s="711"/>
      <c r="V26" s="710"/>
      <c r="W26" s="711"/>
      <c r="X26" s="712"/>
      <c r="Y26" s="3497"/>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97"/>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7"/>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97"/>
      <c r="Q28" s="1487" t="str">
        <f t="shared" si="8"/>
        <v>毗邻道路的类型与等级</v>
      </c>
      <c r="R28" s="714" t="s">
        <v>17</v>
      </c>
      <c r="S28" s="715">
        <f t="shared" si="10"/>
        <v>100</v>
      </c>
      <c r="T28" s="714" t="s">
        <v>17</v>
      </c>
      <c r="U28" s="715">
        <f t="shared" si="11"/>
        <v>100</v>
      </c>
      <c r="V28" s="714" t="s">
        <v>17</v>
      </c>
      <c r="W28" s="715">
        <f t="shared" si="12"/>
        <v>100</v>
      </c>
      <c r="X28" s="1490"/>
      <c r="Y28" s="3497"/>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97"/>
      <c r="Q29" s="1487"/>
      <c r="R29" s="714"/>
      <c r="S29" s="715"/>
      <c r="T29" s="714"/>
      <c r="U29" s="715"/>
      <c r="V29" s="714"/>
      <c r="W29" s="715"/>
      <c r="X29" s="1490"/>
      <c r="Y29" s="3497"/>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97"/>
      <c r="Q30" s="1487" t="str">
        <f t="shared" si="8"/>
        <v>土地级别</v>
      </c>
      <c r="R30" s="714" t="s">
        <v>17</v>
      </c>
      <c r="S30" s="715">
        <f t="shared" si="10"/>
        <v>100</v>
      </c>
      <c r="T30" s="714" t="s">
        <v>17</v>
      </c>
      <c r="U30" s="715">
        <f t="shared" si="11"/>
        <v>100</v>
      </c>
      <c r="V30" s="714" t="s">
        <v>17</v>
      </c>
      <c r="W30" s="715">
        <f t="shared" si="12"/>
        <v>100</v>
      </c>
      <c r="X30" s="1490"/>
      <c r="Y30" s="3497"/>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97"/>
      <c r="Q31" s="1487">
        <f t="shared" si="8"/>
        <v>111</v>
      </c>
      <c r="R31" s="714" t="s">
        <v>17</v>
      </c>
      <c r="S31" s="715">
        <f t="shared" si="10"/>
        <v>100</v>
      </c>
      <c r="T31" s="714" t="s">
        <v>17</v>
      </c>
      <c r="U31" s="715">
        <f t="shared" si="11"/>
        <v>100</v>
      </c>
      <c r="V31" s="714" t="s">
        <v>17</v>
      </c>
      <c r="W31" s="715">
        <f t="shared" si="12"/>
        <v>100</v>
      </c>
      <c r="X31" s="1490"/>
      <c r="Y31" s="3497"/>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20" t="s">
        <v>2145</v>
      </c>
      <c r="Q32" s="1487">
        <f t="shared" si="8"/>
        <v>111</v>
      </c>
      <c r="R32" s="714" t="s">
        <v>17</v>
      </c>
      <c r="S32" s="715">
        <f t="shared" si="10"/>
        <v>100</v>
      </c>
      <c r="T32" s="714" t="s">
        <v>17</v>
      </c>
      <c r="U32" s="715">
        <f t="shared" si="11"/>
        <v>100</v>
      </c>
      <c r="V32" s="714" t="s">
        <v>17</v>
      </c>
      <c r="W32" s="715">
        <f t="shared" si="12"/>
        <v>100</v>
      </c>
      <c r="X32" s="1490"/>
      <c r="Y32" s="3501"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501"/>
      <c r="Q33" s="1487">
        <f t="shared" si="8"/>
        <v>111</v>
      </c>
      <c r="R33" s="717" t="s">
        <v>17</v>
      </c>
      <c r="S33" s="718">
        <f t="shared" si="10"/>
        <v>100</v>
      </c>
      <c r="T33" s="717" t="s">
        <v>17</v>
      </c>
      <c r="U33" s="718">
        <f t="shared" si="11"/>
        <v>100</v>
      </c>
      <c r="V33" s="717" t="s">
        <v>17</v>
      </c>
      <c r="W33" s="718">
        <f t="shared" si="12"/>
        <v>100</v>
      </c>
      <c r="X33" s="719"/>
      <c r="Y33" s="3501"/>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501"/>
      <c r="Q34" s="1487" t="str">
        <f>B34</f>
        <v>宗地面积</v>
      </c>
      <c r="R34" s="714" t="s">
        <v>17</v>
      </c>
      <c r="S34" s="715" t="e">
        <f t="shared" si="10"/>
        <v>#N/A</v>
      </c>
      <c r="T34" s="714" t="s">
        <v>17</v>
      </c>
      <c r="U34" s="715" t="e">
        <f t="shared" si="11"/>
        <v>#N/A</v>
      </c>
      <c r="V34" s="714" t="s">
        <v>17</v>
      </c>
      <c r="W34" s="715" t="e">
        <f t="shared" si="12"/>
        <v>#N/A</v>
      </c>
      <c r="X34" s="1490"/>
      <c r="Y34" s="3501"/>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501"/>
      <c r="Q35" s="1487" t="str">
        <f t="shared" ref="Q35:Q40" si="14">B35</f>
        <v>宗地形状</v>
      </c>
      <c r="R35" s="714" t="s">
        <v>17</v>
      </c>
      <c r="S35" s="715">
        <f t="shared" si="10"/>
        <v>100</v>
      </c>
      <c r="T35" s="714" t="s">
        <v>17</v>
      </c>
      <c r="U35" s="715">
        <f t="shared" si="11"/>
        <v>100</v>
      </c>
      <c r="V35" s="714" t="s">
        <v>17</v>
      </c>
      <c r="W35" s="715">
        <f t="shared" si="12"/>
        <v>100</v>
      </c>
      <c r="X35" s="1490"/>
      <c r="Y35" s="3501"/>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501"/>
      <c r="Q36" s="1487" t="str">
        <f t="shared" si="14"/>
        <v>宗地开发程度</v>
      </c>
      <c r="R36" s="710" t="s">
        <v>17</v>
      </c>
      <c r="S36" s="711">
        <f t="shared" si="10"/>
        <v>100</v>
      </c>
      <c r="T36" s="710" t="s">
        <v>17</v>
      </c>
      <c r="U36" s="711">
        <f t="shared" si="11"/>
        <v>100</v>
      </c>
      <c r="V36" s="710" t="s">
        <v>17</v>
      </c>
      <c r="W36" s="711">
        <f t="shared" si="12"/>
        <v>100</v>
      </c>
      <c r="X36" s="712"/>
      <c r="Y36" s="3501"/>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501" t="s">
        <v>2145</v>
      </c>
      <c r="Q37" s="1487" t="str">
        <f t="shared" si="14"/>
        <v>工程地质条件</v>
      </c>
      <c r="R37" s="714" t="s">
        <v>17</v>
      </c>
      <c r="S37" s="715">
        <f t="shared" si="10"/>
        <v>100</v>
      </c>
      <c r="T37" s="714" t="s">
        <v>17</v>
      </c>
      <c r="U37" s="715">
        <f t="shared" si="11"/>
        <v>100</v>
      </c>
      <c r="V37" s="714" t="s">
        <v>17</v>
      </c>
      <c r="W37" s="715">
        <f t="shared" si="12"/>
        <v>100</v>
      </c>
      <c r="X37" s="1490"/>
      <c r="Y37" s="3501"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501"/>
      <c r="Q38" s="1487">
        <f t="shared" si="14"/>
        <v>111</v>
      </c>
      <c r="R38" s="714" t="s">
        <v>17</v>
      </c>
      <c r="S38" s="715">
        <f t="shared" si="10"/>
        <v>100</v>
      </c>
      <c r="T38" s="714" t="s">
        <v>17</v>
      </c>
      <c r="U38" s="715">
        <f t="shared" si="11"/>
        <v>100</v>
      </c>
      <c r="V38" s="714" t="s">
        <v>17</v>
      </c>
      <c r="W38" s="715">
        <f t="shared" si="12"/>
        <v>100</v>
      </c>
      <c r="X38" s="1490"/>
      <c r="Y38" s="3501"/>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501"/>
      <c r="Q39" s="1487">
        <f t="shared" si="14"/>
        <v>111</v>
      </c>
      <c r="R39" s="714" t="s">
        <v>17</v>
      </c>
      <c r="S39" s="715">
        <f t="shared" si="10"/>
        <v>100</v>
      </c>
      <c r="T39" s="714" t="s">
        <v>17</v>
      </c>
      <c r="U39" s="715">
        <f t="shared" si="11"/>
        <v>100</v>
      </c>
      <c r="V39" s="714" t="s">
        <v>17</v>
      </c>
      <c r="W39" s="715">
        <f t="shared" si="12"/>
        <v>100</v>
      </c>
      <c r="X39" s="1490"/>
      <c r="Y39" s="3501"/>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501"/>
      <c r="Q40" s="1487">
        <f t="shared" si="14"/>
        <v>111</v>
      </c>
      <c r="R40" s="717" t="s">
        <v>17</v>
      </c>
      <c r="S40" s="718">
        <f t="shared" si="10"/>
        <v>100</v>
      </c>
      <c r="T40" s="717" t="s">
        <v>17</v>
      </c>
      <c r="U40" s="718">
        <f t="shared" si="11"/>
        <v>100</v>
      </c>
      <c r="V40" s="717" t="s">
        <v>17</v>
      </c>
      <c r="W40" s="718">
        <f t="shared" si="12"/>
        <v>100</v>
      </c>
      <c r="X40" s="719"/>
      <c r="Y40" s="3501"/>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94" t="str">
        <f>A41</f>
        <v>成交单价</v>
      </c>
      <c r="Q41" s="3494"/>
      <c r="R41" s="3489">
        <f>E41</f>
        <v>0</v>
      </c>
      <c r="S41" s="3489"/>
      <c r="T41" s="3489">
        <f>G41</f>
        <v>0</v>
      </c>
      <c r="U41" s="3489"/>
      <c r="V41" s="3489">
        <f>I41</f>
        <v>0</v>
      </c>
      <c r="W41" s="3489"/>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94" t="str">
        <f>A42</f>
        <v>比较价值（元/平方米）</v>
      </c>
      <c r="Q42" s="3494"/>
      <c r="R42" s="3522" t="e">
        <f>ROUND(PRODUCT(R41,AA7:AA40),0)</f>
        <v>#DIV/0!</v>
      </c>
      <c r="S42" s="3522"/>
      <c r="T42" s="3522" t="e">
        <f>ROUND(PRODUCT(T41,AB7:AB40),0)</f>
        <v>#DIV/0!</v>
      </c>
      <c r="U42" s="3522"/>
      <c r="V42" s="3522" t="e">
        <f>ROUND(PRODUCT(V41,AC7:AC40),0)</f>
        <v>#DIV/0!</v>
      </c>
      <c r="W42" s="352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91" t="str">
        <f>A43</f>
        <v>估价对象XX用房的比较价值（楼面单价，元/平方米）</v>
      </c>
      <c r="Q43" s="3492"/>
      <c r="R43" s="3523" t="e">
        <f>ROUND(IF(D42="简单平均",AVERAGE(R42:W42),R42*F42+T42*H42+V42*J42),0)</f>
        <v>#DIV/0!</v>
      </c>
      <c r="S43" s="3523"/>
      <c r="T43" s="3523"/>
      <c r="U43" s="3523"/>
      <c r="V43" s="3523"/>
      <c r="W43" s="3523"/>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77" t="s">
        <v>2344</v>
      </c>
      <c r="H50" s="3524"/>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8634.8499999999985</v>
      </c>
      <c r="F51" s="647" t="e">
        <f t="shared" ref="F51:F60" si="15">ROUND(B51*E51/10000,0)</f>
        <v>#DIV/0!</v>
      </c>
      <c r="G51" s="3476"/>
      <c r="H51" s="3494"/>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17477</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0.49</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8"/>
      <c r="B4" s="3549"/>
      <c r="C4" s="3549"/>
      <c r="D4" s="3550"/>
      <c r="E4" s="3550"/>
      <c r="F4" s="3550"/>
      <c r="G4" s="3550"/>
      <c r="H4" s="3550"/>
      <c r="I4" s="3550"/>
      <c r="J4" s="3551"/>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9"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0.49</v>
      </c>
      <c r="AA7" s="1331"/>
      <c r="AB7" s="1331"/>
      <c r="AC7" s="1332"/>
      <c r="AD7" s="1333"/>
      <c r="AE7" s="1333"/>
      <c r="AF7" s="1333"/>
      <c r="AG7" s="1333"/>
      <c r="AH7" s="1333"/>
      <c r="AI7" s="1333"/>
      <c r="AJ7" s="1334"/>
    </row>
    <row r="8" spans="1:36" ht="15">
      <c r="A8" s="3552"/>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5" t="s">
        <v>2419</v>
      </c>
      <c r="X8" s="3546"/>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52"/>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7"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52"/>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7"/>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52"/>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7" t="s">
        <v>2443</v>
      </c>
      <c r="X11" s="1339" t="s">
        <v>2444</v>
      </c>
      <c r="Y11" s="1340">
        <f>$G$3</f>
        <v>0.49</v>
      </c>
      <c r="Z11" s="1340">
        <f t="shared" ref="Z11:AJ11" si="3">$G$3</f>
        <v>0.49</v>
      </c>
      <c r="AA11" s="1340">
        <f t="shared" si="3"/>
        <v>0.49</v>
      </c>
      <c r="AB11" s="1340">
        <f t="shared" si="3"/>
        <v>0.49</v>
      </c>
      <c r="AC11" s="1340">
        <f t="shared" si="3"/>
        <v>0.49</v>
      </c>
      <c r="AD11" s="1340">
        <f t="shared" si="3"/>
        <v>0.49</v>
      </c>
      <c r="AE11" s="1340">
        <f t="shared" si="3"/>
        <v>0.49</v>
      </c>
      <c r="AF11" s="1340">
        <f t="shared" si="3"/>
        <v>0.49</v>
      </c>
      <c r="AG11" s="1340">
        <f t="shared" si="3"/>
        <v>0.49</v>
      </c>
      <c r="AH11" s="1340">
        <f t="shared" si="3"/>
        <v>0.49</v>
      </c>
      <c r="AI11" s="1340">
        <f t="shared" si="3"/>
        <v>0.49</v>
      </c>
      <c r="AJ11" s="1340">
        <f t="shared" si="3"/>
        <v>0.49</v>
      </c>
    </row>
    <row r="12" spans="1:36" ht="25.5" thickBot="1">
      <c r="A12" s="3529"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7"/>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3"/>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47"/>
      <c r="X13" s="1341"/>
      <c r="Y13" s="1338">
        <f>(-0.163*(Y12^2)-0.59*Y12+7617)*(10^(-4))/Y11</f>
        <v>1.5544897959183674</v>
      </c>
      <c r="Z13" s="1338">
        <f t="shared" ref="Z13:AJ13" si="5">(-0.163*(Z12^2)-0.59*Z12+7617)*(10^(-4))/Z11</f>
        <v>1.5544897959183674</v>
      </c>
      <c r="AA13" s="1338">
        <f t="shared" si="5"/>
        <v>1.5544897959183674</v>
      </c>
      <c r="AB13" s="1338">
        <f t="shared" si="5"/>
        <v>1.5544897959183674</v>
      </c>
      <c r="AC13" s="1338">
        <f t="shared" si="5"/>
        <v>1.5544897959183674</v>
      </c>
      <c r="AD13" s="1338">
        <f t="shared" si="5"/>
        <v>1.5544897959183674</v>
      </c>
      <c r="AE13" s="1338">
        <f t="shared" si="5"/>
        <v>1.5544897959183674</v>
      </c>
      <c r="AF13" s="1338">
        <f t="shared" si="5"/>
        <v>1.5544897959183674</v>
      </c>
      <c r="AG13" s="1338">
        <f t="shared" si="5"/>
        <v>1.5544897959183674</v>
      </c>
      <c r="AH13" s="1338">
        <f t="shared" si="5"/>
        <v>1.5544897959183674</v>
      </c>
      <c r="AI13" s="1338">
        <f t="shared" si="5"/>
        <v>1.5544897959183674</v>
      </c>
      <c r="AJ13" s="1338">
        <f t="shared" si="5"/>
        <v>1.5544897959183674</v>
      </c>
    </row>
    <row r="14" spans="1:36" ht="15">
      <c r="A14" s="3553"/>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54"/>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9" t="s">
        <v>2462</v>
      </c>
      <c r="B16" s="2160" t="s">
        <v>2463</v>
      </c>
      <c r="C16" s="2322" t="e">
        <f>ROUND(IF(F17="与级别开发程度一致",0,(G17-E17)/C17),0)</f>
        <v>#DIV/0!</v>
      </c>
      <c r="D16" s="3542" t="s">
        <v>2467</v>
      </c>
      <c r="E16" s="3543"/>
      <c r="F16" s="3542" t="s">
        <v>2464</v>
      </c>
      <c r="G16" s="3543"/>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30"/>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44728</v>
      </c>
      <c r="H19" s="2203"/>
      <c r="I19" s="848" t="str">
        <f>IF(H19="季度增幅（自定义）",SUMIF(N21:N24,E2,O21:O24),"")</f>
        <v/>
      </c>
      <c r="J19" s="2200"/>
      <c r="K19" s="1240"/>
      <c r="L19" s="2204" t="s">
        <v>2473</v>
      </c>
      <c r="M19" s="1449">
        <f>ROUND(SUMIF(地价!B2:F2,E2,地价!B37:F37),0)</f>
        <v>0</v>
      </c>
      <c r="N19" s="2205" t="s">
        <v>2474</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0.4</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0.5</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9"/>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4"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0"/>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0"/>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1"/>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1"/>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1" t="s">
        <v>2550</v>
      </c>
      <c r="B90" s="3531"/>
      <c r="C90" s="3531"/>
      <c r="D90" s="3531"/>
      <c r="E90" s="3531"/>
      <c r="F90" s="3531"/>
      <c r="G90" s="3531"/>
      <c r="H90" s="3531"/>
      <c r="I90" s="3531"/>
      <c r="J90" s="3531"/>
      <c r="K90" s="2294"/>
      <c r="L90" s="2294"/>
      <c r="M90" s="2294"/>
      <c r="N90" s="2294"/>
    </row>
    <row r="91" spans="1:37">
      <c r="A91" s="3533" t="s">
        <v>2551</v>
      </c>
      <c r="B91" s="3533" t="s">
        <v>2552</v>
      </c>
      <c r="C91" s="2248" t="s">
        <v>2553</v>
      </c>
      <c r="D91" s="2249"/>
      <c r="E91" s="2249"/>
      <c r="F91" s="2249"/>
      <c r="G91" s="2249"/>
      <c r="H91" s="2249"/>
      <c r="I91" s="2249"/>
      <c r="J91" s="2295"/>
      <c r="K91" s="2296"/>
      <c r="L91" s="2296"/>
      <c r="M91" s="2296"/>
      <c r="N91" s="2296"/>
    </row>
    <row r="92" spans="1:37">
      <c r="A92" s="3533"/>
      <c r="B92" s="3533"/>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4"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5"/>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5"/>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5"/>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5"/>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5"/>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5"/>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6"/>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4" t="s">
        <v>2555</v>
      </c>
      <c r="B101" s="2301" t="s">
        <v>2556</v>
      </c>
      <c r="C101" s="2302">
        <f>$G$3</f>
        <v>0.49</v>
      </c>
      <c r="D101" s="2302">
        <f t="shared" ref="D101:N101" si="31">$G$3</f>
        <v>0.49</v>
      </c>
      <c r="E101" s="2302">
        <f t="shared" si="31"/>
        <v>0.49</v>
      </c>
      <c r="F101" s="2302">
        <f t="shared" si="31"/>
        <v>0.49</v>
      </c>
      <c r="G101" s="2302">
        <f t="shared" si="31"/>
        <v>0.49</v>
      </c>
      <c r="H101" s="2302">
        <f t="shared" si="31"/>
        <v>0.49</v>
      </c>
      <c r="I101" s="2302">
        <f t="shared" si="31"/>
        <v>0.49</v>
      </c>
      <c r="J101" s="2302">
        <f t="shared" si="31"/>
        <v>0.49</v>
      </c>
      <c r="K101" s="2302">
        <f t="shared" si="31"/>
        <v>0.49</v>
      </c>
      <c r="L101" s="2302">
        <f t="shared" si="31"/>
        <v>0.49</v>
      </c>
      <c r="M101" s="2302">
        <f t="shared" si="31"/>
        <v>0.49</v>
      </c>
      <c r="N101" s="2302">
        <f t="shared" si="31"/>
        <v>0.49</v>
      </c>
    </row>
    <row r="102" spans="1:14">
      <c r="A102" s="3535"/>
      <c r="B102" s="2297">
        <v>1</v>
      </c>
      <c r="C102" s="2298">
        <f>1.9362/C101</f>
        <v>3.9514285714285715</v>
      </c>
      <c r="D102" s="2298">
        <f>1.9362/D101</f>
        <v>3.9514285714285715</v>
      </c>
      <c r="E102" s="2298">
        <f>1.8629/E101</f>
        <v>3.8018367346938775</v>
      </c>
      <c r="F102" s="2298">
        <f>1.8629/F101</f>
        <v>3.8018367346938775</v>
      </c>
      <c r="G102" s="2298">
        <f>1.8629/G101</f>
        <v>3.8018367346938775</v>
      </c>
      <c r="H102" s="2298">
        <f>1.8629/H101</f>
        <v>3.8018367346938775</v>
      </c>
      <c r="I102" s="2298">
        <f>1.8629/I101</f>
        <v>3.8018367346938775</v>
      </c>
      <c r="J102" s="2298">
        <f>1.942/J101</f>
        <v>3.963265306122449</v>
      </c>
      <c r="K102" s="2298">
        <f>1.942/K101</f>
        <v>3.963265306122449</v>
      </c>
      <c r="L102" s="2298">
        <f>1.942/L101</f>
        <v>3.963265306122449</v>
      </c>
      <c r="M102" s="2298">
        <f>1.942/M101</f>
        <v>3.963265306122449</v>
      </c>
      <c r="N102" s="2298">
        <f>1.942/N101</f>
        <v>3.963265306122449</v>
      </c>
    </row>
    <row r="103" spans="1:14">
      <c r="A103" s="3535"/>
      <c r="B103" s="2297">
        <v>2</v>
      </c>
      <c r="C103" s="2298">
        <f>1.4198/C101</f>
        <v>2.8975510204081631</v>
      </c>
      <c r="D103" s="2298">
        <f>1.4198/D101</f>
        <v>2.8975510204081631</v>
      </c>
      <c r="E103" s="2298">
        <f>1.3372/E101</f>
        <v>2.7289795918367346</v>
      </c>
      <c r="F103" s="2298">
        <f>1.3372/F101</f>
        <v>2.7289795918367346</v>
      </c>
      <c r="G103" s="2298">
        <f>1.3372/G101</f>
        <v>2.7289795918367346</v>
      </c>
      <c r="H103" s="2298">
        <f>1.3372/H101</f>
        <v>2.7289795918367346</v>
      </c>
      <c r="I103" s="2298">
        <f>1.3372/I101</f>
        <v>2.7289795918367346</v>
      </c>
      <c r="J103" s="2298">
        <f>1.2799/J101</f>
        <v>2.6120408163265307</v>
      </c>
      <c r="K103" s="2298">
        <f>1.2799/K101</f>
        <v>2.6120408163265307</v>
      </c>
      <c r="L103" s="2298">
        <f>1.2799/L101</f>
        <v>2.6120408163265307</v>
      </c>
      <c r="M103" s="2298">
        <f>1.2799/M101</f>
        <v>2.6120408163265307</v>
      </c>
      <c r="N103" s="2298">
        <f>1.2799/N101</f>
        <v>2.6120408163265307</v>
      </c>
    </row>
    <row r="104" spans="1:14">
      <c r="A104" s="3535"/>
      <c r="B104" s="2297">
        <v>3</v>
      </c>
      <c r="C104" s="2298">
        <f>1.1594/C101</f>
        <v>2.366122448979592</v>
      </c>
      <c r="D104" s="2298">
        <f>1.1594/D101</f>
        <v>2.366122448979592</v>
      </c>
      <c r="E104" s="2298">
        <f>1.0788/E101</f>
        <v>2.2016326530612247</v>
      </c>
      <c r="F104" s="2298">
        <f>1.0788/F101</f>
        <v>2.2016326530612247</v>
      </c>
      <c r="G104" s="2298">
        <f>1.0788/G101</f>
        <v>2.2016326530612247</v>
      </c>
      <c r="H104" s="2298">
        <f>1.0788/H101</f>
        <v>2.2016326530612247</v>
      </c>
      <c r="I104" s="2298">
        <f>1.0788/I101</f>
        <v>2.2016326530612247</v>
      </c>
      <c r="J104" s="2298">
        <f>1.0072/J101</f>
        <v>2.0555102040816329</v>
      </c>
      <c r="K104" s="2298">
        <f>1.0072/K101</f>
        <v>2.0555102040816329</v>
      </c>
      <c r="L104" s="2298">
        <f>1.0072/L101</f>
        <v>2.0555102040816329</v>
      </c>
      <c r="M104" s="2298">
        <f>1.0072/M101</f>
        <v>2.0555102040816329</v>
      </c>
      <c r="N104" s="2298">
        <f>1.0072/N101</f>
        <v>2.0555102040816329</v>
      </c>
    </row>
    <row r="105" spans="1:14">
      <c r="A105" s="3535"/>
      <c r="B105" s="2297">
        <v>4</v>
      </c>
      <c r="C105" s="2298">
        <f>0.9622/C101</f>
        <v>1.9636734693877553</v>
      </c>
      <c r="D105" s="2298">
        <f>0.9622/D101</f>
        <v>1.9636734693877553</v>
      </c>
      <c r="E105" s="2298">
        <f>0.8656/E101</f>
        <v>1.766530612244898</v>
      </c>
      <c r="F105" s="2298">
        <f>0.8656/F101</f>
        <v>1.766530612244898</v>
      </c>
      <c r="G105" s="2298">
        <f>0.8656/G101</f>
        <v>1.766530612244898</v>
      </c>
      <c r="H105" s="2298">
        <f>0.8656/H101</f>
        <v>1.766530612244898</v>
      </c>
      <c r="I105" s="2298">
        <f>0.8656/I101</f>
        <v>1.766530612244898</v>
      </c>
      <c r="J105" s="2298">
        <f>0.7525/J101</f>
        <v>1.5357142857142856</v>
      </c>
      <c r="K105" s="2298">
        <f>0.7525/K101</f>
        <v>1.5357142857142856</v>
      </c>
      <c r="L105" s="2298">
        <f>0.7525/L101</f>
        <v>1.5357142857142856</v>
      </c>
      <c r="M105" s="2298">
        <f>0.7525/M101</f>
        <v>1.5357142857142856</v>
      </c>
      <c r="N105" s="2298">
        <f>0.7525/N101</f>
        <v>1.5357142857142856</v>
      </c>
    </row>
    <row r="106" spans="1:14">
      <c r="A106" s="3535"/>
      <c r="B106" s="2297">
        <v>5</v>
      </c>
      <c r="C106" s="2298">
        <f>0.8417/C101</f>
        <v>1.7177551020408164</v>
      </c>
      <c r="D106" s="2298">
        <f>0.8417/D101</f>
        <v>1.7177551020408164</v>
      </c>
      <c r="E106" s="2298">
        <f>0.7371/E101</f>
        <v>1.5042857142857142</v>
      </c>
      <c r="F106" s="2298">
        <f>0.7371/F101</f>
        <v>1.5042857142857142</v>
      </c>
      <c r="G106" s="2298">
        <f>0.7371/G101</f>
        <v>1.5042857142857142</v>
      </c>
      <c r="H106" s="2298">
        <f>0.7371/H101</f>
        <v>1.5042857142857142</v>
      </c>
      <c r="I106" s="2298">
        <f>0.7371/I101</f>
        <v>1.5042857142857142</v>
      </c>
      <c r="J106" s="2298">
        <f>0.5659/J101</f>
        <v>1.1548979591836734</v>
      </c>
      <c r="K106" s="2298">
        <f>0.5659/K101</f>
        <v>1.1548979591836734</v>
      </c>
      <c r="L106" s="2298">
        <f>0.5659/L101</f>
        <v>1.1548979591836734</v>
      </c>
      <c r="M106" s="2298">
        <f>0.5659/M101</f>
        <v>1.1548979591836734</v>
      </c>
      <c r="N106" s="2298">
        <f>0.5659/N101</f>
        <v>1.1548979591836734</v>
      </c>
    </row>
    <row r="107" spans="1:14">
      <c r="A107" s="3535"/>
      <c r="B107" s="2297">
        <v>6</v>
      </c>
      <c r="C107" s="2298">
        <f>0.7608/C101</f>
        <v>1.55265306122449</v>
      </c>
      <c r="D107" s="2298">
        <f>0.7608/D101</f>
        <v>1.55265306122449</v>
      </c>
      <c r="E107" s="2298">
        <f>0.6482/E101</f>
        <v>1.322857142857143</v>
      </c>
      <c r="F107" s="2298">
        <f>0.6482/F101</f>
        <v>1.322857142857143</v>
      </c>
      <c r="G107" s="2298">
        <f>0.6482/G101</f>
        <v>1.322857142857143</v>
      </c>
      <c r="H107" s="2298">
        <f>0.6482/H101</f>
        <v>1.322857142857143</v>
      </c>
      <c r="I107" s="2298">
        <f>0.6482/I101</f>
        <v>1.322857142857143</v>
      </c>
      <c r="J107" s="2298">
        <f>0.4525/J101</f>
        <v>0.92346938775510212</v>
      </c>
      <c r="K107" s="2298">
        <f>0.4525/K101</f>
        <v>0.92346938775510212</v>
      </c>
      <c r="L107" s="2298">
        <f>0.4525/L101</f>
        <v>0.92346938775510212</v>
      </c>
      <c r="M107" s="2298">
        <f>0.4525/M101</f>
        <v>0.92346938775510212</v>
      </c>
      <c r="N107" s="2298">
        <f>0.4525/N101</f>
        <v>0.92346938775510212</v>
      </c>
    </row>
    <row r="108" spans="1:14">
      <c r="A108" s="3535"/>
      <c r="B108" s="3537"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6"/>
      <c r="B109" s="3538"/>
      <c r="C109" s="2300">
        <f>(-0.163*(C108^2)-0.59*C108+7617)*(10^(-4))/C101</f>
        <v>1.5544897959183674</v>
      </c>
      <c r="D109" s="2300">
        <f>(-0.163*(D108^2)-0.59*D108+7617)*(10^(-4))/D101</f>
        <v>1.5544897959183674</v>
      </c>
      <c r="E109" s="2300">
        <f>(-0.161*(E108^2)-7.509*E108+6533)*(10^(-4))/E101</f>
        <v>1.3332653061224491</v>
      </c>
      <c r="F109" s="2300">
        <f>(-0.161*(F108^2)-7.509*F108+6533)*(10^(-4))/F101</f>
        <v>1.3332653061224491</v>
      </c>
      <c r="G109" s="2300">
        <f>(-0.161*(G108^2)-7.509*G108+6533)*(10^(-4))/G101</f>
        <v>1.3332653061224491</v>
      </c>
      <c r="H109" s="2300">
        <f>(-0.161*(H108^2)-7.509*H108+6533)*(10^(-4))/H101</f>
        <v>1.3332653061224491</v>
      </c>
      <c r="I109" s="2300">
        <f>(-0.161*(I108^2)-7.509*I108+6533)*(10^(-4))/I101</f>
        <v>1.3332653061224491</v>
      </c>
      <c r="J109" s="2300">
        <f>(-0.214*(J108^2)-21.991*J108+4665)*(10^(-4))/J101</f>
        <v>0.9520408163265307</v>
      </c>
      <c r="K109" s="2300">
        <f>(-0.214*(K108^2)-21.991*K108+4665)*(10^(-4))/K101</f>
        <v>0.9520408163265307</v>
      </c>
      <c r="L109" s="2300">
        <f>(-0.214*(L108^2)-21.991*L108+4665)*(10^(-4))/L101</f>
        <v>0.9520408163265307</v>
      </c>
      <c r="M109" s="2300">
        <f>(-0.214*(M108^2)-21.991*M108+4665)*(10^(-4))/M101</f>
        <v>0.9520408163265307</v>
      </c>
      <c r="N109" s="2300">
        <f>(-0.214*(N108^2)-21.991*N108+4665)*(10^(-4))/N101</f>
        <v>0.9520408163265307</v>
      </c>
    </row>
    <row r="110" spans="1:14">
      <c r="A110" s="3532" t="s">
        <v>2558</v>
      </c>
      <c r="B110" s="3532"/>
      <c r="C110" s="3532"/>
      <c r="D110" s="3532"/>
      <c r="E110" s="3532"/>
      <c r="F110" s="3532"/>
      <c r="G110" s="3532"/>
      <c r="H110" s="3532"/>
      <c r="I110" s="3532"/>
      <c r="J110" s="3532"/>
      <c r="K110" s="2303"/>
      <c r="L110" s="2303"/>
      <c r="M110" s="2303"/>
      <c r="N110" s="2303"/>
    </row>
    <row r="112" spans="1:14" ht="13.5" thickBot="1"/>
    <row r="113" spans="1:13" ht="25.5" thickBot="1">
      <c r="A113" s="824" t="s">
        <v>2559</v>
      </c>
      <c r="B113" s="1178">
        <f>G3</f>
        <v>0.49</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0.92889999999999995</v>
      </c>
      <c r="C115" s="831">
        <f>B115</f>
        <v>0.92889999999999995</v>
      </c>
      <c r="D115" s="831">
        <f>ROUND(0.8331-0.0109*B113,4)</f>
        <v>0.82779999999999998</v>
      </c>
      <c r="E115" s="831">
        <f>D115</f>
        <v>0.82779999999999998</v>
      </c>
      <c r="F115" s="831">
        <f>E115</f>
        <v>0.82779999999999998</v>
      </c>
      <c r="G115" s="831">
        <f>F115</f>
        <v>0.82779999999999998</v>
      </c>
      <c r="H115" s="831">
        <f>G115</f>
        <v>0.82779999999999998</v>
      </c>
      <c r="I115" s="831">
        <f>ROUND(0.689-0.0155*B113,4)</f>
        <v>0.68140000000000001</v>
      </c>
      <c r="J115" s="831">
        <f t="shared" ref="J115:M118" si="33">I115</f>
        <v>0.68140000000000001</v>
      </c>
      <c r="K115" s="831">
        <f t="shared" si="33"/>
        <v>0.68140000000000001</v>
      </c>
      <c r="L115" s="831">
        <f t="shared" si="33"/>
        <v>0.68140000000000001</v>
      </c>
      <c r="M115" s="832">
        <f t="shared" si="33"/>
        <v>0.68140000000000001</v>
      </c>
    </row>
    <row r="116" spans="1:13">
      <c r="A116" s="830" t="s">
        <v>2459</v>
      </c>
      <c r="B116" s="831">
        <f>ROUND(0.949-0.012*B113,4)</f>
        <v>0.94310000000000005</v>
      </c>
      <c r="C116" s="831">
        <f>B116</f>
        <v>0.94310000000000005</v>
      </c>
      <c r="D116" s="831">
        <f>ROUND(0.8567-0.013*B113,4)</f>
        <v>0.85029999999999994</v>
      </c>
      <c r="E116" s="831">
        <f t="shared" ref="E116:H117" si="34">D116</f>
        <v>0.85029999999999994</v>
      </c>
      <c r="F116" s="831">
        <f t="shared" si="34"/>
        <v>0.85029999999999994</v>
      </c>
      <c r="G116" s="831">
        <f t="shared" si="34"/>
        <v>0.85029999999999994</v>
      </c>
      <c r="H116" s="831">
        <f t="shared" si="34"/>
        <v>0.85029999999999994</v>
      </c>
      <c r="I116" s="831">
        <f>ROUND(0.7694-0.014*B113,4)</f>
        <v>0.76249999999999996</v>
      </c>
      <c r="J116" s="831">
        <f t="shared" si="33"/>
        <v>0.76249999999999996</v>
      </c>
      <c r="K116" s="831">
        <f t="shared" si="33"/>
        <v>0.76249999999999996</v>
      </c>
      <c r="L116" s="831">
        <f t="shared" si="33"/>
        <v>0.76249999999999996</v>
      </c>
      <c r="M116" s="832">
        <f t="shared" si="33"/>
        <v>0.76249999999999996</v>
      </c>
    </row>
    <row r="117" spans="1:13">
      <c r="A117" s="830" t="s">
        <v>2460</v>
      </c>
      <c r="B117" s="831">
        <f>ROUND(0.8808-0.006*B113,4)</f>
        <v>0.87790000000000001</v>
      </c>
      <c r="C117" s="831">
        <f>B117</f>
        <v>0.87790000000000001</v>
      </c>
      <c r="D117" s="831">
        <f>ROUND(0.8748-0.008*B113,4)</f>
        <v>0.87090000000000001</v>
      </c>
      <c r="E117" s="831">
        <f t="shared" si="34"/>
        <v>0.87090000000000001</v>
      </c>
      <c r="F117" s="831">
        <f t="shared" si="34"/>
        <v>0.87090000000000001</v>
      </c>
      <c r="G117" s="831">
        <f t="shared" si="34"/>
        <v>0.87090000000000001</v>
      </c>
      <c r="H117" s="831">
        <f t="shared" si="34"/>
        <v>0.87090000000000001</v>
      </c>
      <c r="I117" s="831">
        <f>ROUND(0.7412-0.0095*B113,4)</f>
        <v>0.73650000000000004</v>
      </c>
      <c r="J117" s="831">
        <f t="shared" si="33"/>
        <v>0.73650000000000004</v>
      </c>
      <c r="K117" s="831">
        <f t="shared" si="33"/>
        <v>0.73650000000000004</v>
      </c>
      <c r="L117" s="831">
        <f t="shared" si="33"/>
        <v>0.73650000000000004</v>
      </c>
      <c r="M117" s="832">
        <f t="shared" si="33"/>
        <v>0.73650000000000004</v>
      </c>
    </row>
    <row r="118" spans="1:13" ht="13.5" thickBot="1">
      <c r="A118" s="670" t="s">
        <v>2461</v>
      </c>
      <c r="B118" s="833">
        <f>ROUND(0.7275-0.01*B113,4)</f>
        <v>0.72260000000000002</v>
      </c>
      <c r="C118" s="833">
        <f>B118</f>
        <v>0.72260000000000002</v>
      </c>
      <c r="D118" s="833">
        <f>ROUND(0.7043-0.012*B113,4)</f>
        <v>0.69840000000000002</v>
      </c>
      <c r="E118" s="833">
        <f>D118</f>
        <v>0.69840000000000002</v>
      </c>
      <c r="F118" s="833">
        <f>E118</f>
        <v>0.69840000000000002</v>
      </c>
      <c r="G118" s="833">
        <f>ROUND(0.6299-0.0122*B113,4)</f>
        <v>0.62390000000000001</v>
      </c>
      <c r="H118" s="833">
        <f>G118</f>
        <v>0.62390000000000001</v>
      </c>
      <c r="I118" s="833">
        <f>ROUND(0.5667-0.0136*B113,4)</f>
        <v>0.56000000000000005</v>
      </c>
      <c r="J118" s="833">
        <f t="shared" si="33"/>
        <v>0.56000000000000005</v>
      </c>
      <c r="K118" s="833">
        <f t="shared" si="33"/>
        <v>0.56000000000000005</v>
      </c>
      <c r="L118" s="833">
        <f t="shared" si="33"/>
        <v>0.56000000000000005</v>
      </c>
      <c r="M118" s="834">
        <f t="shared" si="33"/>
        <v>0.56000000000000005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62" t="s">
        <v>2955</v>
      </c>
      <c r="B20" s="3555" t="s">
        <v>2956</v>
      </c>
      <c r="C20" s="3213" t="s">
        <v>2957</v>
      </c>
      <c r="D20" s="3214"/>
      <c r="E20" s="3215">
        <v>1</v>
      </c>
      <c r="F20" s="3216" t="s">
        <v>2958</v>
      </c>
      <c r="G20" s="807"/>
      <c r="H20" s="801"/>
      <c r="I20" s="801"/>
    </row>
    <row r="21" spans="1:13" s="808" customFormat="1" ht="19.5" customHeight="1">
      <c r="A21" s="3563"/>
      <c r="B21" s="3556"/>
      <c r="C21" s="805" t="s">
        <v>2959</v>
      </c>
      <c r="D21" s="806"/>
      <c r="E21" s="3217">
        <v>1</v>
      </c>
      <c r="F21" s="3216" t="s">
        <v>2960</v>
      </c>
      <c r="G21" s="807"/>
      <c r="H21" s="801"/>
      <c r="I21" s="801"/>
    </row>
    <row r="22" spans="1:13" s="808" customFormat="1" ht="19.5" customHeight="1">
      <c r="A22" s="3563"/>
      <c r="B22" s="3556"/>
      <c r="C22" s="805" t="s">
        <v>2961</v>
      </c>
      <c r="D22" s="806"/>
      <c r="E22" s="3217">
        <v>0.9</v>
      </c>
      <c r="F22" s="3216" t="s">
        <v>2962</v>
      </c>
      <c r="G22" s="807"/>
      <c r="H22" s="801"/>
      <c r="I22" s="801"/>
    </row>
    <row r="23" spans="1:13" s="808" customFormat="1" ht="19.5" customHeight="1">
      <c r="A23" s="3563"/>
      <c r="B23" s="3556"/>
      <c r="C23" s="805" t="s">
        <v>2963</v>
      </c>
      <c r="D23" s="806"/>
      <c r="E23" s="3217">
        <v>0.9</v>
      </c>
      <c r="F23" s="3216" t="s">
        <v>2964</v>
      </c>
      <c r="G23" s="807"/>
      <c r="H23" s="801"/>
      <c r="I23" s="801"/>
    </row>
    <row r="24" spans="1:13" s="808" customFormat="1" ht="19.5" customHeight="1">
      <c r="A24" s="3563"/>
      <c r="B24" s="3556"/>
      <c r="C24" s="805" t="s">
        <v>2965</v>
      </c>
      <c r="D24" s="806"/>
      <c r="E24" s="3217">
        <v>0.8</v>
      </c>
      <c r="F24" s="3216" t="s">
        <v>2966</v>
      </c>
      <c r="G24" s="807"/>
      <c r="H24" s="801"/>
      <c r="I24" s="801"/>
    </row>
    <row r="25" spans="1:13" s="808" customFormat="1" ht="19.5" customHeight="1" thickBot="1">
      <c r="A25" s="3564"/>
      <c r="B25" s="3557"/>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58" t="s">
        <v>2972</v>
      </c>
      <c r="B27" s="3555" t="s">
        <v>2972</v>
      </c>
      <c r="C27" s="3213" t="s">
        <v>2973</v>
      </c>
      <c r="D27" s="3214"/>
      <c r="E27" s="3215">
        <v>1</v>
      </c>
      <c r="F27" s="3216" t="s">
        <v>2974</v>
      </c>
      <c r="G27" s="807"/>
      <c r="H27" s="801"/>
      <c r="I27" s="801"/>
    </row>
    <row r="28" spans="1:13" s="808" customFormat="1" ht="19.5" customHeight="1">
      <c r="A28" s="3559"/>
      <c r="B28" s="3556"/>
      <c r="C28" s="805" t="s">
        <v>2975</v>
      </c>
      <c r="D28" s="806"/>
      <c r="E28" s="3217">
        <v>1</v>
      </c>
      <c r="F28" s="3216" t="s">
        <v>2976</v>
      </c>
      <c r="G28" s="807"/>
      <c r="H28" s="801"/>
      <c r="I28" s="801"/>
    </row>
    <row r="29" spans="1:13" s="808" customFormat="1" ht="19.5" customHeight="1">
      <c r="A29" s="3559"/>
      <c r="B29" s="3556"/>
      <c r="C29" s="805" t="s">
        <v>2977</v>
      </c>
      <c r="D29" s="806"/>
      <c r="E29" s="3217">
        <v>0.8</v>
      </c>
      <c r="F29" s="3216" t="s">
        <v>2978</v>
      </c>
      <c r="G29" s="807"/>
      <c r="H29" s="801"/>
      <c r="I29" s="801"/>
    </row>
    <row r="30" spans="1:13" s="808" customFormat="1" ht="19.5" customHeight="1">
      <c r="A30" s="3559"/>
      <c r="B30" s="3556"/>
      <c r="C30" s="805" t="s">
        <v>2979</v>
      </c>
      <c r="D30" s="806"/>
      <c r="E30" s="3217">
        <v>0.8</v>
      </c>
      <c r="F30" s="3216" t="s">
        <v>2980</v>
      </c>
      <c r="G30" s="807"/>
      <c r="H30" s="801"/>
      <c r="I30" s="801"/>
    </row>
    <row r="31" spans="1:13" s="808" customFormat="1" ht="19.5" customHeight="1">
      <c r="A31" s="3559"/>
      <c r="B31" s="3556"/>
      <c r="C31" s="805" t="s">
        <v>2981</v>
      </c>
      <c r="D31" s="806"/>
      <c r="E31" s="3217">
        <v>0.8</v>
      </c>
      <c r="F31" s="3216" t="s">
        <v>2982</v>
      </c>
      <c r="G31" s="807"/>
      <c r="H31" s="801"/>
      <c r="I31" s="801"/>
    </row>
    <row r="32" spans="1:13" s="808" customFormat="1" ht="19.5" customHeight="1">
      <c r="A32" s="3559"/>
      <c r="B32" s="3556"/>
      <c r="C32" s="805" t="s">
        <v>2983</v>
      </c>
      <c r="D32" s="806"/>
      <c r="E32" s="3217">
        <v>0.7</v>
      </c>
      <c r="F32" s="3216" t="s">
        <v>2984</v>
      </c>
      <c r="G32" s="807"/>
      <c r="H32" s="801"/>
      <c r="I32" s="801"/>
    </row>
    <row r="33" spans="1:9" s="808" customFormat="1" ht="19.5" customHeight="1">
      <c r="A33" s="3559"/>
      <c r="B33" s="3556"/>
      <c r="C33" s="805" t="s">
        <v>2985</v>
      </c>
      <c r="D33" s="806"/>
      <c r="E33" s="3217">
        <v>0.8</v>
      </c>
      <c r="F33" s="3216" t="s">
        <v>2986</v>
      </c>
      <c r="G33" s="807"/>
      <c r="H33" s="801"/>
      <c r="I33" s="801"/>
    </row>
    <row r="34" spans="1:9" s="808" customFormat="1" ht="19.5" customHeight="1">
      <c r="A34" s="3559"/>
      <c r="B34" s="3556"/>
      <c r="C34" s="805" t="s">
        <v>2987</v>
      </c>
      <c r="D34" s="806"/>
      <c r="E34" s="3217">
        <v>0.6</v>
      </c>
      <c r="F34" s="3216" t="s">
        <v>2988</v>
      </c>
      <c r="G34" s="807"/>
      <c r="H34" s="801"/>
      <c r="I34" s="801"/>
    </row>
    <row r="35" spans="1:9" s="808" customFormat="1" ht="19.5" customHeight="1">
      <c r="A35" s="3559"/>
      <c r="B35" s="3556"/>
      <c r="C35" s="805" t="s">
        <v>2989</v>
      </c>
      <c r="D35" s="806"/>
      <c r="E35" s="3217">
        <v>0.2</v>
      </c>
      <c r="F35" s="3216" t="s">
        <v>2990</v>
      </c>
      <c r="G35" s="807"/>
      <c r="H35" s="801"/>
      <c r="I35" s="801"/>
    </row>
    <row r="36" spans="1:9" s="808" customFormat="1" ht="19.5" customHeight="1">
      <c r="A36" s="3559"/>
      <c r="B36" s="3556"/>
      <c r="C36" s="805" t="s">
        <v>2991</v>
      </c>
      <c r="D36" s="806"/>
      <c r="E36" s="3217">
        <v>0.2</v>
      </c>
      <c r="F36" s="3216" t="s">
        <v>2992</v>
      </c>
      <c r="G36" s="807"/>
      <c r="H36" s="801"/>
      <c r="I36" s="801"/>
    </row>
    <row r="37" spans="1:9" s="808" customFormat="1" ht="19.5" customHeight="1">
      <c r="A37" s="3559"/>
      <c r="B37" s="3561" t="s">
        <v>2993</v>
      </c>
      <c r="C37" s="805" t="s">
        <v>2994</v>
      </c>
      <c r="D37" s="806"/>
      <c r="E37" s="3217">
        <v>0.6</v>
      </c>
      <c r="F37" s="3216" t="s">
        <v>2995</v>
      </c>
      <c r="G37" s="807"/>
      <c r="H37" s="801"/>
      <c r="I37" s="801"/>
    </row>
    <row r="38" spans="1:9" s="808" customFormat="1" ht="19.5" customHeight="1">
      <c r="A38" s="3559"/>
      <c r="B38" s="3556"/>
      <c r="C38" s="805" t="s">
        <v>2996</v>
      </c>
      <c r="D38" s="806"/>
      <c r="E38" s="3217">
        <v>0.6</v>
      </c>
      <c r="F38" s="3216" t="s">
        <v>2997</v>
      </c>
      <c r="G38" s="807"/>
      <c r="H38" s="801"/>
      <c r="I38" s="801"/>
    </row>
    <row r="39" spans="1:9" s="808" customFormat="1" ht="19.5" customHeight="1" thickBot="1">
      <c r="A39" s="3560"/>
      <c r="B39" s="3557"/>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62" t="s">
        <v>3003</v>
      </c>
      <c r="B41" s="3555" t="s">
        <v>3004</v>
      </c>
      <c r="C41" s="3213" t="s">
        <v>3005</v>
      </c>
      <c r="D41" s="3214"/>
      <c r="E41" s="3215">
        <v>1</v>
      </c>
      <c r="F41" s="3216" t="s">
        <v>3006</v>
      </c>
      <c r="G41" s="807"/>
      <c r="H41" s="801"/>
      <c r="I41" s="801"/>
    </row>
    <row r="42" spans="1:9" s="808" customFormat="1" ht="19.5" customHeight="1">
      <c r="A42" s="3563"/>
      <c r="B42" s="3556"/>
      <c r="C42" s="805" t="s">
        <v>3007</v>
      </c>
      <c r="D42" s="806"/>
      <c r="E42" s="3217">
        <v>1</v>
      </c>
      <c r="F42" s="3216" t="s">
        <v>3008</v>
      </c>
      <c r="G42" s="807"/>
      <c r="H42" s="801"/>
      <c r="I42" s="801"/>
    </row>
    <row r="43" spans="1:9" s="808" customFormat="1" ht="19.5" customHeight="1">
      <c r="A43" s="3563"/>
      <c r="B43" s="3565"/>
      <c r="C43" s="805" t="s">
        <v>3009</v>
      </c>
      <c r="D43" s="806"/>
      <c r="E43" s="3217">
        <v>1.5</v>
      </c>
      <c r="F43" s="3216" t="s">
        <v>3010</v>
      </c>
      <c r="G43" s="807"/>
      <c r="H43" s="801"/>
      <c r="I43" s="801"/>
    </row>
    <row r="44" spans="1:9" s="808" customFormat="1" ht="19.5" customHeight="1">
      <c r="A44" s="3563"/>
      <c r="B44" s="3226" t="s">
        <v>2972</v>
      </c>
      <c r="C44" s="805" t="s">
        <v>3011</v>
      </c>
      <c r="D44" s="806"/>
      <c r="E44" s="3217">
        <v>2</v>
      </c>
      <c r="F44" s="3216" t="s">
        <v>3012</v>
      </c>
      <c r="G44" s="807"/>
      <c r="H44" s="801"/>
      <c r="I44" s="801"/>
    </row>
    <row r="45" spans="1:9" s="808" customFormat="1" ht="19.5" customHeight="1">
      <c r="A45" s="3563"/>
      <c r="B45" s="3561" t="s">
        <v>3013</v>
      </c>
      <c r="C45" s="805" t="s">
        <v>3014</v>
      </c>
      <c r="D45" s="806"/>
      <c r="E45" s="3217">
        <v>1</v>
      </c>
      <c r="F45" s="3216" t="s">
        <v>3015</v>
      </c>
      <c r="G45" s="807"/>
      <c r="H45" s="801"/>
      <c r="I45" s="801"/>
    </row>
    <row r="46" spans="1:9" s="808" customFormat="1" ht="19.5" customHeight="1">
      <c r="A46" s="3563"/>
      <c r="B46" s="3556"/>
      <c r="C46" s="805" t="s">
        <v>3016</v>
      </c>
      <c r="D46" s="806"/>
      <c r="E46" s="3217">
        <v>1</v>
      </c>
      <c r="F46" s="3216" t="s">
        <v>3017</v>
      </c>
      <c r="G46" s="807"/>
      <c r="H46" s="801"/>
      <c r="I46" s="801"/>
    </row>
    <row r="47" spans="1:9" s="808" customFormat="1" ht="19.5" customHeight="1">
      <c r="A47" s="3563"/>
      <c r="B47" s="3556"/>
      <c r="C47" s="805" t="s">
        <v>3018</v>
      </c>
      <c r="D47" s="806"/>
      <c r="E47" s="3217">
        <v>1</v>
      </c>
      <c r="F47" s="3216" t="s">
        <v>3019</v>
      </c>
      <c r="G47" s="807"/>
      <c r="H47" s="801"/>
      <c r="I47" s="801"/>
    </row>
    <row r="48" spans="1:9" s="808" customFormat="1" ht="19.5" customHeight="1">
      <c r="A48" s="3563"/>
      <c r="B48" s="3556"/>
      <c r="C48" s="805" t="s">
        <v>3020</v>
      </c>
      <c r="D48" s="806"/>
      <c r="E48" s="3217">
        <v>1</v>
      </c>
      <c r="F48" s="3216" t="s">
        <v>3021</v>
      </c>
      <c r="G48" s="807"/>
      <c r="H48" s="801"/>
      <c r="I48" s="801"/>
    </row>
    <row r="49" spans="1:9" s="808" customFormat="1" ht="19.5" customHeight="1">
      <c r="A49" s="3563"/>
      <c r="B49" s="3556"/>
      <c r="C49" s="805" t="s">
        <v>3022</v>
      </c>
      <c r="D49" s="806"/>
      <c r="E49" s="3217">
        <v>1</v>
      </c>
      <c r="F49" s="3216" t="s">
        <v>3023</v>
      </c>
      <c r="G49" s="807"/>
      <c r="H49" s="801"/>
      <c r="I49" s="801"/>
    </row>
    <row r="50" spans="1:9" s="808" customFormat="1" ht="19.5" customHeight="1">
      <c r="A50" s="3563"/>
      <c r="B50" s="3556"/>
      <c r="C50" s="805" t="s">
        <v>3024</v>
      </c>
      <c r="D50" s="806"/>
      <c r="E50" s="3217">
        <v>1</v>
      </c>
      <c r="F50" s="3216" t="s">
        <v>3025</v>
      </c>
      <c r="G50" s="807"/>
      <c r="H50" s="801"/>
      <c r="I50" s="801"/>
    </row>
    <row r="51" spans="1:9" s="808" customFormat="1" ht="19.5" customHeight="1" thickBot="1">
      <c r="A51" s="3564"/>
      <c r="B51" s="3557"/>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61" t="s">
        <v>3029</v>
      </c>
      <c r="C73" s="3206" t="s">
        <v>3030</v>
      </c>
      <c r="D73" s="3206" t="s">
        <v>3031</v>
      </c>
      <c r="E73" s="3227">
        <v>0.2</v>
      </c>
      <c r="F73" s="3226">
        <v>25</v>
      </c>
    </row>
    <row r="74" spans="1:7" s="801" customFormat="1" ht="24">
      <c r="A74" s="3226">
        <v>2</v>
      </c>
      <c r="B74" s="3556"/>
      <c r="C74" s="3206" t="s">
        <v>3032</v>
      </c>
      <c r="D74" s="3206" t="s">
        <v>3033</v>
      </c>
      <c r="E74" s="3227">
        <v>0.2</v>
      </c>
      <c r="F74" s="3226">
        <v>25</v>
      </c>
    </row>
    <row r="75" spans="1:7" s="801" customFormat="1" ht="24">
      <c r="A75" s="3226">
        <v>3</v>
      </c>
      <c r="B75" s="3556"/>
      <c r="C75" s="3206" t="s">
        <v>3034</v>
      </c>
      <c r="D75" s="3206" t="s">
        <v>3035</v>
      </c>
      <c r="E75" s="3227">
        <v>0.2</v>
      </c>
      <c r="F75" s="3226">
        <v>25</v>
      </c>
    </row>
    <row r="76" spans="1:7" s="801" customFormat="1" ht="13.5">
      <c r="A76" s="3226">
        <v>4</v>
      </c>
      <c r="B76" s="3556"/>
      <c r="C76" s="3206" t="s">
        <v>3036</v>
      </c>
      <c r="D76" s="3206" t="s">
        <v>3037</v>
      </c>
      <c r="E76" s="3227">
        <v>0.15</v>
      </c>
      <c r="F76" s="3226">
        <v>20</v>
      </c>
    </row>
    <row r="77" spans="1:7" s="801" customFormat="1" ht="24">
      <c r="A77" s="3226">
        <v>5</v>
      </c>
      <c r="B77" s="3556"/>
      <c r="C77" s="3206" t="s">
        <v>3038</v>
      </c>
      <c r="D77" s="3206" t="s">
        <v>3039</v>
      </c>
      <c r="E77" s="3227">
        <v>0.15</v>
      </c>
      <c r="F77" s="3226">
        <v>20</v>
      </c>
    </row>
    <row r="78" spans="1:7" s="801" customFormat="1" ht="24">
      <c r="A78" s="3226">
        <v>6</v>
      </c>
      <c r="B78" s="3556"/>
      <c r="C78" s="3206" t="s">
        <v>3040</v>
      </c>
      <c r="D78" s="3206" t="s">
        <v>3041</v>
      </c>
      <c r="E78" s="3227">
        <v>0.15</v>
      </c>
      <c r="F78" s="3226">
        <v>20</v>
      </c>
    </row>
    <row r="79" spans="1:7" s="801" customFormat="1" ht="24">
      <c r="A79" s="3226">
        <v>7</v>
      </c>
      <c r="B79" s="3556"/>
      <c r="C79" s="3206" t="s">
        <v>3042</v>
      </c>
      <c r="D79" s="3206" t="s">
        <v>3043</v>
      </c>
      <c r="E79" s="3227">
        <v>0.15</v>
      </c>
      <c r="F79" s="3226">
        <v>20</v>
      </c>
    </row>
    <row r="80" spans="1:7" s="801" customFormat="1" ht="24">
      <c r="A80" s="3226">
        <v>8</v>
      </c>
      <c r="B80" s="3556"/>
      <c r="C80" s="3206" t="s">
        <v>3044</v>
      </c>
      <c r="D80" s="3206" t="s">
        <v>3045</v>
      </c>
      <c r="E80" s="3227">
        <v>0.1</v>
      </c>
      <c r="F80" s="3226">
        <v>15</v>
      </c>
    </row>
    <row r="81" spans="1:6" s="801" customFormat="1" ht="24">
      <c r="A81" s="3226">
        <v>9</v>
      </c>
      <c r="B81" s="3556"/>
      <c r="C81" s="3206" t="s">
        <v>3046</v>
      </c>
      <c r="D81" s="3206" t="s">
        <v>3047</v>
      </c>
      <c r="E81" s="3227">
        <v>0.1</v>
      </c>
      <c r="F81" s="3226">
        <v>15</v>
      </c>
    </row>
    <row r="82" spans="1:6" s="801" customFormat="1" ht="24">
      <c r="A82" s="3226">
        <v>10</v>
      </c>
      <c r="B82" s="3556"/>
      <c r="C82" s="3206" t="s">
        <v>3048</v>
      </c>
      <c r="D82" s="3206" t="s">
        <v>3049</v>
      </c>
      <c r="E82" s="3227">
        <v>0.1</v>
      </c>
      <c r="F82" s="3226">
        <v>15</v>
      </c>
    </row>
    <row r="83" spans="1:6" s="801" customFormat="1" ht="24">
      <c r="A83" s="3226">
        <v>11</v>
      </c>
      <c r="B83" s="3556"/>
      <c r="C83" s="3206" t="s">
        <v>3050</v>
      </c>
      <c r="D83" s="3206" t="s">
        <v>3051</v>
      </c>
      <c r="E83" s="3227">
        <v>0.1</v>
      </c>
      <c r="F83" s="3226">
        <v>15</v>
      </c>
    </row>
    <row r="84" spans="1:6" s="801" customFormat="1" ht="24">
      <c r="A84" s="3226">
        <v>12</v>
      </c>
      <c r="B84" s="3556"/>
      <c r="C84" s="3206" t="s">
        <v>3052</v>
      </c>
      <c r="D84" s="3206" t="s">
        <v>3053</v>
      </c>
      <c r="E84" s="3227">
        <v>0.1</v>
      </c>
      <c r="F84" s="3226">
        <v>15</v>
      </c>
    </row>
    <row r="85" spans="1:6" s="801" customFormat="1" ht="13.5">
      <c r="A85" s="3226">
        <v>13</v>
      </c>
      <c r="B85" s="3556"/>
      <c r="C85" s="3206" t="s">
        <v>3054</v>
      </c>
      <c r="D85" s="3206" t="s">
        <v>3055</v>
      </c>
      <c r="E85" s="3227">
        <v>0.1</v>
      </c>
      <c r="F85" s="3226">
        <v>15</v>
      </c>
    </row>
    <row r="86" spans="1:6" s="801" customFormat="1" ht="13.5">
      <c r="A86" s="3226">
        <v>14</v>
      </c>
      <c r="B86" s="3556"/>
      <c r="C86" s="3206" t="s">
        <v>3056</v>
      </c>
      <c r="D86" s="3206" t="s">
        <v>3057</v>
      </c>
      <c r="E86" s="3227">
        <v>0.1</v>
      </c>
      <c r="F86" s="3226">
        <v>15</v>
      </c>
    </row>
    <row r="87" spans="1:6" s="801" customFormat="1" ht="13.5">
      <c r="A87" s="3226">
        <v>15</v>
      </c>
      <c r="B87" s="3556"/>
      <c r="C87" s="3206" t="s">
        <v>3058</v>
      </c>
      <c r="D87" s="3206" t="s">
        <v>3059</v>
      </c>
      <c r="E87" s="3227">
        <v>0.1</v>
      </c>
      <c r="F87" s="3226">
        <v>15</v>
      </c>
    </row>
    <row r="88" spans="1:6" s="801" customFormat="1" ht="24">
      <c r="A88" s="3226">
        <v>16</v>
      </c>
      <c r="B88" s="3556"/>
      <c r="C88" s="3206" t="s">
        <v>3060</v>
      </c>
      <c r="D88" s="3206" t="s">
        <v>3061</v>
      </c>
      <c r="E88" s="3227">
        <v>0.1</v>
      </c>
      <c r="F88" s="3226">
        <v>15</v>
      </c>
    </row>
    <row r="89" spans="1:6" s="801" customFormat="1" ht="24">
      <c r="A89" s="3226">
        <v>17</v>
      </c>
      <c r="B89" s="3565"/>
      <c r="C89" s="3206" t="s">
        <v>3062</v>
      </c>
      <c r="D89" s="3206" t="s">
        <v>3063</v>
      </c>
      <c r="E89" s="3227">
        <v>0.1</v>
      </c>
      <c r="F89" s="3226">
        <v>15</v>
      </c>
    </row>
    <row r="90" spans="1:6" s="801" customFormat="1" ht="13.5">
      <c r="A90" s="3226">
        <v>18</v>
      </c>
      <c r="B90" s="3561" t="s">
        <v>3064</v>
      </c>
      <c r="C90" s="3206" t="s">
        <v>3065</v>
      </c>
      <c r="D90" s="3206" t="s">
        <v>3066</v>
      </c>
      <c r="E90" s="3227">
        <v>0.2</v>
      </c>
      <c r="F90" s="3226">
        <v>25</v>
      </c>
    </row>
    <row r="91" spans="1:6" s="801" customFormat="1" ht="24">
      <c r="A91" s="3226">
        <v>19</v>
      </c>
      <c r="B91" s="3556"/>
      <c r="C91" s="3206" t="s">
        <v>3067</v>
      </c>
      <c r="D91" s="3206" t="s">
        <v>3068</v>
      </c>
      <c r="E91" s="3227">
        <v>0.2</v>
      </c>
      <c r="F91" s="3226">
        <v>25</v>
      </c>
    </row>
    <row r="92" spans="1:6" s="801" customFormat="1" ht="13.5">
      <c r="A92" s="3226">
        <v>20</v>
      </c>
      <c r="B92" s="3556"/>
      <c r="C92" s="3206" t="s">
        <v>3069</v>
      </c>
      <c r="D92" s="3206" t="s">
        <v>3070</v>
      </c>
      <c r="E92" s="3227">
        <v>0.15</v>
      </c>
      <c r="F92" s="3226">
        <v>20</v>
      </c>
    </row>
    <row r="93" spans="1:6" s="801" customFormat="1" ht="24">
      <c r="A93" s="3226">
        <v>21</v>
      </c>
      <c r="B93" s="3556"/>
      <c r="C93" s="3206" t="s">
        <v>3071</v>
      </c>
      <c r="D93" s="3206" t="s">
        <v>3072</v>
      </c>
      <c r="E93" s="3227">
        <v>0.15</v>
      </c>
      <c r="F93" s="3226">
        <v>20</v>
      </c>
    </row>
    <row r="94" spans="1:6" s="801" customFormat="1" ht="24">
      <c r="A94" s="3226">
        <v>22</v>
      </c>
      <c r="B94" s="3556"/>
      <c r="C94" s="3206" t="s">
        <v>3073</v>
      </c>
      <c r="D94" s="3206" t="s">
        <v>3074</v>
      </c>
      <c r="E94" s="3227">
        <v>0.15</v>
      </c>
      <c r="F94" s="3226">
        <v>20</v>
      </c>
    </row>
    <row r="95" spans="1:6" s="801" customFormat="1" ht="36">
      <c r="A95" s="3226">
        <v>23</v>
      </c>
      <c r="B95" s="3556"/>
      <c r="C95" s="3206" t="s">
        <v>3075</v>
      </c>
      <c r="D95" s="3206" t="s">
        <v>3076</v>
      </c>
      <c r="E95" s="3227">
        <v>0.15</v>
      </c>
      <c r="F95" s="3226">
        <v>20</v>
      </c>
    </row>
    <row r="96" spans="1:6" s="801" customFormat="1" ht="13.5">
      <c r="A96" s="3226">
        <v>24</v>
      </c>
      <c r="B96" s="3556"/>
      <c r="C96" s="3206" t="s">
        <v>3077</v>
      </c>
      <c r="D96" s="3206" t="s">
        <v>3078</v>
      </c>
      <c r="E96" s="3227">
        <v>0.1</v>
      </c>
      <c r="F96" s="3226">
        <v>15</v>
      </c>
    </row>
    <row r="97" spans="1:6" s="801" customFormat="1" ht="24">
      <c r="A97" s="3226">
        <v>25</v>
      </c>
      <c r="B97" s="3556"/>
      <c r="C97" s="3206" t="s">
        <v>3079</v>
      </c>
      <c r="D97" s="3206" t="s">
        <v>3080</v>
      </c>
      <c r="E97" s="3227">
        <v>0.1</v>
      </c>
      <c r="F97" s="3226">
        <v>15</v>
      </c>
    </row>
    <row r="98" spans="1:6" s="801" customFormat="1" ht="24">
      <c r="A98" s="3226">
        <v>26</v>
      </c>
      <c r="B98" s="3556"/>
      <c r="C98" s="3206" t="s">
        <v>3081</v>
      </c>
      <c r="D98" s="3206" t="s">
        <v>3082</v>
      </c>
      <c r="E98" s="3227">
        <v>0.1</v>
      </c>
      <c r="F98" s="3226">
        <v>15</v>
      </c>
    </row>
    <row r="99" spans="1:6" s="801" customFormat="1" ht="24">
      <c r="A99" s="3226">
        <v>27</v>
      </c>
      <c r="B99" s="3556"/>
      <c r="C99" s="3206" t="s">
        <v>3083</v>
      </c>
      <c r="D99" s="3206" t="s">
        <v>3084</v>
      </c>
      <c r="E99" s="3227">
        <v>0.1</v>
      </c>
      <c r="F99" s="3226">
        <v>15</v>
      </c>
    </row>
    <row r="100" spans="1:6" s="801" customFormat="1" ht="24">
      <c r="A100" s="3226">
        <v>28</v>
      </c>
      <c r="B100" s="3556"/>
      <c r="C100" s="3206" t="s">
        <v>3085</v>
      </c>
      <c r="D100" s="3206" t="s">
        <v>3086</v>
      </c>
      <c r="E100" s="3227">
        <v>0.1</v>
      </c>
      <c r="F100" s="3226">
        <v>15</v>
      </c>
    </row>
    <row r="101" spans="1:6" s="801" customFormat="1" ht="24">
      <c r="A101" s="3226">
        <v>29</v>
      </c>
      <c r="B101" s="3556"/>
      <c r="C101" s="3206" t="s">
        <v>3087</v>
      </c>
      <c r="D101" s="3206" t="s">
        <v>3088</v>
      </c>
      <c r="E101" s="3227">
        <v>0.1</v>
      </c>
      <c r="F101" s="3226">
        <v>15</v>
      </c>
    </row>
    <row r="102" spans="1:6" s="801" customFormat="1" ht="24">
      <c r="A102" s="3226">
        <v>30</v>
      </c>
      <c r="B102" s="3556"/>
      <c r="C102" s="3206" t="s">
        <v>3089</v>
      </c>
      <c r="D102" s="3206" t="s">
        <v>3090</v>
      </c>
      <c r="E102" s="3227">
        <v>0.1</v>
      </c>
      <c r="F102" s="3226">
        <v>15</v>
      </c>
    </row>
    <row r="103" spans="1:6" s="801" customFormat="1" ht="24">
      <c r="A103" s="3226">
        <v>31</v>
      </c>
      <c r="B103" s="3556"/>
      <c r="C103" s="3206" t="s">
        <v>3091</v>
      </c>
      <c r="D103" s="3206" t="s">
        <v>3092</v>
      </c>
      <c r="E103" s="3227">
        <v>0.1</v>
      </c>
      <c r="F103" s="3226">
        <v>15</v>
      </c>
    </row>
    <row r="104" spans="1:6" s="801" customFormat="1" ht="24">
      <c r="A104" s="3226">
        <v>32</v>
      </c>
      <c r="B104" s="3556"/>
      <c r="C104" s="3206" t="s">
        <v>3093</v>
      </c>
      <c r="D104" s="3206" t="s">
        <v>3094</v>
      </c>
      <c r="E104" s="3227">
        <v>0.1</v>
      </c>
      <c r="F104" s="3226">
        <v>15</v>
      </c>
    </row>
    <row r="105" spans="1:6" s="801" customFormat="1" ht="24">
      <c r="A105" s="3226">
        <v>33</v>
      </c>
      <c r="B105" s="3556"/>
      <c r="C105" s="3206" t="s">
        <v>3095</v>
      </c>
      <c r="D105" s="3206" t="s">
        <v>3096</v>
      </c>
      <c r="E105" s="3227">
        <v>0.1</v>
      </c>
      <c r="F105" s="3226">
        <v>15</v>
      </c>
    </row>
    <row r="106" spans="1:6" s="801" customFormat="1" ht="24">
      <c r="A106" s="3226">
        <v>34</v>
      </c>
      <c r="B106" s="3565"/>
      <c r="C106" s="3206" t="s">
        <v>3097</v>
      </c>
      <c r="D106" s="3206" t="s">
        <v>3098</v>
      </c>
      <c r="E106" s="3227">
        <v>0.1</v>
      </c>
      <c r="F106" s="3226">
        <v>15</v>
      </c>
    </row>
    <row r="107" spans="1:6" s="801" customFormat="1" ht="24">
      <c r="A107" s="3226">
        <v>35</v>
      </c>
      <c r="B107" s="3561" t="s">
        <v>3099</v>
      </c>
      <c r="C107" s="3226" t="s">
        <v>3100</v>
      </c>
      <c r="D107" s="3206" t="s">
        <v>3101</v>
      </c>
      <c r="E107" s="3227">
        <v>0.15</v>
      </c>
      <c r="F107" s="3226">
        <v>20</v>
      </c>
    </row>
    <row r="108" spans="1:6" s="801" customFormat="1" ht="24">
      <c r="A108" s="3226">
        <v>36</v>
      </c>
      <c r="B108" s="3556"/>
      <c r="C108" s="3226" t="s">
        <v>3102</v>
      </c>
      <c r="D108" s="3206" t="s">
        <v>3103</v>
      </c>
      <c r="E108" s="3227">
        <v>0.15</v>
      </c>
      <c r="F108" s="3226">
        <v>20</v>
      </c>
    </row>
    <row r="109" spans="1:6" s="801" customFormat="1" ht="24">
      <c r="A109" s="3226">
        <v>37</v>
      </c>
      <c r="B109" s="3556"/>
      <c r="C109" s="3226" t="s">
        <v>3104</v>
      </c>
      <c r="D109" s="3206" t="s">
        <v>3105</v>
      </c>
      <c r="E109" s="3227">
        <v>0.15</v>
      </c>
      <c r="F109" s="3226">
        <v>20</v>
      </c>
    </row>
    <row r="110" spans="1:6" s="801" customFormat="1" ht="13.5">
      <c r="A110" s="3226">
        <v>38</v>
      </c>
      <c r="B110" s="3556"/>
      <c r="C110" s="3226" t="s">
        <v>3106</v>
      </c>
      <c r="D110" s="3206" t="s">
        <v>3107</v>
      </c>
      <c r="E110" s="3227">
        <v>0.1</v>
      </c>
      <c r="F110" s="3226">
        <v>15</v>
      </c>
    </row>
    <row r="111" spans="1:6" s="801" customFormat="1" ht="24">
      <c r="A111" s="3226">
        <v>39</v>
      </c>
      <c r="B111" s="3556"/>
      <c r="C111" s="3226" t="s">
        <v>3108</v>
      </c>
      <c r="D111" s="3206" t="s">
        <v>3109</v>
      </c>
      <c r="E111" s="3227">
        <v>0.1</v>
      </c>
      <c r="F111" s="3226">
        <v>15</v>
      </c>
    </row>
    <row r="112" spans="1:6" s="801" customFormat="1" ht="24">
      <c r="A112" s="3226">
        <v>40</v>
      </c>
      <c r="B112" s="3565"/>
      <c r="C112" s="3226" t="s">
        <v>3110</v>
      </c>
      <c r="D112" s="3206" t="s">
        <v>3111</v>
      </c>
      <c r="E112" s="3227">
        <v>0.1</v>
      </c>
      <c r="F112" s="3226">
        <v>15</v>
      </c>
    </row>
    <row r="113" spans="1:6" s="801" customFormat="1" ht="24">
      <c r="A113" s="3226">
        <v>41</v>
      </c>
      <c r="B113" s="3566" t="s">
        <v>3112</v>
      </c>
      <c r="C113" s="3226" t="s">
        <v>3113</v>
      </c>
      <c r="D113" s="3206" t="s">
        <v>3114</v>
      </c>
      <c r="E113" s="3227">
        <v>0.1</v>
      </c>
      <c r="F113" s="3226">
        <v>15</v>
      </c>
    </row>
    <row r="114" spans="1:6" s="801" customFormat="1" ht="13.5">
      <c r="A114" s="3226">
        <v>42</v>
      </c>
      <c r="B114" s="3566"/>
      <c r="C114" s="3226" t="s">
        <v>3115</v>
      </c>
      <c r="D114" s="3206" t="s">
        <v>3116</v>
      </c>
      <c r="E114" s="3227">
        <v>0.1</v>
      </c>
      <c r="F114" s="3226">
        <v>15</v>
      </c>
    </row>
    <row r="115" spans="1:6" s="801" customFormat="1" ht="24">
      <c r="A115" s="3226">
        <v>43</v>
      </c>
      <c r="B115" s="3566"/>
      <c r="C115" s="3226" t="s">
        <v>3117</v>
      </c>
      <c r="D115" s="3206" t="s">
        <v>3118</v>
      </c>
      <c r="E115" s="3227">
        <v>0.1</v>
      </c>
      <c r="F115" s="3226">
        <v>15</v>
      </c>
    </row>
    <row r="116" spans="1:6" s="801" customFormat="1" ht="24">
      <c r="A116" s="3226">
        <v>44</v>
      </c>
      <c r="B116" s="3561" t="s">
        <v>3119</v>
      </c>
      <c r="C116" s="3226" t="s">
        <v>3120</v>
      </c>
      <c r="D116" s="3206" t="s">
        <v>3121</v>
      </c>
      <c r="E116" s="3227">
        <v>0.1</v>
      </c>
      <c r="F116" s="3226">
        <v>15</v>
      </c>
    </row>
    <row r="117" spans="1:6" s="801" customFormat="1" ht="24">
      <c r="A117" s="3226">
        <v>45</v>
      </c>
      <c r="B117" s="3565"/>
      <c r="C117" s="3206" t="s">
        <v>3122</v>
      </c>
      <c r="D117" s="3206" t="s">
        <v>3123</v>
      </c>
      <c r="E117" s="3227">
        <v>0.1</v>
      </c>
      <c r="F117" s="3226">
        <v>15</v>
      </c>
    </row>
    <row r="118" spans="1:6" s="801" customFormat="1" ht="24">
      <c r="A118" s="3226">
        <v>46</v>
      </c>
      <c r="B118" s="3561" t="s">
        <v>3124</v>
      </c>
      <c r="C118" s="3226" t="s">
        <v>3125</v>
      </c>
      <c r="D118" s="3206" t="s">
        <v>3126</v>
      </c>
      <c r="E118" s="3227">
        <v>0.1</v>
      </c>
      <c r="F118" s="3226">
        <v>15</v>
      </c>
    </row>
    <row r="119" spans="1:6" s="801" customFormat="1" ht="24">
      <c r="A119" s="3226">
        <v>47</v>
      </c>
      <c r="B119" s="3565"/>
      <c r="C119" s="3226" t="s">
        <v>3127</v>
      </c>
      <c r="D119" s="3206" t="s">
        <v>3128</v>
      </c>
      <c r="E119" s="3227">
        <v>0.1</v>
      </c>
      <c r="F119" s="3226">
        <v>15</v>
      </c>
    </row>
    <row r="120" spans="1:6" s="801" customFormat="1" ht="24">
      <c r="A120" s="3226">
        <v>48</v>
      </c>
      <c r="B120" s="3561" t="s">
        <v>3129</v>
      </c>
      <c r="C120" s="3226" t="s">
        <v>3130</v>
      </c>
      <c r="D120" s="3206" t="s">
        <v>3131</v>
      </c>
      <c r="E120" s="3227">
        <v>0.1</v>
      </c>
      <c r="F120" s="3226">
        <v>15</v>
      </c>
    </row>
    <row r="121" spans="1:6" s="801" customFormat="1" ht="13.5">
      <c r="A121" s="3226">
        <v>49</v>
      </c>
      <c r="B121" s="3565"/>
      <c r="C121" s="3226" t="s">
        <v>3132</v>
      </c>
      <c r="D121" s="3206" t="s">
        <v>3133</v>
      </c>
      <c r="E121" s="3227">
        <v>0.1</v>
      </c>
      <c r="F121" s="3226">
        <v>15</v>
      </c>
    </row>
    <row r="122" spans="1:6" s="801" customFormat="1" ht="24">
      <c r="A122" s="3226">
        <v>50</v>
      </c>
      <c r="B122" s="3566" t="s">
        <v>3134</v>
      </c>
      <c r="C122" s="3226" t="s">
        <v>3135</v>
      </c>
      <c r="D122" s="3206" t="s">
        <v>3136</v>
      </c>
      <c r="E122" s="3227">
        <v>0.1</v>
      </c>
      <c r="F122" s="3226">
        <v>15</v>
      </c>
    </row>
    <row r="123" spans="1:6" s="801" customFormat="1" ht="24">
      <c r="A123" s="3226">
        <v>51</v>
      </c>
      <c r="B123" s="3566"/>
      <c r="C123" s="3226" t="s">
        <v>3137</v>
      </c>
      <c r="D123" s="3206" t="s">
        <v>3138</v>
      </c>
      <c r="E123" s="3227">
        <v>0.1</v>
      </c>
      <c r="F123" s="3226">
        <v>15</v>
      </c>
    </row>
    <row r="124" spans="1:6" s="801" customFormat="1" ht="24">
      <c r="A124" s="3226">
        <v>52</v>
      </c>
      <c r="B124" s="3566" t="s">
        <v>3139</v>
      </c>
      <c r="C124" s="3226" t="s">
        <v>3140</v>
      </c>
      <c r="D124" s="3206" t="s">
        <v>3141</v>
      </c>
      <c r="E124" s="3227">
        <v>0.1</v>
      </c>
      <c r="F124" s="3226">
        <v>15</v>
      </c>
    </row>
    <row r="125" spans="1:6" s="801" customFormat="1" ht="24">
      <c r="A125" s="3226">
        <v>53</v>
      </c>
      <c r="B125" s="3566"/>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66" t="s">
        <v>3147</v>
      </c>
      <c r="C127" s="3226" t="s">
        <v>3148</v>
      </c>
      <c r="D127" s="3206" t="s">
        <v>3149</v>
      </c>
      <c r="E127" s="3227">
        <v>0.1</v>
      </c>
      <c r="F127" s="3226">
        <v>15</v>
      </c>
    </row>
    <row r="128" spans="1:6" ht="13.5">
      <c r="A128" s="3226">
        <v>56</v>
      </c>
      <c r="B128" s="3566"/>
      <c r="C128" s="3226" t="s">
        <v>3150</v>
      </c>
      <c r="D128" s="3206" t="s">
        <v>3151</v>
      </c>
      <c r="E128" s="3227">
        <v>0.1</v>
      </c>
      <c r="F128" s="3226">
        <v>15</v>
      </c>
    </row>
    <row r="129" spans="1:6" ht="24">
      <c r="A129" s="3226">
        <v>57</v>
      </c>
      <c r="B129" s="3566"/>
      <c r="C129" s="3226" t="s">
        <v>3152</v>
      </c>
      <c r="D129" s="3206" t="s">
        <v>3153</v>
      </c>
      <c r="E129" s="3227">
        <v>0.1</v>
      </c>
      <c r="F129" s="3226">
        <v>15</v>
      </c>
    </row>
    <row r="130" spans="1:6" ht="24">
      <c r="A130" s="3226">
        <v>58</v>
      </c>
      <c r="B130" s="3566" t="s">
        <v>3154</v>
      </c>
      <c r="C130" s="3226" t="s">
        <v>3155</v>
      </c>
      <c r="D130" s="3206" t="s">
        <v>3156</v>
      </c>
      <c r="E130" s="3227">
        <v>0.1</v>
      </c>
      <c r="F130" s="3226">
        <v>15</v>
      </c>
    </row>
    <row r="131" spans="1:6" ht="24">
      <c r="A131" s="3226">
        <v>59</v>
      </c>
      <c r="B131" s="3566"/>
      <c r="C131" s="3226" t="s">
        <v>3157</v>
      </c>
      <c r="D131" s="3206" t="s">
        <v>3158</v>
      </c>
      <c r="E131" s="3227">
        <v>0.1</v>
      </c>
      <c r="F131" s="3226">
        <v>15</v>
      </c>
    </row>
    <row r="132" spans="1:6" ht="24">
      <c r="A132" s="3226">
        <v>60</v>
      </c>
      <c r="B132" s="3561" t="s">
        <v>3159</v>
      </c>
      <c r="C132" s="3226" t="s">
        <v>3160</v>
      </c>
      <c r="D132" s="3206" t="s">
        <v>3161</v>
      </c>
      <c r="E132" s="3227">
        <v>0.1</v>
      </c>
      <c r="F132" s="3226">
        <v>15</v>
      </c>
    </row>
    <row r="133" spans="1:6" ht="24">
      <c r="A133" s="3226">
        <v>61</v>
      </c>
      <c r="B133" s="3565"/>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66" t="s">
        <v>3167</v>
      </c>
      <c r="C135" s="3226" t="s">
        <v>3168</v>
      </c>
      <c r="D135" s="3206" t="s">
        <v>3169</v>
      </c>
      <c r="E135" s="3227">
        <v>0.1</v>
      </c>
      <c r="F135" s="3226">
        <v>15</v>
      </c>
    </row>
    <row r="136" spans="1:6" ht="13.5">
      <c r="A136" s="3226">
        <v>64</v>
      </c>
      <c r="B136" s="3566"/>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72" t="s">
        <v>877</v>
      </c>
      <c r="C1" s="3572"/>
      <c r="D1" s="3572"/>
      <c r="E1" s="3572"/>
      <c r="F1" s="3572"/>
      <c r="G1" s="3568" t="s">
        <v>878</v>
      </c>
      <c r="H1" s="3568"/>
      <c r="I1" s="3568"/>
      <c r="J1" s="3568"/>
      <c r="K1" s="3568"/>
      <c r="L1" s="3568"/>
      <c r="N1" s="3568" t="s">
        <v>879</v>
      </c>
      <c r="O1" s="3568"/>
      <c r="P1" s="3568"/>
      <c r="Q1" s="3568"/>
      <c r="S1" s="3568" t="s">
        <v>880</v>
      </c>
      <c r="T1" s="3568"/>
      <c r="U1" s="3568"/>
      <c r="V1" s="3568"/>
      <c r="X1" s="3567" t="s">
        <v>881</v>
      </c>
      <c r="Y1" s="3568"/>
      <c r="Z1" s="3568"/>
      <c r="AA1" s="3568"/>
      <c r="AB1" s="3568"/>
      <c r="AD1" s="3567" t="s">
        <v>882</v>
      </c>
      <c r="AE1" s="3568"/>
      <c r="AF1" s="3568"/>
      <c r="AG1" s="3568"/>
      <c r="AH1" s="3568"/>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70">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70"/>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70"/>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7"/>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73">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70"/>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70"/>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7"/>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3">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70"/>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70"/>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71"/>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9">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70"/>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70"/>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71"/>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9">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70"/>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70"/>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71"/>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4">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5"/>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5"/>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6"/>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9">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70"/>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70"/>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71"/>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9">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70">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70">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71">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9">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70">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70">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71">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9">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70">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70">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71">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9">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70">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70">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71">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9">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70">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70">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71">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9">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70">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70">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71">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9">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70">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70">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71">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9">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70">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70">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71">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9">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70">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70">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71">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9">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70">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70">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71">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81" t="s">
        <v>2584</v>
      </c>
      <c r="D1" s="3582"/>
      <c r="E1" s="3582"/>
      <c r="F1" s="3582"/>
      <c r="G1" s="3582"/>
      <c r="H1" s="3582"/>
      <c r="I1" s="3582"/>
      <c r="J1" s="3582"/>
      <c r="K1" s="3582"/>
      <c r="L1" s="3582"/>
      <c r="M1" s="3582"/>
      <c r="N1" s="3582"/>
      <c r="O1" s="3582"/>
      <c r="P1" s="3582"/>
      <c r="Q1" s="3582"/>
      <c r="R1" s="3582"/>
      <c r="S1" s="3583"/>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8" t="s">
        <v>33</v>
      </c>
      <c r="D22" s="3579"/>
      <c r="E22" s="3579"/>
      <c r="F22" s="3579"/>
      <c r="G22" s="3579"/>
      <c r="H22" s="3579"/>
      <c r="I22" s="3579"/>
      <c r="J22" s="3579"/>
      <c r="K22" s="3579"/>
      <c r="L22" s="3579"/>
      <c r="M22" s="3579"/>
      <c r="N22" s="3579"/>
      <c r="O22" s="3579"/>
      <c r="P22" s="3579"/>
      <c r="Q22" s="3580"/>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6"/>
      <c r="C2" s="3246"/>
      <c r="D2" s="3246"/>
      <c r="E2" s="3246"/>
    </row>
    <row r="3" spans="1:5" ht="18">
      <c r="A3" s="3247" t="str">
        <f>IF(项目基本情况!B9="房地产市场价值","估价结果一览表（市场价值不需“结果表-1”）","估价结果一览表")</f>
        <v>估价结果一览表</v>
      </c>
      <c r="B3" s="3247"/>
      <c r="C3" s="3247"/>
      <c r="D3" s="3247"/>
      <c r="E3" s="3247"/>
    </row>
    <row r="4" spans="1:5" ht="19.5" thickBot="1">
      <c r="A4" s="1629"/>
      <c r="B4" s="3245" t="s">
        <v>1354</v>
      </c>
      <c r="C4" s="3245"/>
      <c r="D4" s="3245"/>
      <c r="E4" s="1629"/>
    </row>
    <row r="5" spans="1:5" ht="16.5" thickTop="1">
      <c r="A5" s="1627"/>
      <c r="B5" s="3243" t="s">
        <v>1346</v>
      </c>
      <c r="C5" s="1630" t="s">
        <v>1347</v>
      </c>
      <c r="D5" s="940">
        <f ca="1">结果表!H101</f>
        <v>4384</v>
      </c>
      <c r="E5" s="1627"/>
    </row>
    <row r="6" spans="1:5" ht="15.75">
      <c r="A6" s="1627"/>
      <c r="B6" s="3243"/>
      <c r="C6" s="1630" t="s">
        <v>1348</v>
      </c>
      <c r="D6" s="940" t="str">
        <f ca="1">NUMBERSTRING(INT(D5*10000),2)&amp;"元整"</f>
        <v>肆仟叁佰捌拾肆万元整</v>
      </c>
      <c r="E6" s="1627"/>
    </row>
    <row r="7" spans="1:5" ht="15.75">
      <c r="A7" s="1627"/>
      <c r="B7" s="3248"/>
      <c r="C7" s="1631" t="s">
        <v>1349</v>
      </c>
      <c r="D7" s="941">
        <f ca="1">结果表!H102</f>
        <v>5077</v>
      </c>
      <c r="E7" s="1627"/>
    </row>
    <row r="8" spans="1:5" ht="15.75">
      <c r="A8" s="1627"/>
      <c r="B8" s="3249" t="str">
        <f>结果表!E103</f>
        <v>2.估价师知悉的法定优先受偿款</v>
      </c>
      <c r="C8" s="1632" t="s">
        <v>1350</v>
      </c>
      <c r="D8" s="941">
        <f>结果表!H103</f>
        <v>0</v>
      </c>
      <c r="E8" s="1627"/>
    </row>
    <row r="9" spans="1:5" ht="15.75">
      <c r="A9" s="1627"/>
      <c r="B9" s="325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2" t="str">
        <f>结果表!E107</f>
        <v>3.房地产抵押价值</v>
      </c>
      <c r="C13" s="1635" t="s">
        <v>1347</v>
      </c>
      <c r="D13" s="943">
        <f ca="1">结果表!H107</f>
        <v>4384</v>
      </c>
      <c r="E13" s="1627"/>
    </row>
    <row r="14" spans="1:5" ht="15.75">
      <c r="A14" s="1627"/>
      <c r="B14" s="3243"/>
      <c r="C14" s="1630" t="s">
        <v>1348</v>
      </c>
      <c r="D14" s="940" t="str">
        <f ca="1">NUMBERSTRING(INT(D13*10000),2)&amp;"元整"</f>
        <v>肆仟叁佰捌拾肆万元整</v>
      </c>
      <c r="E14" s="1627"/>
    </row>
    <row r="15" spans="1:5" ht="15">
      <c r="A15" s="1627"/>
      <c r="B15" s="3248"/>
      <c r="C15" s="1631" t="s">
        <v>1358</v>
      </c>
      <c r="D15" s="949">
        <f ca="1">结果表!H108</f>
        <v>5077</v>
      </c>
      <c r="E15" s="1627"/>
    </row>
    <row r="16" spans="1:5" ht="15">
      <c r="A16" s="1627"/>
      <c r="B16" s="3249" t="str">
        <f>结果表!E109</f>
        <v>——</v>
      </c>
      <c r="C16" s="1635" t="s">
        <v>1359</v>
      </c>
      <c r="D16" s="1636" t="str">
        <f>结果表!H109</f>
        <v>——</v>
      </c>
      <c r="E16" s="1627"/>
    </row>
    <row r="17" spans="1:5" ht="15.75">
      <c r="A17" s="1627"/>
      <c r="B17" s="3250"/>
      <c r="C17" s="1630" t="s">
        <v>1360</v>
      </c>
      <c r="D17" s="940" t="e">
        <f>NUMBERSTRING(INT(D16*10000),2)&amp;"元整"</f>
        <v>#VALUE!</v>
      </c>
      <c r="E17" s="1627"/>
    </row>
    <row r="18" spans="1:5" ht="15">
      <c r="A18" s="1627"/>
      <c r="B18" s="3251"/>
      <c r="C18" s="1631" t="s">
        <v>1349</v>
      </c>
      <c r="D18" s="949" t="str">
        <f>结果表!H110</f>
        <v>——</v>
      </c>
      <c r="E18" s="1627"/>
    </row>
    <row r="19" spans="1:5" ht="15.75">
      <c r="A19" s="1627"/>
      <c r="B19" s="3242" t="str">
        <f>结果表!E111</f>
        <v>——</v>
      </c>
      <c r="C19" s="1635" t="s">
        <v>1347</v>
      </c>
      <c r="D19" s="941" t="str">
        <f>结果表!H111</f>
        <v>——</v>
      </c>
      <c r="E19" s="1627"/>
    </row>
    <row r="20" spans="1:5" ht="15.75">
      <c r="A20" s="1627"/>
      <c r="B20" s="3243"/>
      <c r="C20" s="1630" t="s">
        <v>1360</v>
      </c>
      <c r="D20" s="940" t="e">
        <f>NUMBERSTRING(INT(D19*10000),2)&amp;"元整"</f>
        <v>#VALUE!</v>
      </c>
      <c r="E20" s="1627"/>
    </row>
    <row r="21" spans="1:5" ht="15.75" thickBot="1">
      <c r="A21" s="1627"/>
      <c r="B21" s="324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26702</v>
      </c>
      <c r="C2" s="2" t="s">
        <v>133</v>
      </c>
      <c r="D2" s="205"/>
      <c r="E2" s="205"/>
      <c r="F2" s="205"/>
      <c r="G2" s="205"/>
    </row>
    <row r="3" spans="1:7" s="206" customFormat="1" ht="18" customHeight="1" thickBot="1">
      <c r="A3" s="209" t="s">
        <v>85</v>
      </c>
      <c r="B3" s="210">
        <f ca="1">ROUND(B2*10000/'数据-汇总表'!E3,0)</f>
        <v>30924</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0</v>
      </c>
      <c r="D10" s="935">
        <f>'数据-汇总表'!E6</f>
        <v>8634.8499999999985</v>
      </c>
      <c r="E10" s="231">
        <f>'数据-取费表'!B28</f>
        <v>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173</v>
      </c>
      <c r="D19" s="939">
        <f>'数据-汇总表'!E3</f>
        <v>8634.8499999999985</v>
      </c>
      <c r="E19" s="217">
        <f>'数据-取费表'!B31</f>
        <v>200</v>
      </c>
      <c r="F19" s="237"/>
      <c r="G19" s="1" t="s">
        <v>861</v>
      </c>
    </row>
    <row r="20" spans="1:7" s="220" customFormat="1" ht="13.5" customHeight="1">
      <c r="A20" s="866" t="s">
        <v>844</v>
      </c>
      <c r="B20" s="216" t="s">
        <v>104</v>
      </c>
      <c r="C20" s="238">
        <f>ROUND((C5+C19)*F20,0)</f>
        <v>520</v>
      </c>
      <c r="D20" s="238"/>
      <c r="E20" s="238"/>
      <c r="F20" s="239">
        <f>'数据-取费表'!B37</f>
        <v>2.5000000000000001E-2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884</v>
      </c>
      <c r="D22" s="241">
        <f ca="1">C26</f>
        <v>4.0000000000000002E-4</v>
      </c>
      <c r="E22" s="242" t="s">
        <v>126</v>
      </c>
      <c r="F22" s="243">
        <f ca="1">'数据-取费表'!B40</f>
        <v>4.2000000000000003E-2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866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7</v>
      </c>
      <c r="D24" s="244"/>
      <c r="E24" s="244"/>
      <c r="F24" s="245"/>
      <c r="G24" s="246" t="s">
        <v>109</v>
      </c>
    </row>
    <row r="25" spans="1:7" s="220" customFormat="1" ht="24">
      <c r="A25" s="869" t="s">
        <v>612</v>
      </c>
      <c r="B25" s="221" t="s">
        <v>845</v>
      </c>
      <c r="C25" s="1218">
        <f ca="1">ROUND(IF('数据-取费表'!B22&lt;=1,C20*F22*'数据-取费表'!B23/2,C20*(POWER((1+F22),'数据-取费表'!B23/2)-1)),0)</f>
        <v>11</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1065</v>
      </c>
      <c r="D27" s="241">
        <f>C29</f>
        <v>1E-3</v>
      </c>
      <c r="E27" s="242" t="s">
        <v>126</v>
      </c>
      <c r="F27" s="252">
        <f>'数据-取费表'!Q16</f>
        <v>0.05</v>
      </c>
      <c r="G27" s="253" t="s">
        <v>856</v>
      </c>
    </row>
    <row r="28" spans="1:7" s="220" customFormat="1" ht="13.5" customHeight="1">
      <c r="A28" s="869" t="s">
        <v>613</v>
      </c>
      <c r="B28" s="254" t="s">
        <v>849</v>
      </c>
      <c r="C28" s="255">
        <f>ROUND((C5+C19+C20)*F27*'数据-取费表'!B21/'数据-取费表'!B20,0)</f>
        <v>1065</v>
      </c>
      <c r="D28" s="241"/>
      <c r="E28" s="242"/>
      <c r="F28" s="252"/>
      <c r="G28" s="253"/>
    </row>
    <row r="29" spans="1:7" s="220" customFormat="1" ht="13.5" customHeight="1">
      <c r="A29" s="869" t="s">
        <v>611</v>
      </c>
      <c r="B29" s="254" t="s">
        <v>850</v>
      </c>
      <c r="C29" s="244">
        <f>ROUND(C21*F27*'数据-取费表'!B21/'数据-取费表'!B20,4)</f>
        <v>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25104</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1797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1554</v>
      </c>
      <c r="D34" s="223"/>
      <c r="E34" s="226"/>
      <c r="F34" s="263">
        <f>IF('数据-取费表'!B24=0,1,'数据-取费表'!N16)</f>
        <v>1</v>
      </c>
      <c r="G34" s="225" t="s">
        <v>116</v>
      </c>
    </row>
    <row r="35" spans="1:7" ht="13.5" customHeight="1">
      <c r="A35" s="869" t="s">
        <v>615</v>
      </c>
      <c r="B35" s="221" t="s">
        <v>60</v>
      </c>
      <c r="C35" s="226">
        <f>ROUND(C34*F35,0)</f>
        <v>47</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173</v>
      </c>
      <c r="D37" s="223">
        <f>'数据-汇总表'!E3</f>
        <v>8634.8499999999985</v>
      </c>
      <c r="E37" s="255">
        <f>'数据-取费表'!B35</f>
        <v>200</v>
      </c>
      <c r="F37" s="265"/>
      <c r="G37" s="267" t="s">
        <v>119</v>
      </c>
    </row>
    <row r="38" spans="1:7" ht="13.5" customHeight="1">
      <c r="A38" s="869" t="s">
        <v>618</v>
      </c>
      <c r="B38" s="221" t="s">
        <v>63</v>
      </c>
      <c r="C38" s="226">
        <f>ROUND(C34*F38,0)</f>
        <v>23</v>
      </c>
      <c r="D38" s="226"/>
      <c r="E38" s="226"/>
      <c r="F38" s="265">
        <f>'数据-取费表'!B36</f>
        <v>1.4999999999999999E-2</v>
      </c>
      <c r="G38" s="225" t="s">
        <v>117</v>
      </c>
    </row>
    <row r="39" spans="1:7" s="220" customFormat="1" ht="13.5" customHeight="1">
      <c r="A39" s="866" t="s">
        <v>602</v>
      </c>
      <c r="B39" s="216" t="s">
        <v>104</v>
      </c>
      <c r="C39" s="238">
        <f>ROUND(C33*F20,0)</f>
        <v>45</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39</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38</v>
      </c>
      <c r="D42" s="244"/>
      <c r="E42" s="244"/>
      <c r="F42" s="245"/>
      <c r="G42" s="3430" t="s">
        <v>121</v>
      </c>
    </row>
    <row r="43" spans="1:7" ht="13.5" customHeight="1">
      <c r="A43" s="869" t="s">
        <v>611</v>
      </c>
      <c r="B43" s="221" t="s">
        <v>851</v>
      </c>
      <c r="C43" s="244">
        <f ca="1">ROUND(IF('数据-取费表'!B22&lt;=1,C39*F22*'数据-取费表'!B21/2,C39*(POWER((1+F22),'数据-取费表'!B21/2)-1)),0)</f>
        <v>1</v>
      </c>
      <c r="D43" s="244"/>
      <c r="E43" s="244"/>
      <c r="F43" s="245"/>
      <c r="G43" s="3431"/>
    </row>
    <row r="44" spans="1:7" ht="13.5" customHeight="1">
      <c r="A44" s="869" t="s">
        <v>612</v>
      </c>
      <c r="B44" s="221" t="s">
        <v>853</v>
      </c>
      <c r="C44" s="244">
        <f ca="1">ROUND(IF('数据-取费表'!B22&lt;=1,C40*F22*'数据-取费表'!B21/2,C40*(POWER((1+F22),'数据-取费表'!B21/2)-1)),4)</f>
        <v>4.0000000000000002E-4</v>
      </c>
      <c r="D44" s="244"/>
      <c r="E44" s="244"/>
      <c r="F44" s="245"/>
      <c r="G44" s="3432"/>
    </row>
    <row r="45" spans="1:7" s="220" customFormat="1" ht="13.5" customHeight="1">
      <c r="A45" s="866" t="s">
        <v>605</v>
      </c>
      <c r="B45" s="250" t="s">
        <v>112</v>
      </c>
      <c r="C45" s="251">
        <f>C46</f>
        <v>92</v>
      </c>
      <c r="D45" s="241">
        <f>C47</f>
        <v>1E-3</v>
      </c>
      <c r="E45" s="242" t="s">
        <v>129</v>
      </c>
      <c r="F45" s="252"/>
      <c r="G45" s="253" t="s">
        <v>859</v>
      </c>
    </row>
    <row r="46" spans="1:7" s="220" customFormat="1" ht="13.5" customHeight="1">
      <c r="A46" s="869" t="s">
        <v>613</v>
      </c>
      <c r="B46" s="254" t="s">
        <v>852</v>
      </c>
      <c r="C46" s="255">
        <f>ROUND((C33+C39)*F27,0)</f>
        <v>92</v>
      </c>
      <c r="D46" s="269"/>
      <c r="E46" s="242"/>
      <c r="F46" s="252"/>
      <c r="G46" s="253"/>
    </row>
    <row r="47" spans="1:7" s="220" customFormat="1" ht="13.5" customHeight="1">
      <c r="A47" s="869" t="s">
        <v>611</v>
      </c>
      <c r="B47" s="254" t="s">
        <v>854</v>
      </c>
      <c r="C47" s="244">
        <f>ROUND(C40*F27,4)</f>
        <v>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2130</v>
      </c>
      <c r="D49" s="238"/>
      <c r="E49" s="238"/>
      <c r="F49" s="270"/>
      <c r="G49" s="240" t="s">
        <v>860</v>
      </c>
    </row>
    <row r="50" spans="1:7" s="264" customFormat="1" ht="24">
      <c r="A50" s="866" t="s">
        <v>608</v>
      </c>
      <c r="B50" s="216" t="s">
        <v>124</v>
      </c>
      <c r="C50" s="238"/>
      <c r="D50" s="238"/>
      <c r="E50" s="238"/>
      <c r="F50" s="270">
        <f>IF('数据-取费表'!B24=0,'数据-取费表'!N16,1)</f>
        <v>0.75</v>
      </c>
      <c r="G50" s="253" t="s">
        <v>125</v>
      </c>
    </row>
    <row r="51" spans="1:7" ht="16.5" customHeight="1">
      <c r="A51" s="866" t="s">
        <v>609</v>
      </c>
      <c r="B51" s="216" t="s">
        <v>132</v>
      </c>
      <c r="C51" s="238">
        <f ca="1">ROUND(C49*F50,0)</f>
        <v>1598</v>
      </c>
      <c r="D51" s="238"/>
      <c r="E51" s="238"/>
      <c r="F51" s="270"/>
      <c r="G51" s="240" t="s">
        <v>64</v>
      </c>
    </row>
    <row r="52" spans="1:7" s="214" customFormat="1" ht="16.5" thickBot="1">
      <c r="A52" s="271" t="s">
        <v>65</v>
      </c>
      <c r="B52" s="272"/>
      <c r="C52" s="273">
        <f ca="1">C31+C51</f>
        <v>26702</v>
      </c>
      <c r="D52" s="272"/>
      <c r="E52" s="272"/>
      <c r="F52" s="272"/>
      <c r="G52" s="274"/>
    </row>
    <row r="55" spans="1:7" ht="15">
      <c r="B55" s="276" t="s">
        <v>66</v>
      </c>
      <c r="C55" s="277"/>
    </row>
    <row r="56" spans="1:7">
      <c r="B56" s="279" t="s">
        <v>67</v>
      </c>
      <c r="C56" s="280">
        <f ca="1">ROUND(C51/C52,3)</f>
        <v>0.06</v>
      </c>
    </row>
    <row r="57" spans="1:7">
      <c r="B57" s="279" t="s">
        <v>68</v>
      </c>
      <c r="C57" s="281">
        <f ca="1">1-C56</f>
        <v>0.94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4" t="s">
        <v>156</v>
      </c>
      <c r="B1" s="3584"/>
      <c r="C1" s="3584"/>
      <c r="D1" s="3584"/>
      <c r="E1" s="3584"/>
      <c r="F1" s="358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5" t="s">
        <v>169</v>
      </c>
      <c r="B2" s="3585"/>
      <c r="C2" s="3585"/>
      <c r="D2" s="3585"/>
      <c r="E2" s="3585"/>
      <c r="F2" s="358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4" t="s">
        <v>658</v>
      </c>
      <c r="B1" s="358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44728</v>
      </c>
      <c r="D1" s="1423" t="s">
        <v>1028</v>
      </c>
      <c r="E1" s="1418">
        <f>'数据-取费表'!B22</f>
        <v>1</v>
      </c>
      <c r="F1" s="1423" t="s">
        <v>1029</v>
      </c>
      <c r="G1" s="1419">
        <f ca="1">INDIRECT("d"&amp;$K$1)/100</f>
        <v>3.7000000000000005E-2</v>
      </c>
      <c r="H1" s="1423" t="s">
        <v>1059</v>
      </c>
      <c r="I1" s="1419">
        <f ca="1">F4/100</f>
        <v>1.4999999999999999E-2</v>
      </c>
      <c r="J1" s="1424">
        <f>IF(C1&gt;C13,0,MATCH(C1,C$13:C$108,-1))+IF(SUMIF(C13:C108,C1,D13:D108)=0,13,12)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2815</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0" sqref="O30"/>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2" t="str">
        <f>IF(项目基本情况!B9="房地产市场价值","估价结果一览表","结果表-2")</f>
        <v>结果表-2</v>
      </c>
      <c r="B1" s="3252"/>
      <c r="C1" s="3252"/>
      <c r="D1" s="3252"/>
      <c r="E1" s="3252"/>
      <c r="F1" s="3252"/>
      <c r="G1" s="3252"/>
      <c r="H1" s="3252"/>
      <c r="I1" s="3252"/>
    </row>
    <row r="2" spans="1:9" ht="30" customHeight="1" thickTop="1">
      <c r="A2" s="3253" t="s">
        <v>1365</v>
      </c>
      <c r="B2" s="3253" t="s">
        <v>1366</v>
      </c>
      <c r="C2" s="3253" t="s">
        <v>1367</v>
      </c>
      <c r="D2" s="3253" t="str">
        <f>结果表!D116</f>
        <v>出让国有建设用地使用权价值</v>
      </c>
      <c r="E2" s="3253"/>
      <c r="F2" s="3253" t="str">
        <f>结果表!F116</f>
        <v>在建建筑物价值</v>
      </c>
      <c r="G2" s="3253"/>
      <c r="H2" s="3253" t="str">
        <f>IF(项目基本情况!B9="房地产市场价值","房地产市场价值","房地产价值")</f>
        <v>房地产价值</v>
      </c>
      <c r="I2" s="3253"/>
    </row>
    <row r="3" spans="1:9" ht="15">
      <c r="A3" s="3254"/>
      <c r="B3" s="3254"/>
      <c r="C3" s="3254"/>
      <c r="D3" s="944" t="s">
        <v>1362</v>
      </c>
      <c r="E3" s="944" t="s">
        <v>1368</v>
      </c>
      <c r="F3" s="944" t="s">
        <v>1362</v>
      </c>
      <c r="G3" s="944" t="s">
        <v>1363</v>
      </c>
      <c r="H3" s="944" t="s">
        <v>1362</v>
      </c>
      <c r="I3" s="944" t="s">
        <v>1363</v>
      </c>
    </row>
    <row r="4" spans="1:9" ht="15">
      <c r="A4" s="1641" t="str">
        <f>项目基本情况!S2</f>
        <v>北京市房地产</v>
      </c>
      <c r="B4" s="944">
        <f>项目基本情况!C17</f>
        <v>8634.8499999999985</v>
      </c>
      <c r="C4" s="944">
        <f>项目基本情况!C18</f>
        <v>17477</v>
      </c>
      <c r="D4" s="944">
        <f ca="1">结果表!D118</f>
        <v>2363</v>
      </c>
      <c r="E4" s="944">
        <f ca="1">结果表!E118</f>
        <v>2736</v>
      </c>
      <c r="F4" s="944">
        <f ca="1">结果表!F118</f>
        <v>2021</v>
      </c>
      <c r="G4" s="944">
        <f ca="1">结果表!G118</f>
        <v>2341</v>
      </c>
      <c r="H4" s="944">
        <f ca="1">结果表!H118</f>
        <v>4384</v>
      </c>
      <c r="I4" s="944">
        <f ca="1">结果表!I118</f>
        <v>5077</v>
      </c>
    </row>
    <row r="5" spans="1:9" ht="30" customHeight="1">
      <c r="A5" s="3254" t="s">
        <v>1364</v>
      </c>
      <c r="B5" s="3254"/>
      <c r="C5" s="3254"/>
      <c r="D5" s="3255" t="str">
        <f ca="1">结果表!D119</f>
        <v>贰仟叁佰陆拾叁万元整</v>
      </c>
      <c r="E5" s="3255"/>
      <c r="F5" s="3255" t="str">
        <f ca="1">结果表!F119</f>
        <v>贰仟零贰拾壹万元整</v>
      </c>
      <c r="G5" s="3255"/>
      <c r="H5" s="3255" t="str">
        <f ca="1">结果表!H119</f>
        <v>肆仟叁佰捌拾肆万元整</v>
      </c>
      <c r="I5" s="3255"/>
    </row>
    <row r="6" spans="1:9" ht="15.75">
      <c r="A6" s="3256" t="str">
        <f>结果表!A120</f>
        <v>估价师知悉的法定优先受偿款</v>
      </c>
      <c r="B6" s="3256"/>
      <c r="C6" s="3256"/>
      <c r="D6" s="3256">
        <f>结果表!D120</f>
        <v>0</v>
      </c>
      <c r="E6" s="3256"/>
      <c r="F6" s="3256"/>
      <c r="G6" s="3256"/>
      <c r="H6" s="3256"/>
      <c r="I6" s="3256"/>
    </row>
    <row r="7" spans="1:9" ht="15">
      <c r="A7" s="3254" t="s">
        <v>1364</v>
      </c>
      <c r="B7" s="3254"/>
      <c r="C7" s="3254"/>
      <c r="D7" s="3257" t="str">
        <f>结果表!D121</f>
        <v>零元整</v>
      </c>
      <c r="E7" s="3258"/>
      <c r="F7" s="3258"/>
      <c r="G7" s="3258"/>
      <c r="H7" s="3258"/>
      <c r="I7" s="3259"/>
    </row>
    <row r="8" spans="1:9" ht="15.75">
      <c r="A8" s="3256" t="str">
        <f>结果表!A122</f>
        <v>房地产抵押价值</v>
      </c>
      <c r="B8" s="3256"/>
      <c r="C8" s="3256"/>
      <c r="D8" s="3256">
        <f ca="1">结果表!D122</f>
        <v>4384</v>
      </c>
      <c r="E8" s="3256"/>
      <c r="F8" s="3256"/>
      <c r="G8" s="3256"/>
      <c r="H8" s="3256"/>
      <c r="I8" s="3256"/>
    </row>
    <row r="9" spans="1:9" ht="15">
      <c r="A9" s="3254" t="s">
        <v>1364</v>
      </c>
      <c r="B9" s="3254"/>
      <c r="C9" s="3254"/>
      <c r="D9" s="3255" t="str">
        <f ca="1">结果表!D123</f>
        <v>肆仟叁佰捌拾肆万元整</v>
      </c>
      <c r="E9" s="3255"/>
      <c r="F9" s="3255"/>
      <c r="G9" s="3255"/>
      <c r="H9" s="3255"/>
      <c r="I9" s="3255"/>
    </row>
    <row r="10" spans="1:9" ht="15.75">
      <c r="A10" s="3256" t="str">
        <f>结果表!A124</f>
        <v/>
      </c>
      <c r="B10" s="3256"/>
      <c r="C10" s="3256"/>
      <c r="D10" s="3256" t="str">
        <f>结果表!D124</f>
        <v>——</v>
      </c>
      <c r="E10" s="3256"/>
      <c r="F10" s="3256"/>
      <c r="G10" s="3256"/>
      <c r="H10" s="3256"/>
      <c r="I10" s="3256"/>
    </row>
    <row r="11" spans="1:9" ht="15">
      <c r="A11" s="3254" t="s">
        <v>1364</v>
      </c>
      <c r="B11" s="3254"/>
      <c r="C11" s="3254"/>
      <c r="D11" s="3255" t="e">
        <f>结果表!D125</f>
        <v>#VALUE!</v>
      </c>
      <c r="E11" s="3255"/>
      <c r="F11" s="3255"/>
      <c r="G11" s="3255"/>
      <c r="H11" s="3255"/>
      <c r="I11" s="3255"/>
    </row>
    <row r="12" spans="1:9" ht="15.75">
      <c r="A12" s="3256" t="str">
        <f>结果表!A126</f>
        <v/>
      </c>
      <c r="B12" s="3256"/>
      <c r="C12" s="3256"/>
      <c r="D12" s="3256" t="str">
        <f>结果表!D126</f>
        <v>——</v>
      </c>
      <c r="E12" s="3256"/>
      <c r="F12" s="3256"/>
      <c r="G12" s="3256"/>
      <c r="H12" s="3256"/>
      <c r="I12" s="3256"/>
    </row>
    <row r="13" spans="1:9" ht="15.75" thickBot="1">
      <c r="A13" s="3260" t="s">
        <v>1364</v>
      </c>
      <c r="B13" s="3260"/>
      <c r="C13" s="3260"/>
      <c r="D13" s="3261" t="e">
        <f>结果表!D127</f>
        <v>#VALUE!</v>
      </c>
      <c r="E13" s="3261"/>
      <c r="F13" s="3261"/>
      <c r="G13" s="3261"/>
      <c r="H13" s="3261"/>
      <c r="I13" s="3261"/>
    </row>
    <row r="14" spans="1:9" ht="15" thickTop="1">
      <c r="A14" s="3262" t="s">
        <v>1369</v>
      </c>
      <c r="B14" s="3262"/>
      <c r="C14" s="3262"/>
      <c r="D14" s="3262"/>
      <c r="E14" s="3262"/>
      <c r="F14" s="3262"/>
      <c r="G14" s="3262"/>
      <c r="H14" s="3262"/>
      <c r="I14" s="3262"/>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3" t="s">
        <v>1386</v>
      </c>
      <c r="B1" s="3263"/>
      <c r="C1" s="3263"/>
      <c r="D1" s="3263"/>
    </row>
    <row r="2" spans="1:4" ht="18">
      <c r="A2" s="3264" t="s">
        <v>1370</v>
      </c>
      <c r="B2" s="3264"/>
      <c r="C2" s="3264"/>
      <c r="D2" s="3264"/>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4" t="s">
        <v>1376</v>
      </c>
      <c r="B6" s="3264"/>
      <c r="C6" s="3264"/>
      <c r="D6" s="3264"/>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5" t="s">
        <v>1379</v>
      </c>
      <c r="B11" s="3266"/>
      <c r="C11" s="3266"/>
      <c r="D11" s="3266"/>
    </row>
    <row r="12" spans="1:4" ht="15.75">
      <c r="A12" s="32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7"/>
      <c r="C12" s="3267"/>
      <c r="D12" s="3267"/>
    </row>
    <row r="13" spans="1:4" ht="30" customHeight="1">
      <c r="A13" s="32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7"/>
      <c r="C13" s="3267"/>
      <c r="D13" s="3267"/>
    </row>
    <row r="14" spans="1:4" ht="15.75" customHeight="1">
      <c r="A14" s="3266" t="str">
        <f>IF(项目基本情况!B8="抵押","4.本次评估估价师所知悉的法定优先受偿款情况说明如下：","——")</f>
        <v>4.本次评估估价师所知悉的法定优先受偿款情况说明如下：</v>
      </c>
      <c r="B14" s="3267"/>
      <c r="C14" s="3267"/>
      <c r="D14" s="3267"/>
    </row>
    <row r="15" spans="1:4" ht="42" customHeight="1">
      <c r="A15" s="326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6"/>
      <c r="C15" s="3266"/>
      <c r="D15" s="3266"/>
    </row>
    <row r="16" spans="1:4" ht="30" customHeight="1">
      <c r="A16" s="3269" t="s">
        <v>1380</v>
      </c>
      <c r="B16" s="3269"/>
      <c r="C16" s="3269"/>
      <c r="D16" s="3269"/>
    </row>
    <row r="17" spans="1:4" ht="144" customHeight="1">
      <c r="A17" s="3269" t="s">
        <v>1381</v>
      </c>
      <c r="B17" s="3269"/>
      <c r="C17" s="3269"/>
      <c r="D17" s="3269"/>
    </row>
    <row r="18" spans="1:4" ht="15.75" customHeight="1">
      <c r="A18" s="3266" t="str">
        <f>IF(项目基本情况!B8="抵押",结果表!K120,"——")</f>
        <v>故，本次评估不存在估价师知悉的法定优先受偿款</v>
      </c>
      <c r="B18" s="3266"/>
      <c r="C18" s="3266"/>
      <c r="D18" s="3266"/>
    </row>
    <row r="19" spans="1:4" ht="46.5" customHeight="1">
      <c r="A19" s="32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6"/>
      <c r="C19" s="3266"/>
      <c r="D19" s="3266"/>
    </row>
    <row r="20" spans="1:4" ht="57.75" customHeight="1">
      <c r="A20" s="32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6"/>
      <c r="C20" s="3266"/>
      <c r="D20" s="3266"/>
    </row>
    <row r="21" spans="1:4" ht="57.75" customHeight="1">
      <c r="A21" s="32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0"/>
      <c r="C21" s="3270"/>
      <c r="D21" s="3270"/>
    </row>
    <row r="22" spans="1:4" ht="18.75" customHeight="1">
      <c r="A22" s="3271" t="s">
        <v>1382</v>
      </c>
      <c r="B22" s="3271"/>
      <c r="C22" s="3271"/>
      <c r="D22" s="3271"/>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8">
        <v>42551</v>
      </c>
      <c r="D31" s="326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7" t="s">
        <v>1393</v>
      </c>
      <c r="B15" s="3272" t="s">
        <v>136</v>
      </c>
      <c r="C15" s="3273"/>
    </row>
    <row r="16" spans="1:7" ht="13.5">
      <c r="A16" s="3278"/>
      <c r="B16" s="3272" t="s">
        <v>69</v>
      </c>
      <c r="C16" s="3273"/>
    </row>
    <row r="17" spans="1:3" ht="13.5">
      <c r="A17" s="3278"/>
      <c r="B17" s="3275" t="s">
        <v>1394</v>
      </c>
      <c r="C17" s="1668" t="s">
        <v>1393</v>
      </c>
    </row>
    <row r="18" spans="1:3" ht="13.5">
      <c r="A18" s="3278"/>
      <c r="B18" s="3275"/>
      <c r="C18" s="1668" t="s">
        <v>1395</v>
      </c>
    </row>
    <row r="19" spans="1:3" ht="13.5">
      <c r="A19" s="3278"/>
      <c r="B19" s="3275"/>
      <c r="C19" s="1668" t="s">
        <v>1396</v>
      </c>
    </row>
    <row r="20" spans="1:3" ht="13.5">
      <c r="A20" s="3279"/>
      <c r="B20" s="3274" t="s">
        <v>1397</v>
      </c>
      <c r="C20" s="3273"/>
    </row>
    <row r="21" spans="1:3" ht="13.5">
      <c r="A21" s="1669" t="s">
        <v>1398</v>
      </c>
      <c r="B21" s="1670"/>
      <c r="C21" s="1671"/>
    </row>
    <row r="22" spans="1:3" ht="13.5">
      <c r="A22" s="3276" t="s">
        <v>1399</v>
      </c>
      <c r="B22" s="3274" t="s">
        <v>1400</v>
      </c>
      <c r="C22" s="3273"/>
    </row>
    <row r="23" spans="1:3" ht="13.5">
      <c r="A23" s="3276"/>
      <c r="B23" s="3274" t="s">
        <v>1401</v>
      </c>
      <c r="C23" s="3273"/>
    </row>
    <row r="24" spans="1:3" ht="13.5">
      <c r="A24" s="3276"/>
      <c r="B24" s="3274" t="s">
        <v>1402</v>
      </c>
      <c r="C24" s="3273"/>
    </row>
    <row r="25" spans="1:3" ht="13.5">
      <c r="A25" s="3276"/>
      <c r="B25" s="3275" t="s">
        <v>1403</v>
      </c>
      <c r="C25" s="1668" t="s">
        <v>1404</v>
      </c>
    </row>
    <row r="26" spans="1:3" ht="13.5">
      <c r="A26" s="3276"/>
      <c r="B26" s="3275"/>
      <c r="C26" s="1668" t="s">
        <v>1405</v>
      </c>
    </row>
    <row r="27" spans="1:3" ht="13.5">
      <c r="A27" s="3276"/>
      <c r="B27" s="3275"/>
      <c r="C27" s="1668" t="s">
        <v>1406</v>
      </c>
    </row>
    <row r="28" spans="1:3" ht="13.5">
      <c r="A28" s="3276"/>
      <c r="B28" s="3275"/>
      <c r="C28" s="1668" t="s">
        <v>1407</v>
      </c>
    </row>
    <row r="29" spans="1:3" ht="13.5">
      <c r="A29" s="3276"/>
      <c r="B29" s="3275"/>
      <c r="C29" s="1668" t="s">
        <v>1408</v>
      </c>
    </row>
    <row r="30" spans="1:3" ht="13.5">
      <c r="A30" s="3276"/>
      <c r="B30" s="3275"/>
      <c r="C30" s="1668" t="s">
        <v>1409</v>
      </c>
    </row>
    <row r="31" spans="1:3" ht="13.5">
      <c r="A31" s="3276"/>
      <c r="B31" s="3275"/>
      <c r="C31" s="1668" t="s">
        <v>1410</v>
      </c>
    </row>
    <row r="32" spans="1:3" ht="13.5">
      <c r="A32" s="3276"/>
      <c r="B32" s="3275"/>
      <c r="C32" s="1668" t="s">
        <v>1411</v>
      </c>
    </row>
    <row r="33" spans="1:3" ht="13.5">
      <c r="A33" s="3276"/>
      <c r="B33" s="327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44729</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80" t="s">
        <v>2661</v>
      </c>
      <c r="B17" s="3280"/>
      <c r="C17" s="3280"/>
      <c r="D17" s="3280"/>
      <c r="E17" s="3280"/>
      <c r="F17" s="3280"/>
      <c r="G17" s="3280"/>
      <c r="H17" s="3280"/>
    </row>
    <row r="18" spans="1:8" ht="24" customHeight="1">
      <c r="A18" s="3281" t="s">
        <v>2662</v>
      </c>
      <c r="B18" s="3281"/>
      <c r="C18" s="3281"/>
      <c r="D18" s="2517"/>
      <c r="E18" s="3282" t="s">
        <v>2663</v>
      </c>
      <c r="F18" s="3281"/>
      <c r="G18" s="3281"/>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2022-06-17T08:46:54Z</dcterms:modified>
</cp:coreProperties>
</file>