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0" windowWidth="11160" windowHeight="951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I24" i="43" l="1"/>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S4" i="43"/>
  <c r="S2" i="43"/>
  <c r="S5" i="43"/>
  <c r="S3" i="43"/>
  <c r="F26" i="43"/>
  <c r="H26" i="43"/>
  <c r="C27" i="43"/>
  <c r="J17" i="45"/>
  <c r="K17" i="45"/>
  <c r="L17" i="45"/>
  <c r="M17" i="45"/>
  <c r="I17" i="45"/>
  <c r="G24" i="43"/>
  <c r="M23" i="43"/>
  <c r="AI12" i="7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8" i="43"/>
  <c r="D68"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M80" i="43"/>
  <c r="N80" i="43" s="1"/>
  <c r="K80" i="43"/>
  <c r="J80" i="43" s="1"/>
  <c r="D80" i="43"/>
  <c r="M79" i="43"/>
  <c r="N79" i="43" s="1"/>
  <c r="K79" i="43"/>
  <c r="J79" i="43" s="1"/>
  <c r="M78" i="43"/>
  <c r="N78" i="43" s="1"/>
  <c r="K78" i="43"/>
  <c r="J78" i="43" s="1"/>
  <c r="D78" i="43" s="1"/>
  <c r="M77" i="43"/>
  <c r="N77" i="43" s="1"/>
  <c r="K77" i="43"/>
  <c r="J77" i="43" s="1"/>
  <c r="M76" i="43"/>
  <c r="N76" i="43" s="1"/>
  <c r="K76" i="43"/>
  <c r="J76" i="43" s="1"/>
  <c r="D76" i="43"/>
  <c r="M75" i="43"/>
  <c r="N75" i="43" s="1"/>
  <c r="K75" i="43"/>
  <c r="J75" i="43" s="1"/>
  <c r="M74" i="43"/>
  <c r="N74" i="43" s="1"/>
  <c r="K74" i="43"/>
  <c r="J74" i="43" s="1"/>
  <c r="D74" i="43"/>
  <c r="M73" i="43"/>
  <c r="N73" i="43" s="1"/>
  <c r="K73" i="43"/>
  <c r="J73" i="43" s="1"/>
  <c r="M70" i="43"/>
  <c r="N70" i="43"/>
  <c r="K70" i="43"/>
  <c r="D70" i="43" s="1"/>
  <c r="J70" i="43"/>
  <c r="M69" i="43"/>
  <c r="N69" i="43"/>
  <c r="K69" i="43"/>
  <c r="J69" i="43"/>
  <c r="D69" i="43" s="1"/>
  <c r="M68" i="43"/>
  <c r="N68" i="43"/>
  <c r="K68" i="43"/>
  <c r="J68" i="43"/>
  <c r="M67" i="43"/>
  <c r="N67" i="43"/>
  <c r="K67" i="43"/>
  <c r="D67" i="43" s="1"/>
  <c r="J67" i="43"/>
  <c r="M66" i="43"/>
  <c r="N66" i="43"/>
  <c r="K66" i="43"/>
  <c r="J66" i="43"/>
  <c r="D66" i="43" s="1"/>
  <c r="M65" i="43"/>
  <c r="D65" i="43" s="1"/>
  <c r="N65" i="43"/>
  <c r="K65" i="43"/>
  <c r="J65" i="43"/>
  <c r="M64" i="43"/>
  <c r="N64" i="43"/>
  <c r="K64" i="43"/>
  <c r="D64" i="43" s="1"/>
  <c r="J64" i="43"/>
  <c r="M63" i="43"/>
  <c r="N63" i="43"/>
  <c r="K63" i="43"/>
  <c r="D63" i="43" s="1"/>
  <c r="J63" i="43"/>
  <c r="M62" i="43"/>
  <c r="N62" i="43"/>
  <c r="K62" i="43"/>
  <c r="D62" i="43" s="1"/>
  <c r="E62" i="43" s="1"/>
  <c r="B60" i="43" s="1"/>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Z7" i="43"/>
  <c r="E51" i="43"/>
  <c r="B49"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s="1"/>
  <c r="R26" i="6"/>
  <c r="R23" i="6"/>
  <c r="R24" i="6"/>
  <c r="R21" i="6"/>
  <c r="R8" i="1"/>
  <c r="R22" i="6"/>
  <c r="D30" i="6"/>
  <c r="D16" i="6"/>
  <c r="A7" i="51"/>
  <c r="B7" i="72" s="1"/>
  <c r="C4" i="52"/>
  <c r="B45" i="72"/>
  <c r="A10" i="51"/>
  <c r="B9" i="72" s="1"/>
  <c r="D27" i="6"/>
  <c r="H27" i="6"/>
  <c r="R19" i="6"/>
  <c r="D31" i="6"/>
  <c r="I6" i="6"/>
  <c r="R27" i="6"/>
  <c r="R6" i="1"/>
  <c r="I5" i="6"/>
  <c r="E2" i="70"/>
  <c r="C34" i="69"/>
  <c r="C35"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30" i="69"/>
  <c r="C28" i="67"/>
  <c r="M4" i="43"/>
  <c r="M5" i="43"/>
  <c r="N12" i="43"/>
  <c r="N11" i="43"/>
  <c r="M10" i="43"/>
  <c r="M2" i="43"/>
  <c r="M8" i="43"/>
  <c r="M7" i="43"/>
  <c r="N9" i="43"/>
  <c r="F84" i="43" s="1"/>
  <c r="N10" i="43"/>
  <c r="M6" i="43"/>
  <c r="N7" i="43"/>
  <c r="N4" i="43"/>
  <c r="N2" i="43"/>
  <c r="F51" i="43" s="1"/>
  <c r="H55" i="43" s="1"/>
  <c r="N21" i="43"/>
  <c r="L21" i="43"/>
  <c r="O21" i="43"/>
  <c r="M21" i="43"/>
  <c r="E21" i="43"/>
  <c r="C48" i="68"/>
  <c r="T25" i="71"/>
  <c r="C94" i="9"/>
  <c r="C92" i="9"/>
  <c r="C20" i="11"/>
  <c r="C28" i="11"/>
  <c r="C27" i="11"/>
  <c r="F94" i="43"/>
  <c r="N370" i="46"/>
  <c r="X7" i="43"/>
  <c r="F73" i="43"/>
  <c r="H76" i="43" s="1"/>
  <c r="F62" i="43"/>
  <c r="H66" i="43" s="1"/>
  <c r="D68" i="71"/>
  <c r="D81" i="71"/>
  <c r="D73" i="71"/>
  <c r="B68" i="71"/>
  <c r="M11" i="43"/>
  <c r="B117" i="43"/>
  <c r="I122" i="43" s="1"/>
  <c r="J122" i="43" s="1"/>
  <c r="K122" i="43" s="1"/>
  <c r="L122" i="43" s="1"/>
  <c r="M122" i="43" s="1"/>
  <c r="N94" i="46"/>
  <c r="G26" i="43"/>
  <c r="D7" i="74"/>
  <c r="D8" i="74"/>
  <c r="C7" i="74"/>
  <c r="C8" i="74"/>
  <c r="D23" i="67"/>
  <c r="G25" i="12"/>
  <c r="G41" i="11"/>
  <c r="G27" i="12"/>
  <c r="G41" i="68"/>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F6" i="15"/>
  <c r="M23" i="15"/>
  <c r="M8" i="67"/>
  <c r="C20" i="9"/>
  <c r="M8" i="15"/>
  <c r="D2" i="37"/>
  <c r="D2" i="36"/>
  <c r="M29" i="67"/>
  <c r="B13" i="76"/>
  <c r="F41" i="67"/>
  <c r="AO7" i="1"/>
  <c r="E2" i="68"/>
  <c r="F26" i="15"/>
  <c r="D5" i="73"/>
  <c r="D19" i="9"/>
  <c r="F5" i="73"/>
  <c r="M6" i="67"/>
  <c r="M24" i="15"/>
  <c r="F4" i="73"/>
  <c r="M26" i="67"/>
  <c r="F8" i="67"/>
  <c r="AO10" i="1"/>
  <c r="B12" i="76"/>
  <c r="E8" i="76"/>
  <c r="F37" i="15"/>
  <c r="E13" i="76"/>
  <c r="M21" i="67"/>
  <c r="B11" i="76"/>
  <c r="F40" i="67"/>
  <c r="F41" i="15"/>
  <c r="D34" i="9"/>
  <c r="L48" i="15"/>
  <c r="M28" i="15"/>
  <c r="E11" i="76"/>
  <c r="B10" i="76"/>
  <c r="AO12" i="1"/>
  <c r="M21" i="15"/>
  <c r="M9" i="67"/>
  <c r="F7" i="67"/>
  <c r="B8" i="76"/>
  <c r="M22" i="67"/>
  <c r="C14" i="15"/>
  <c r="M22" i="15"/>
  <c r="J15" i="15"/>
  <c r="F8" i="15"/>
  <c r="F20" i="31"/>
  <c r="D2" i="34"/>
  <c r="M28" i="67"/>
  <c r="M26" i="15"/>
  <c r="C19" i="9"/>
  <c r="L47" i="67"/>
  <c r="M29" i="15"/>
  <c r="J15" i="67"/>
  <c r="F43" i="67"/>
  <c r="F3" i="73"/>
  <c r="F26" i="67"/>
  <c r="F40" i="15"/>
  <c r="E10" i="76"/>
  <c r="D7" i="73"/>
  <c r="C76" i="67"/>
  <c r="D6" i="73"/>
  <c r="D4" i="73"/>
  <c r="F16" i="67"/>
  <c r="D2" i="21"/>
  <c r="M9" i="15"/>
  <c r="F35" i="67"/>
  <c r="E2" i="69"/>
  <c r="F6" i="67"/>
  <c r="F7" i="15"/>
  <c r="E9" i="76"/>
  <c r="L48" i="67"/>
  <c r="F16" i="15"/>
  <c r="F36" i="15"/>
  <c r="F36" i="67"/>
  <c r="D35" i="9"/>
  <c r="AO11" i="1"/>
  <c r="F43" i="15"/>
  <c r="F37" i="67"/>
  <c r="M6" i="15"/>
  <c r="F38" i="67"/>
  <c r="L47" i="15"/>
  <c r="F6" i="73"/>
  <c r="E12" i="76"/>
  <c r="B9" i="76"/>
  <c r="D20" i="9"/>
  <c r="F42" i="67"/>
  <c r="D3" i="73"/>
  <c r="F42" i="15"/>
  <c r="AO8" i="1"/>
  <c r="D2" i="33"/>
  <c r="F7" i="73"/>
  <c r="F9" i="15"/>
  <c r="F35" i="15"/>
  <c r="AO9" i="1"/>
  <c r="F9" i="67"/>
  <c r="E7" i="76"/>
  <c r="F13" i="67"/>
  <c r="M27" i="67"/>
  <c r="F13" i="15"/>
  <c r="AO13" i="1"/>
  <c r="C76" i="15"/>
  <c r="D2" i="35"/>
  <c r="M27" i="15"/>
  <c r="B7" i="76"/>
  <c r="F38" i="15"/>
  <c r="M24" i="67"/>
  <c r="AO6" i="1"/>
  <c r="M23" i="67"/>
  <c r="D84" i="43" l="1"/>
  <c r="D90" i="43"/>
  <c r="D86" i="43"/>
  <c r="D91" i="43"/>
  <c r="D87" i="43"/>
  <c r="D85" i="43"/>
  <c r="E84" i="43"/>
  <c r="B82" i="43" s="1"/>
  <c r="G13" i="1"/>
  <c r="G9" i="1"/>
  <c r="C35" i="11"/>
  <c r="C24" i="12"/>
  <c r="C30" i="68"/>
  <c r="C77" i="9"/>
  <c r="C74" i="9" s="1"/>
  <c r="C13" i="12"/>
  <c r="C6" i="43"/>
  <c r="D81" i="43"/>
  <c r="D73" i="43"/>
  <c r="D75" i="43"/>
  <c r="D77" i="43"/>
  <c r="D79" i="43"/>
  <c r="C33" i="11"/>
  <c r="C39" i="11" s="1"/>
  <c r="C46" i="11" s="1"/>
  <c r="C45" i="11" s="1"/>
  <c r="D26" i="43"/>
  <c r="C25" i="43" s="1"/>
  <c r="AC6" i="71"/>
  <c r="AC5" i="71"/>
  <c r="AC7" i="71"/>
  <c r="AD6" i="71"/>
  <c r="AD7" i="71"/>
  <c r="AD5" i="71"/>
  <c r="Y6" i="71"/>
  <c r="AB6" i="71" s="1"/>
  <c r="Y7" i="71"/>
  <c r="AB7" i="71" s="1"/>
  <c r="Y5" i="71"/>
  <c r="AB5" i="71" s="1"/>
  <c r="Z5" i="71"/>
  <c r="AA5" i="71" s="1"/>
  <c r="Z6" i="71"/>
  <c r="AA6" i="71" s="1"/>
  <c r="Z7" i="71"/>
  <c r="AA7" i="71" s="1"/>
  <c r="C8" i="69"/>
  <c r="C5" i="69" s="1"/>
  <c r="C18" i="12"/>
  <c r="D63" i="40"/>
  <c r="C65" i="40"/>
  <c r="G16" i="1"/>
  <c r="J58" i="21"/>
  <c r="K58" i="21" s="1"/>
  <c r="L58" i="21" s="1"/>
  <c r="M58" i="21" s="1"/>
  <c r="N58" i="21" s="1"/>
  <c r="O58" i="21" s="1"/>
  <c r="H7" i="21" s="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6" i="15"/>
  <c r="C16" i="67"/>
  <c r="C17" i="15"/>
  <c r="C17" i="67"/>
  <c r="C14" i="67"/>
  <c r="E73" i="43" l="1"/>
  <c r="B71" i="43" s="1"/>
  <c r="C28" i="43" s="1"/>
  <c r="C49" i="67"/>
  <c r="C20" i="69"/>
  <c r="C28" i="69" s="1"/>
  <c r="C27" i="69" s="1"/>
  <c r="F7" i="33"/>
  <c r="AA7" i="33" s="1"/>
  <c r="R48" i="33" s="1"/>
  <c r="D65" i="40"/>
  <c r="E63" i="40"/>
  <c r="AA7" i="36"/>
  <c r="R36" i="36" s="1"/>
  <c r="S7" i="36"/>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C34" i="43" l="1"/>
  <c r="E34"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C30" i="43" l="1"/>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B6" i="76"/>
  <c r="E6" i="76"/>
  <c r="B2" i="76" l="1"/>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B3" i="76" l="1"/>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43" i="67" s="1"/>
  <c r="C80" i="67"/>
  <c r="C79" i="67" s="1"/>
  <c r="C57" i="68"/>
  <c r="C56" i="68" s="1"/>
  <c r="Q67" i="67"/>
  <c r="L57" i="67"/>
  <c r="L60" i="67" s="1"/>
  <c r="C57" i="69"/>
  <c r="C56" i="69" s="1"/>
  <c r="L51" i="15"/>
  <c r="E8" i="71" l="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B6" i="71" l="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E6" i="71" l="1"/>
  <c r="B5" i="71"/>
  <c r="E5" i="71" s="1"/>
  <c r="M63" i="40"/>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D5" i="74"/>
  <c r="C5" i="74"/>
  <c r="N58" i="9"/>
  <c r="P57" i="9"/>
  <c r="C105" i="9"/>
  <c r="I4" i="52"/>
  <c r="D53" i="9"/>
  <c r="D52" i="9"/>
  <c r="H4" i="52"/>
  <c r="C104" i="9"/>
  <c r="E14" i="74"/>
  <c r="B5" i="74"/>
  <c r="D14" i="74"/>
  <c r="F14" i="74"/>
  <c r="D6" i="74"/>
  <c r="C6" i="74"/>
  <c r="B20" i="72"/>
  <c r="E97" i="9"/>
  <c r="M54" i="9"/>
  <c r="M48" i="9"/>
  <c r="B6" i="74"/>
  <c r="D9" i="52"/>
  <c r="B31" i="72"/>
  <c r="H119" i="9"/>
  <c r="H5" i="52"/>
  <c r="D8" i="52"/>
  <c r="G14" i="74"/>
  <c r="D123" i="9"/>
  <c r="D122" i="9"/>
  <c r="C81" i="9"/>
  <c r="E81" i="9"/>
  <c r="C93" i="9"/>
  <c r="C86" i="9"/>
  <c r="B30" i="72"/>
  <c r="N61" i="9"/>
  <c r="N57" i="9"/>
  <c r="N59" i="9"/>
  <c r="N60" i="9"/>
  <c r="D5" i="53"/>
  <c r="D6" i="53"/>
  <c r="B22" i="72"/>
  <c r="C78" i="9"/>
  <c r="C73" i="9"/>
  <c r="B51" i="72"/>
  <c r="F4" i="52"/>
  <c r="C68" i="9"/>
  <c r="D54" i="9"/>
  <c r="C96" i="9"/>
  <c r="E96" i="9"/>
  <c r="D4" i="52"/>
  <c r="B47" i="72"/>
  <c r="B53" i="72"/>
  <c r="D118" i="9"/>
  <c r="D119" i="9"/>
  <c r="D5" i="52"/>
  <c r="B49" i="72"/>
  <c r="C72" i="9"/>
  <c r="C79" i="9"/>
  <c r="C80" i="9"/>
  <c r="E80" i="9"/>
  <c r="B21" i="72"/>
  <c r="D56" i="9"/>
  <c r="H102" i="9"/>
  <c r="D7" i="53"/>
  <c r="C85" i="9"/>
  <c r="C95" i="9"/>
  <c r="C97" i="9"/>
  <c r="D58" i="9"/>
  <c r="C67" i="9"/>
  <c r="D59" i="9"/>
  <c r="M55" i="9"/>
  <c r="B52" i="72"/>
  <c r="D55" i="9"/>
  <c r="M53" i="9"/>
  <c r="H108" i="9"/>
  <c r="D15" i="53"/>
  <c r="E118" i="9"/>
  <c r="E4" i="52"/>
  <c r="B48" i="72"/>
  <c r="D45" i="9"/>
  <c r="C64" i="9"/>
  <c r="C63" i="9"/>
  <c r="G4" i="52"/>
  <c r="I118" i="9"/>
  <c r="H118" i="9"/>
  <c r="H101" i="9"/>
  <c r="H107" i="9"/>
  <c r="D13" i="53"/>
  <c r="D14" i="53"/>
  <c r="B32" i="72"/>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<sst xmlns="http://schemas.openxmlformats.org/spreadsheetml/2006/main" count="7708" uniqueCount="3129">
  <si>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</si>
  <si>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</si>
  <si>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</si>
  <si>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</si>
  <si>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</si>
  <si>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</si>
  <si>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</si>
  <si>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</si>
  <si>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</si>
  <si>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</si>
  <si>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</si>
  <si>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</si>
  <si>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</si>
  <si>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</si>
  <si>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</si>
  <si>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</si>
  <si>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</si>
  <si>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</si>
  <si>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</si>
  <si>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</si>
  <si>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</si>
  <si>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</si>
  <si>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</si>
  <si>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</si>
  <si>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</si>
  <si>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</si>
  <si>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</si>
  <si>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</si>
  <si>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</si>
  <si>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</si>
  <si>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</si>
  <si>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</si>
  <si>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</si>
  <si>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</si>
  <si>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</si>
  <si>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</si>
  <si>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</si>
  <si>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</si>
  <si>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</si>
  <si>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</si>
  <si>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</si>
  <si>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</si>
  <si>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</si>
  <si>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</si>
  <si>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</si>
  <si>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</si>
  <si>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</si>
  <si>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</si>
  <si>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</si>
  <si>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</si>
  <si>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</si>
  <si>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</si>
  <si>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</si>
  <si>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</si>
  <si>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</si>
  <si>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</si>
  <si>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</si>
  <si>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</si>
  <si>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</si>
  <si>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</si>
  <si>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</si>
  <si>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</si>
  <si>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</si>
  <si>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</si>
  <si>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</si>
  <si>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</si>
  <si>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</si>
  <si>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</si>
  <si>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</si>
  <si>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</si>
  <si>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</si>
  <si>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</si>
  <si>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</si>
  <si>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</si>
  <si>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</si>
  <si>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</si>
  <si>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</si>
  <si>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</si>
  <si>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</si>
  <si>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</si>
  <si>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</si>
  <si>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</si>
  <si>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</si>
  <si>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</si>
  <si>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</si>
  <si>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</si>
  <si>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</si>
  <si>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</si>
  <si>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</si>
  <si>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</si>
  <si>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</si>
  <si>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</si>
  <si>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</si>
  <si>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</si>
  <si>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</si>
  <si>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</si>
  <si>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</si>
  <si>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</si>
  <si>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</si>
  <si>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</si>
  <si>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</si>
  <si>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</si>
  <si>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</si>
  <si>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</si>
  <si>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</si>
  <si>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</si>
  <si>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</si>
  <si>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</si>
  <si>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</si>
  <si>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</si>
  <si>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</si>
  <si>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</si>
  <si>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</si>
  <si>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</si>
  <si>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</si>
  <si>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</si>
  <si>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</si>
  <si>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</si>
  <si>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</si>
  <si>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</si>
  <si>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</si>
  <si>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</si>
  <si>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</si>
  <si>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</si>
  <si>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</si>
  <si>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</si>
  <si>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</si>
  <si>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</si>
  <si>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</si>
  <si>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</si>
  <si>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</si>
  <si>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</si>
  <si>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</si>
  <si>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</si>
  <si>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</si>
  <si>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</si>
  <si>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</si>
  <si>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</si>
  <si>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</si>
  <si>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</si>
  <si>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</si>
  <si>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</si>
  <si>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</si>
  <si>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</si>
  <si>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</si>
  <si>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</si>
  <si>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</si>
  <si>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</si>
  <si>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</si>
  <si>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</si>
  <si>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</si>
  <si>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</si>
  <si>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</si>
  <si>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</si>
  <si>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</si>
  <si>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</si>
  <si>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</si>
  <si>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</si>
  <si>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</si>
  <si>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</si>
  <si>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</si>
  <si>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</si>
  <si>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</si>
  <si>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</si>
  <si>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</si>
  <si>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</si>
  <si>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</si>
  <si>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</si>
  <si>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</si>
  <si>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</si>
  <si>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</si>
  <si>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</si>
  <si>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</si>
  <si>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</si>
  <si>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</si>
  <si>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</si>
  <si>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</si>
  <si>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</si>
  <si>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</si>
  <si>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</si>
  <si>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</si>
  <si>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</si>
  <si>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</si>
  <si>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</si>
  <si>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</si>
  <si>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</si>
  <si>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</si>
  <si>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</si>
  <si>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</si>
  <si>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</si>
  <si>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</si>
  <si>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</si>
  <si>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</si>
  <si>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</si>
  <si>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</si>
  <si>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</si>
  <si>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</si>
  <si>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</si>
  <si>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</si>
  <si>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</si>
  <si>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</si>
  <si>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</si>
  <si>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</si>
  <si>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</si>
  <si>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</si>
  <si>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</si>
  <si>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</si>
  <si>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</si>
  <si>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</si>
  <si>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</si>
  <si>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</si>
  <si>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</si>
  <si>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</si>
  <si>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</si>
  <si>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</si>
  <si>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</si>
  <si>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</si>
  <si>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</si>
  <si>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</si>
  <si>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</si>
  <si>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</si>
  <si>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</si>
  <si>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</si>
  <si>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</si>
  <si>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</si>
  <si>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</si>
  <si>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</si>
  <si>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</si>
  <si>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</si>
  <si>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</si>
  <si>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</si>
  <si>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</si>
  <si>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</si>
  <si>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</si>
  <si>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</si>
  <si>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</si>
  <si>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</si>
  <si>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</si>
  <si>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</si>
  <si>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</si>
  <si>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</si>
  <si>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</si>
  <si>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</si>
  <si>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</si>
  <si>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</si>
  <si>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</si>
  <si>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</si>
  <si>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</si>
  <si>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</si>
  <si>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</si>
  <si>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</si>
  <si>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</si>
  <si>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</si>
  <si>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</si>
  <si>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</si>
  <si>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</si>
  <si>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</si>
  <si>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</si>
  <si>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</si>
  <si>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</si>
  <si>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</si>
  <si>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</si>
  <si>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</si>
  <si>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</si>
  <si>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</si>
  <si>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</si>
  <si>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</si>
  <si>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</si>
  <si>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</si>
  <si>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</si>
  <si>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</si>
  <si>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</si>
  <si>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</si>
  <si>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</si>
  <si>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</si>
  <si>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</si>
  <si>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</si>
  <si>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</si>
  <si>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</si>
  <si>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</si>
  <si>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</si>
  <si>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</si>
  <si>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</si>
  <si>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</si>
  <si>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</si>
  <si>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</si>
  <si>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</si>
  <si>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</si>
  <si>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</si>
  <si>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</si>
  <si>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</si>
  <si>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</si>
  <si>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</si>
  <si>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</si>
  <si>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</si>
  <si>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</si>
  <si>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</si>
  <si>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</si>
  <si>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</si>
  <si>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</si>
  <si>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</si>
  <si>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</si>
  <si>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</si>
  <si>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</si>
  <si>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</si>
  <si>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</si>
  <si>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</si>
  <si>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</si>
  <si>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</si>
  <si>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</si>
  <si>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</si>
  <si>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</si>
  <si>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</si>
  <si>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</si>
  <si>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</si>
  <si>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</si>
  <si>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</si>
  <si>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</si>
  <si>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</si>
  <si>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</si>
  <si>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</si>
  <si>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</si>
  <si>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</si>
  <si>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</si>
  <si>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</si>
  <si>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</si>
  <si>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</si>
  <si>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</si>
  <si>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</si>
  <si>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</si>
  <si>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</si>
  <si>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</si>
  <si>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</si>
  <si>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</si>
  <si>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</si>
  <si>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</si>
  <si>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</si>
  <si>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</si>
  <si>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</si>
  <si>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</si>
  <si>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</si>
  <si>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</si>
  <si>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</si>
  <si>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</si>
  <si>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</si>
  <si>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</si>
  <si>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</si>
  <si>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</si>
  <si>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</si>
  <si>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</si>
  <si>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</si>
  <si>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</si>
  <si>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</si>
  <si>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</si>
  <si>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</si>
  <si>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</si>
  <si>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</si>
  <si>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</si>
  <si>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</si>
  <si>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</si>
  <si>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</si>
  <si>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</si>
  <si>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</si>
  <si>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</si>
  <si>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</si>
  <si>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</si>
  <si>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</si>
  <si>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</si>
  <si>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</si>
  <si>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</si>
  <si>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</si>
  <si>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</si>
  <si>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</si>
  <si>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</si>
  <si>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</si>
  <si>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</si>
  <si>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</si>
  <si>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</si>
  <si>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</si>
  <si>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</si>
  <si>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</si>
  <si>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</si>
  <si>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</si>
  <si>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</si>
  <si>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</si>
  <si>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</si>
  <si>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</si>
  <si>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</si>
  <si>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</si>
  <si>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</si>
  <si>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</si>
  <si>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</si>
  <si>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</si>
  <si>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</si>
  <si>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</si>
  <si>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</si>
  <si>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</si>
  <si>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</si>
  <si>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</si>
  <si>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</si>
  <si>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</si>
  <si>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</si>
  <si>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</si>
  <si>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</si>
  <si>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</si>
  <si>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</si>
  <si>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</si>
  <si>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</si>
  <si>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</si>
  <si>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</si>
  <si>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</si>
  <si>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</si>
  <si>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</si>
  <si>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</si>
  <si>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</si>
  <si>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</si>
  <si>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</si>
  <si>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</si>
  <si>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</si>
  <si>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</si>
  <si>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</si>
  <si>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</si>
  <si>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</si>
  <si>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</si>
  <si>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</si>
  <si>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</si>
  <si>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</si>
  <si>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</si>
  <si>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</si>
  <si>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</si>
  <si>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</si>
  <si>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</si>
  <si>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</si>
  <si>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</si>
  <si>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</si>
  <si>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</si>
  <si>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</si>
  <si>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</si>
  <si>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</si>
  <si>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</si>
  <si>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</si>
  <si>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</si>
  <si>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</si>
  <si>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</si>
  <si>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</si>
  <si>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</si>
  <si>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</si>
  <si>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</si>
  <si>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</si>
  <si>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</si>
  <si>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</si>
  <si>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</si>
  <si>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</si>
  <si>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</si>
  <si>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</si>
  <si>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</si>
  <si>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</si>
  <si>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</si>
  <si>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</si>
  <si>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</si>
  <si>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</si>
  <si>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</si>
  <si>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</si>
  <si>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</si>
  <si>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</si>
  <si>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</si>
  <si>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</si>
  <si>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</si>
  <si>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</si>
  <si>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</si>
  <si>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</si>
  <si>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</si>
  <si>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</si>
  <si>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</si>
  <si>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</si>
  <si>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</si>
  <si>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</si>
  <si>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</si>
  <si>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</si>
  <si>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</si>
  <si>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</si>
  <si>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</si>
  <si>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</si>
  <si>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</si>
  <si>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</si>
  <si>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</si>
  <si>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</si>
  <si>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</si>
  <si>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</si>
  <si>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</si>
  <si>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</si>
  <si>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</si>
  <si>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</si>
  <si>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</si>
  <si>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</si>
  <si>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</si>
  <si>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</si>
  <si>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</si>
  <si>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</si>
  <si>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</si>
  <si>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</si>
  <si>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</si>
  <si>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</si>
  <si>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</si>
  <si>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</si>
  <si>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</si>
  <si>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</si>
  <si>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</si>
  <si>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</si>
  <si>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</si>
  <si>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</si>
  <si>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</si>
  <si>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</si>
  <si>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</si>
  <si>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</si>
  <si>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</si>
  <si>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</si>
  <si>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</si>
  <si>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</si>
  <si>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</si>
  <si>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</si>
  <si>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</si>
  <si>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</si>
  <si>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</si>
  <si>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</si>
  <si>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</si>
  <si>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</si>
  <si>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</si>
  <si>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</si>
  <si>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</si>
  <si>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</si>
  <si>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</si>
  <si>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</si>
  <si>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</si>
  <si>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</si>
  <si>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</si>
  <si>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</si>
  <si>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</si>
  <si>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</si>
  <si>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</si>
  <si>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</si>
  <si>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</si>
  <si>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</si>
  <si>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</si>
  <si>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</si>
  <si>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</si>
  <si>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</si>
  <si>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</si>
  <si>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</si>
  <si>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</si>
  <si>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</si>
  <si>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</si>
  <si>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</si>
  <si>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</si>
  <si>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</si>
  <si>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</si>
  <si>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</si>
  <si>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</si>
  <si>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</si>
  <si>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</si>
  <si>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</si>
  <si>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</si>
  <si>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</si>
  <si>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</si>
  <si>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</si>
  <si>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</si>
  <si>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</si>
  <si>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</si>
  <si>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</si>
  <si>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</si>
  <si>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</si>
  <si>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</si>
  <si>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</si>
  <si>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</si>
  <si>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</si>
  <si>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</si>
  <si>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</si>
  <si>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</si>
  <si>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</si>
  <si>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</si>
  <si>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</si>
  <si>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</si>
  <si>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</si>
  <si>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</si>
  <si>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</si>
  <si>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</si>
  <si>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</si>
  <si>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</si>
  <si>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</si>
  <si>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</si>
  <si>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</si>
  <si>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</si>
  <si>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</si>
  <si>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</si>
  <si>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</si>
  <si>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</si>
  <si>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</si>
  <si>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</si>
  <si>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</si>
  <si>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</si>
  <si>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</si>
  <si>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</si>
  <si>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</si>
  <si>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</si>
  <si>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</si>
  <si>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</si>
  <si>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</si>
  <si>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</si>
  <si>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</si>
  <si>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</si>
  <si>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</si>
  <si>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</si>
  <si>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</si>
  <si>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</si>
  <si>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</si>
  <si>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</si>
  <si>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</si>
  <si>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</si>
  <si>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</si>
  <si>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</si>
  <si>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</si>
  <si>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</si>
  <si>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</si>
  <si>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</si>
  <si>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</si>
  <si>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</si>
  <si>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</si>
  <si>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</si>
  <si>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</si>
  <si>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</si>
  <si>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</si>
  <si>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</si>
  <si>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</si>
  <si>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</si>
  <si>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</si>
  <si>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</si>
  <si>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</si>
  <si>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</si>
  <si>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</si>
  <si>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</si>
  <si>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</si>
  <si>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</si>
  <si>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</si>
  <si>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</si>
  <si>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</si>
  <si>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</si>
  <si>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</si>
  <si>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</si>
  <si>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</si>
  <si>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</si>
  <si>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</si>
  <si>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</si>
  <si>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</si>
  <si>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</si>
  <si>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</si>
  <si>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</si>
  <si>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</si>
  <si>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</si>
  <si>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</si>
  <si>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</si>
  <si>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</si>
  <si>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</si>
  <si>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</si>
  <si>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</si>
  <si>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</si>
  <si>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</si>
  <si>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</si>
  <si>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</si>
  <si>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</si>
  <si>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</si>
  <si>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</si>
  <si>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</si>
  <si>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</si>
  <si>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</si>
  <si>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</si>
  <si>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</si>
  <si>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</si>
  <si>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</si>
  <si>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</si>
  <si>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</si>
  <si>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</si>
  <si>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</si>
  <si>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</si>
  <si>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</si>
  <si>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</si>
  <si>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</si>
  <si>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</si>
  <si>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</si>
  <si>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</si>
  <si>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</si>
  <si>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</si>
  <si>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</si>
  <si>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</si>
  <si>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</si>
  <si>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</si>
  <si>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</si>
  <si>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</si>
  <si>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</si>
  <si>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</si>
  <si>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</si>
  <si>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</si>
  <si>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</si>
  <si>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</si>
  <si>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</si>
  <si>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</si>
  <si>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</si>
  <si>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</si>
  <si>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</si>
  <si>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</si>
  <si>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</si>
  <si>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</si>
  <si>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</si>
  <si>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</si>
  <si>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</si>
  <si>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</si>
  <si>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</si>
  <si>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</si>
  <si>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</si>
  <si>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</si>
  <si>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</si>
  <si>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</si>
  <si>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</si>
  <si>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</si>
  <si>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</si>
  <si>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</si>
  <si>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</si>
  <si>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</si>
  <si>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</si>
  <si>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</si>
  <si>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</si>
  <si>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</si>
  <si>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</si>
  <si>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</si>
  <si>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</si>
  <si>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</si>
  <si>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</si>
  <si>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</si>
  <si>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</si>
  <si>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</si>
  <si>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</si>
  <si>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</si>
  <si>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</si>
  <si>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</si>
  <si>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</si>
  <si>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</si>
  <si>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</si>
  <si>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</si>
  <si>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</si>
  <si>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</si>
  <si>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</si>
  <si>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</si>
  <si>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</si>
  <si>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</si>
  <si>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</si>
  <si>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</si>
  <si>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</si>
  <si>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</si>
  <si>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</si>
  <si>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</si>
  <si>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</si>
  <si>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</si>
  <si>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</si>
  <si>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</si>
  <si>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</si>
  <si>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</si>
  <si>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</si>
  <si>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</si>
  <si>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</si>
  <si>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</si>
  <si>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</si>
  <si>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</si>
  <si>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</si>
  <si>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</si>
  <si>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</si>
  <si>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</si>
  <si>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</si>
  <si>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</si>
  <si>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</si>
  <si>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</si>
  <si>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</si>
  <si>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</si>
  <si>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</si>
  <si>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</si>
  <si>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</si>
  <si>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</si>
  <si>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</si>
  <si>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</si>
  <si>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</si>
  <si>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</si>
  <si>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</si>
  <si>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</si>
  <si>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</si>
  <si>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</si>
  <si>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</si>
  <si>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</si>
  <si>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</si>
  <si>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</si>
  <si>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</si>
  <si>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</si>
  <si>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</si>
  <si>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</si>
  <si>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</si>
  <si>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</si>
  <si>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</si>
  <si>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</si>
  <si>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</si>
  <si>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</si>
  <si>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</si>
  <si>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</si>
  <si>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</si>
  <si>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</si>
  <si>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</si>
  <si>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</si>
  <si>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</si>
  <si>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</si>
  <si>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</si>
  <si>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</si>
  <si>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</si>
  <si>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</si>
  <si>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</si>
  <si>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</si>
  <si>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</si>
  <si>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</si>
  <si>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</si>
  <si>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</si>
  <si>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</si>
  <si>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</si>
  <si>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</si>
  <si>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</si>
  <si>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</si>
  <si>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</si>
  <si>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</si>
  <si>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</si>
  <si>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</si>
  <si>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</si>
  <si>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</si>
  <si>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</si>
  <si>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</si>
  <si>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</si>
  <si>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</si>
  <si>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</si>
  <si>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</si>
  <si>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</si>
  <si>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</si>
  <si>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</si>
  <si>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</si>
  <si>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</si>
  <si>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</si>
  <si>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</si>
  <si>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</si>
  <si>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</si>
  <si>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</si>
  <si>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</si>
  <si>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</si>
  <si>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</si>
  <si>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</si>
  <si>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</si>
  <si>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</si>
  <si>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</si>
  <si>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</si>
  <si>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</si>
  <si>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</si>
  <si>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</si>
  <si>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</si>
  <si>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</si>
  <si>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</si>
  <si>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</si>
  <si>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</si>
  <si>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</si>
  <si>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</si>
  <si>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</si>
  <si>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</si>
  <si>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</si>
  <si>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</si>
  <si>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</si>
  <si>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</si>
  <si>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</si>
  <si>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</si>
  <si>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</si>
  <si>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</si>
  <si>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</si>
  <si>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</si>
  <si>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</si>
  <si>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</si>
  <si>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</si>
  <si>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</si>
  <si>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</si>
  <si>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</si>
  <si>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</si>
  <si>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</si>
  <si>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</si>
  <si>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</si>
  <si>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</si>
  <si>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</si>
  <si>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</si>
  <si>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</si>
  <si>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</si>
  <si>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</si>
  <si>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</si>
  <si>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</si>
  <si>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</si>
  <si>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</si>
  <si>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</si>
  <si>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</si>
  <si>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</si>
  <si>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</si>
  <si>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</si>
  <si>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</si>
  <si>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</si>
  <si>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</si>
  <si>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</si>
  <si>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</si>
  <si>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</si>
  <si>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</si>
  <si>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</si>
  <si>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</si>
  <si>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</si>
  <si>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</si>
  <si>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</si>
  <si>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</si>
  <si>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</si>
  <si>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</si>
  <si>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</si>
  <si>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</si>
  <si>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</si>
  <si>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</si>
  <si>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</si>
  <si>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</si>
  <si>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</si>
  <si>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</si>
  <si>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</si>
  <si>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</si>
  <si>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</si>
  <si>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</si>
  <si>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</si>
  <si>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</si>
  <si>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</si>
  <si>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</si>
  <si>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</si>
  <si>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</si>
  <si>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</si>
  <si>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</si>
  <si>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</si>
  <si>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</si>
  <si>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</si>
  <si>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</si>
  <si>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</si>
  <si>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</si>
  <si>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</si>
  <si>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</si>
  <si>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</si>
  <si>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</si>
  <si>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</si>
  <si>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</si>
  <si>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</si>
  <si>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</si>
  <si>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</si>
  <si>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</si>
  <si>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</si>
  <si>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</si>
  <si>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</si>
  <si>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</si>
  <si>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</si>
  <si>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</si>
  <si>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</si>
  <si>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</si>
  <si>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</si>
  <si>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</si>
  <si>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</si>
  <si>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</si>
  <si>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</si>
  <si>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</si>
  <si>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</si>
  <si>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</si>
  <si>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</si>
  <si>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</si>
  <si>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</si>
  <si>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</si>
  <si>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</si>
  <si>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</si>
  <si>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</si>
  <si>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</si>
  <si>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</si>
  <si>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</si>
  <si>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</si>
  <si>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</si>
  <si>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</si>
  <si>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</si>
  <si>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</si>
  <si>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</si>
  <si>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</si>
  <si>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</si>
  <si>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</si>
  <si>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</si>
  <si>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</si>
  <si>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</si>
  <si>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</si>
  <si>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</si>
  <si>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</si>
  <si>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</si>
  <si>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</si>
  <si>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</si>
  <si>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</si>
  <si>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</si>
  <si>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</si>
  <si>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</si>
  <si>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</si>
  <si>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</si>
  <si>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</si>
  <si>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</si>
  <si>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</si>
  <si>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</si>
  <si>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</si>
  <si>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</si>
  <si>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</si>
  <si>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</si>
  <si>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</si>
  <si>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</si>
  <si>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</si>
  <si>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</si>
  <si>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</si>
  <si>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</si>
  <si>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</si>
  <si>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</si>
  <si>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</si>
  <si>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</si>
  <si>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</si>
  <si>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</si>
  <si>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</si>
  <si>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</si>
  <si>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</si>
  <si>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</si>
  <si>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</si>
  <si>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</si>
  <si>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</si>
  <si>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</si>
  <si>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</si>
  <si>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</si>
  <si>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</si>
  <si>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</si>
  <si>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</si>
  <si>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</si>
  <si>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</si>
  <si>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</si>
  <si>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</si>
  <si>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</si>
  <si>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</si>
  <si>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</si>
  <si>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</si>
  <si>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</si>
  <si>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</si>
  <si>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</si>
  <si>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</si>
  <si>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</si>
  <si>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</si>
  <si>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</si>
  <si>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</si>
  <si>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</si>
  <si>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</si>
  <si>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</si>
  <si>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</si>
  <si>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</si>
  <si>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</si>
  <si>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</si>
  <si>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</si>
  <si>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</si>
  <si>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</si>
  <si>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</si>
  <si>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</si>
  <si>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</si>
  <si>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</si>
  <si>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</si>
  <si>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</si>
  <si>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</si>
  <si>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</si>
  <si>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</si>
  <si>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</si>
  <si>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</si>
  <si>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</si>
  <si>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</si>
  <si>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</si>
  <si>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</si>
  <si>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</si>
  <si>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</si>
  <si>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</si>
  <si>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</si>
  <si>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</si>
  <si>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</si>
  <si>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</si>
  <si>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</si>
  <si>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</si>
  <si>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</si>
  <si>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</si>
  <si>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</si>
  <si>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</si>
  <si>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</si>
  <si>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</si>
  <si>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</si>
  <si>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</si>
  <si>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</si>
  <si>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</si>
  <si>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</si>
  <si>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</si>
  <si>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</si>
  <si>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</si>
  <si>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</si>
  <si>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</si>
  <si>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</si>
  <si>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</si>
  <si>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</si>
  <si>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</si>
  <si>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</si>
  <si>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</si>
  <si>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</si>
  <si>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</si>
  <si>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</si>
  <si>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</si>
  <si>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</si>
  <si>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</si>
  <si>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</si>
  <si>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</si>
  <si>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</si>
  <si>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</si>
  <si>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</si>
  <si>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</si>
  <si>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</si>
  <si>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</si>
  <si>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</si>
  <si>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</si>
  <si>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</si>
  <si>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</si>
  <si>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</si>
  <si>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</si>
  <si>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</si>
  <si>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</si>
  <si>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</si>
  <si>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</si>
  <si>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</si>
  <si>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</si>
  <si>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</si>
  <si>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</si>
  <si>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</si>
  <si>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</si>
  <si>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</si>
  <si>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</si>
  <si>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</si>
  <si>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</si>
  <si>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</si>
  <si>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</si>
  <si>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</si>
  <si>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</si>
  <si>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</si>
  <si>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</si>
  <si>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</si>
  <si>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</si>
  <si>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</si>
  <si>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</si>
  <si>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</si>
  <si>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</si>
  <si>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</si>
  <si>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</si>
  <si>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</si>
  <si>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</si>
  <si>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</si>
  <si>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</si>
  <si>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</si>
  <si>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</si>
  <si>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</si>
  <si>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</si>
  <si>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</si>
  <si>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</si>
  <si>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</si>
  <si>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</si>
  <si>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</si>
  <si>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</si>
  <si>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</si>
  <si>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</si>
  <si>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</si>
  <si>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</si>
  <si>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</si>
  <si>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</si>
  <si>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</si>
  <si>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</si>
  <si>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</si>
  <si>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</si>
  <si>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</si>
  <si>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</si>
  <si>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</si>
  <si>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</si>
  <si>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</si>
  <si>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</si>
  <si>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</si>
  <si>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</si>
  <si>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</si>
  <si>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</si>
  <si>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</si>
  <si>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</si>
  <si>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</si>
  <si>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</si>
  <si>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</si>
  <si>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</si>
  <si>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</si>
  <si>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</si>
  <si>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</si>
  <si>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</si>
  <si>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</si>
  <si>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</si>
  <si>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</si>
  <si>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</si>
  <si>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</si>
  <si>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</si>
  <si>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</si>
  <si>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</si>
  <si>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</si>
  <si>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</si>
  <si>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</si>
  <si>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</si>
  <si>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</si>
  <si>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</si>
  <si>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</si>
  <si>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</si>
  <si>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</si>
  <si>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</si>
  <si>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</si>
  <si>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</si>
  <si>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</si>
  <si>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</si>
  <si>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</si>
  <si>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</si>
  <si>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</si>
  <si>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</si>
  <si>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</si>
  <si>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</si>
  <si>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</si>
  <si>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</si>
  <si>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</si>
  <si>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</si>
  <si>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</si>
  <si>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</si>
  <si>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</si>
  <si>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</si>
  <si>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</si>
  <si>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</si>
  <si>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</si>
  <si>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</si>
  <si>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</si>
  <si>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</si>
  <si>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</si>
  <si>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</si>
  <si>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</si>
  <si>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</si>
  <si>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</si>
  <si>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</si>
  <si>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</si>
  <si>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</si>
  <si>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</si>
  <si>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</si>
  <si>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</si>
  <si>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</si>
  <si>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</si>
  <si>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</si>
  <si>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</si>
  <si>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</si>
  <si>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</si>
  <si>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</si>
  <si>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</si>
  <si>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</si>
  <si>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</si>
  <si>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</si>
  <si>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</si>
  <si>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</si>
  <si>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</si>
  <si>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</si>
  <si>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</si>
  <si>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</si>
  <si>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</si>
  <si>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</si>
  <si>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</si>
  <si>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</si>
  <si>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</si>
  <si>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</si>
  <si>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</si>
  <si>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</si>
  <si>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</si>
  <si>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</si>
  <si>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</si>
  <si>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</si>
  <si>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</si>
  <si>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</si>
  <si>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</si>
  <si>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</si>
  <si>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</si>
  <si>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</si>
  <si>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</si>
  <si>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</si>
  <si>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</si>
  <si>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</si>
  <si>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</si>
  <si>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</si>
  <si>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</si>
  <si>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</si>
  <si>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</si>
  <si>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</si>
  <si>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</si>
  <si>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</si>
  <si>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</si>
  <si>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</si>
  <si>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</si>
  <si>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</si>
  <si>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</si>
  <si>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</si>
  <si>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</si>
  <si>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</si>
  <si>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</si>
  <si>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</si>
  <si>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</si>
  <si>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</si>
  <si>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</si>
  <si>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</si>
  <si>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</si>
  <si>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</si>
  <si>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</si>
  <si>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</si>
  <si>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</si>
  <si>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</si>
  <si>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</si>
  <si>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</si>
  <si>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</si>
  <si>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</si>
  <si>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</si>
  <si>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</si>
  <si>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</si>
  <si>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</si>
  <si>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</si>
  <si>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</si>
  <si>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</si>
  <si>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</si>
  <si>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</si>
  <si>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</si>
  <si>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</si>
  <si>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</si>
  <si>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</si>
  <si>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</si>
  <si>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</si>
  <si>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</si>
  <si>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</si>
  <si>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</si>
  <si>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</si>
  <si>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</si>
  <si>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</si>
  <si>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</si>
  <si>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</si>
  <si>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</si>
  <si>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</si>
  <si>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</si>
  <si>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</si>
  <si>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</si>
  <si>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</si>
  <si>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</si>
  <si>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</si>
  <si>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</si>
  <si>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</si>
  <si>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</si>
  <si>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</si>
  <si>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</si>
  <si>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</si>
  <si>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</si>
  <si>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</si>
  <si>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</si>
  <si>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</si>
  <si>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</si>
  <si>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</si>
  <si>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</si>
  <si>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</si>
  <si>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</si>
  <si>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</si>
  <si>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</si>
  <si>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</si>
  <si>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</si>
  <si>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</si>
  <si>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</si>
  <si>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</si>
  <si>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</si>
  <si>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</si>
  <si>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</si>
  <si>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</si>
  <si>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</si>
  <si>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</si>
  <si>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</si>
  <si>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</si>
  <si>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</si>
  <si>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</si>
  <si>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</si>
  <si>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</si>
  <si>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</si>
  <si>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</si>
  <si>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</si>
  <si>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</si>
  <si>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</si>
  <si>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</si>
  <si>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</si>
  <si>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</si>
  <si>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</si>
  <si>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</si>
  <si>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</si>
  <si>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</si>
  <si>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</si>
  <si>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</si>
  <si>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</si>
  <si>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</si>
  <si>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</si>
  <si>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</si>
  <si>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</si>
  <si>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</si>
  <si>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</si>
  <si>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</si>
  <si>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</si>
  <si>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</si>
  <si>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</si>
  <si>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</si>
  <si>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</si>
  <si>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</si>
  <si>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</si>
  <si>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</si>
  <si>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</si>
  <si>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</si>
  <si>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</si>
  <si>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</si>
  <si>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</si>
  <si>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</si>
  <si>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</si>
  <si>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</si>
  <si>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</si>
  <si>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</si>
  <si>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</si>
  <si>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</si>
  <si>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</si>
  <si>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</si>
  <si>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</si>
  <si>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</si>
  <si>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</si>
  <si>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</si>
  <si>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</si>
  <si>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</si>
  <si>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</si>
  <si>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</si>
  <si>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</si>
  <si>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</si>
  <si>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</si>
  <si>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</si>
  <si>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</si>
  <si>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</si>
  <si>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</si>
  <si>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</si>
  <si>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</si>
  <si>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</si>
  <si>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</si>
  <si>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</si>
  <si>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</si>
  <si>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</si>
  <si>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</si>
  <si>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</si>
  <si>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</si>
  <si>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</si>
  <si>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</si>
  <si>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</si>
  <si>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</si>
  <si>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</si>
  <si>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</si>
  <si>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</si>
  <si>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</si>
  <si>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</si>
  <si>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</si>
  <si>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</si>
  <si>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</si>
  <si>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</si>
  <si>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</si>
  <si>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</si>
  <si>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</si>
  <si>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</si>
  <si>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</si>
  <si>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</si>
  <si>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</si>
  <si>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</si>
  <si>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</si>
  <si>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</si>
  <si>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</si>
  <si>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</si>
  <si>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</si>
  <si>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</si>
  <si>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</si>
  <si>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</si>
  <si>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</si>
  <si>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</si>
  <si>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</si>
  <si>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</si>
  <si>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</si>
  <si>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</si>
  <si>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</si>
  <si>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</si>
  <si>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</si>
  <si>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</si>
  <si>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</si>
  <si>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</si>
  <si>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</si>
  <si>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</si>
  <si>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</si>
  <si>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</si>
  <si>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</si>
  <si>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</si>
  <si>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</si>
  <si>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</si>
  <si>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</si>
  <si>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</si>
  <si>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</si>
  <si>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</si>
  <si>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</si>
  <si>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</si>
  <si>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</si>
  <si>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</si>
  <si>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</si>
  <si>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</si>
  <si>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</si>
  <si>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</si>
  <si>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</si>
  <si>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</si>
  <si>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</si>
  <si>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</si>
  <si>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</si>
  <si>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</si>
  <si>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</si>
  <si>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</si>
  <si>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</si>
  <si>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</si>
  <si>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</si>
  <si>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</si>
  <si>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</si>
  <si>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</si>
  <si>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</si>
  <si>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</si>
  <si>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</si>
  <si>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</si>
  <si>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</si>
  <si>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</si>
  <si>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</si>
  <si>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</si>
  <si>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</si>
  <si>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</si>
  <si>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</si>
  <si>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</si>
  <si>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</si>
  <si>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</si>
  <si>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</si>
  <si>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</si>
  <si>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</si>
  <si>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</si>
  <si>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</si>
  <si>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</si>
  <si>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</si>
  <si>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</si>
  <si>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</si>
  <si>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</si>
  <si>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</si>
  <si>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</si>
  <si>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</si>
  <si>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</si>
  <si>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</si>
  <si>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</si>
  <si>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</si>
  <si>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</si>
  <si>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</si>
  <si>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</si>
  <si>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</si>
  <si>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</si>
  <si>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</si>
  <si>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</si>
  <si>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</si>
  <si>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</si>
  <si>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</si>
  <si>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</si>
  <si>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</si>
  <si>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</si>
  <si>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</si>
  <si>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</si>
  <si>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</si>
  <si>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</si>
  <si>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</si>
  <si>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</si>
  <si>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</si>
  <si>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</si>
  <si>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</si>
  <si>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</si>
  <si>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</si>
  <si>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</si>
  <si>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</si>
  <si>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</si>
  <si>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</si>
  <si>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</si>
  <si>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</si>
  <si>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</si>
  <si>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</si>
  <si>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</si>
  <si>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</si>
  <si>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</si>
  <si>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</si>
  <si>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</si>
  <si>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</si>
  <si>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</si>
  <si>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</si>
  <si>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</si>
  <si>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</si>
  <si>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</si>
  <si>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</si>
  <si>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</si>
  <si>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</si>
  <si>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</si>
  <si>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</si>
  <si>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</si>
  <si>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</si>
  <si>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</si>
  <si>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</si>
  <si>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</si>
  <si>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</si>
  <si>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</si>
  <si>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</si>
  <si>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</si>
  <si>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</si>
  <si>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</si>
  <si>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</si>
  <si>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</si>
  <si>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</si>
  <si>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</si>
  <si>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</si>
  <si>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</si>
  <si>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</si>
  <si>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</si>
  <si>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</si>
  <si>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</si>
  <si>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</si>
  <si>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</si>
  <si>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</si>
  <si>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</si>
  <si>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</si>
  <si>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</si>
  <si>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</si>
  <si>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</si>
  <si>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</si>
  <si>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</si>
  <si>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</si>
  <si>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</si>
  <si>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</si>
  <si>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</si>
  <si>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</si>
  <si>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</si>
  <si>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</si>
  <si>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</si>
  <si>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</si>
  <si>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</si>
  <si>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</si>
  <si>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</si>
  <si>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</si>
  <si>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</si>
  <si>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</si>
  <si>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</si>
  <si>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</si>
  <si>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</si>
  <si>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</si>
  <si>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</si>
  <si>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</si>
  <si>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</si>
  <si>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</si>
  <si>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</si>
  <si>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</si>
  <si>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</si>
  <si>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</si>
  <si>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</si>
  <si>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</si>
  <si>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</si>
  <si>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</si>
  <si>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</si>
  <si>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</si>
  <si>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</si>
  <si>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</si>
  <si>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</si>
  <si>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</si>
  <si>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</si>
  <si>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</si>
  <si>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</si>
  <si>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</si>
  <si>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</si>
  <si>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</si>
  <si>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</si>
  <si>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</si>
  <si>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</si>
  <si>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</si>
  <si>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</si>
  <si>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</si>
  <si>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</si>
  <si>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</si>
  <si>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</si>
  <si>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</si>
  <si>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</si>
  <si>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</si>
  <si>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</si>
  <si>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</si>
  <si>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</si>
  <si>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</si>
  <si>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</si>
  <si>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</si>
  <si>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</si>
  <si>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</si>
  <si>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</si>
  <si>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</si>
  <si>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</si>
  <si>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</si>
  <si>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</si>
  <si>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</si>
  <si>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</si>
  <si>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</si>
  <si>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</si>
  <si>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</si>
  <si>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</si>
  <si>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</si>
  <si>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</si>
  <si>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</si>
  <si>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</si>
  <si>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</si>
  <si>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</si>
  <si>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</si>
  <si>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</si>
  <si>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</si>
  <si>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</si>
  <si>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</si>
  <si>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</si>
  <si>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</si>
  <si>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</si>
  <si>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</si>
  <si>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</si>
  <si>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</si>
  <si>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</si>
  <si>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</si>
  <si>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</si>
  <si>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</si>
  <si>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</si>
  <si>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</si>
  <si>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</si>
  <si>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</si>
  <si>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</si>
  <si>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</si>
  <si>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</si>
  <si>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</si>
  <si>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</si>
  <si>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</si>
  <si>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</si>
  <si>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</si>
  <si>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</si>
  <si>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</si>
  <si>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</si>
  <si>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</si>
  <si>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</si>
  <si>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</si>
  <si>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</si>
  <si>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</si>
  <si>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</si>
  <si>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</si>
  <si>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</si>
  <si>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</si>
  <si>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</si>
  <si>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</si>
  <si>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</si>
  <si>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</si>
  <si>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</si>
  <si>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</si>
  <si>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</si>
  <si>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</si>
  <si>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</si>
  <si>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</si>
  <si>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</si>
  <si>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</si>
  <si>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</si>
  <si>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</si>
  <si>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</si>
  <si>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</si>
  <si>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</si>
  <si>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</si>
  <si>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</si>
  <si>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</si>
  <si>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</si>
  <si>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</si>
  <si>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</si>
  <si>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</si>
  <si>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</si>
  <si>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</si>
  <si>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</si>
  <si>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</si>
  <si>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</si>
  <si>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</si>
  <si>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</si>
  <si>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</si>
  <si>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</si>
  <si>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</si>
  <si>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</si>
  <si>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</si>
  <si>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</si>
  <si>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</si>
  <si>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</si>
  <si>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</si>
  <si>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</si>
  <si>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</si>
  <si>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</si>
  <si>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</si>
  <si>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</si>
  <si>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</si>
  <si>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</si>
  <si>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</si>
  <si>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</si>
  <si>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</si>
  <si>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</si>
  <si>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</si>
  <si>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</si>
  <si>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</si>
  <si>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</si>
  <si>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</si>
  <si>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</si>
  <si>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</si>
  <si>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</si>
  <si>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</si>
  <si>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</si>
  <si>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</si>
  <si>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</si>
  <si>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</si>
  <si>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</si>
  <si>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</si>
  <si>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</si>
  <si>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</si>
  <si>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</si>
  <si>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</si>
  <si>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</si>
  <si>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</si>
  <si>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</si>
  <si>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</si>
  <si>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</si>
  <si>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</si>
  <si>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</si>
  <si>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</si>
  <si>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</si>
  <si>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</si>
  <si>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</si>
  <si>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</si>
  <si>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</si>
  <si>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</si>
  <si>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</si>
  <si>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</si>
  <si>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</si>
  <si>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</si>
  <si>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</si>
  <si>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</si>
  <si>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</si>
  <si>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</si>
  <si>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</si>
  <si>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</si>
  <si>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</si>
  <si>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</si>
  <si>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</si>
  <si>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</si>
  <si>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</si>
  <si>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</si>
  <si>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</si>
  <si>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</si>
  <si>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</si>
  <si>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</si>
  <si>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</si>
  <si>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</si>
  <si>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</si>
  <si>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</si>
  <si>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</si>
  <si>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</si>
  <si>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</si>
  <si>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</si>
  <si>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</si>
  <si>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</si>
  <si>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</si>
  <si>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</si>
  <si>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</si>
  <si>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</si>
  <si>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</si>
  <si>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</si>
  <si>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</si>
  <si>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</si>
  <si>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</si>
  <si>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</si>
  <si>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</si>
  <si>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</si>
  <si>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</si>
  <si>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</si>
  <si>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</si>
  <si>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</si>
  <si>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</si>
  <si>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</si>
  <si>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</si>
  <si>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</si>
  <si>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</si>
  <si>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</si>
  <si>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</si>
  <si>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</si>
  <si>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</si>
  <si>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</si>
  <si>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</si>
  <si>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</si>
  <si>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</si>
  <si>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</si>
  <si>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</si>
  <si>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</si>
  <si>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</si>
  <si>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</si>
  <si>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</si>
  <si>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</si>
  <si>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</si>
  <si>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</si>
  <si>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</si>
  <si>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</si>
  <si>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</si>
  <si>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</si>
  <si>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</si>
  <si>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</si>
  <si>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</si>
  <si>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</si>
  <si>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</si>
  <si>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</si>
  <si>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</si>
  <si>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</si>
  <si>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</si>
  <si>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</si>
  <si>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</si>
  <si>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</si>
  <si>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</si>
  <si>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</si>
  <si>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</si>
  <si>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</si>
  <si>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</si>
  <si>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</si>
  <si>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</si>
  <si>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</si>
  <si>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</si>
  <si>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</si>
  <si>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</si>
  <si>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</si>
  <si>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</si>
  <si>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</si>
  <si>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</si>
  <si>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</si>
  <si>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</si>
  <si>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</si>
  <si>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</si>
  <si>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</si>
  <si>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</si>
  <si>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</si>
  <si>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</si>
  <si>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</si>
  <si>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</si>
  <si>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</si>
  <si>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</si>
  <si>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</si>
  <si>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</si>
  <si>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</si>
  <si>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</si>
  <si>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</si>
  <si>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</si>
  <si>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</si>
  <si>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</si>
  <si>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</si>
  <si>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</si>
  <si>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</si>
  <si>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</si>
  <si>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</si>
  <si>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</si>
  <si>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</si>
  <si>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</si>
  <si>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</si>
  <si>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</si>
  <si>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</si>
  <si>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</si>
  <si>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</si>
  <si>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</si>
  <si>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</si>
  <si>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</si>
  <si>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</si>
  <si>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</si>
  <si>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</si>
  <si>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</si>
  <si>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</si>
  <si>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</si>
  <si>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</si>
  <si>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</si>
  <si>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</si>
  <si>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</si>
  <si>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</si>
  <si>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</si>
  <si>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</si>
  <si>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</si>
  <si>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</si>
  <si>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</si>
  <si>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</si>
  <si>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</si>
  <si>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</si>
  <si>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</si>
  <si>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</si>
  <si>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</si>
  <si>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</si>
  <si>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</si>
  <si>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</si>
  <si>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</si>
  <si>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</si>
  <si>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</si>
  <si>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</si>
  <si>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</si>
  <si>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</si>
  <si>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</si>
  <si>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</si>
  <si>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</si>
  <si>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</si>
  <si>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</si>
  <si>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</si>
  <si>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</si>
  <si>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</si>
  <si>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</si>
  <si>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</si>
  <si>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</si>
  <si>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</si>
  <si>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</si>
  <si>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</si>
  <si>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</si>
  <si>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</si>
  <si>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</si>
  <si>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</si>
  <si>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</si>
  <si>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</si>
  <si>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</si>
  <si>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</si>
  <si>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</si>
  <si>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</si>
  <si>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</si>
  <si>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</si>
  <si>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</si>
  <si>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</si>
  <si>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</si>
  <si>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</si>
  <si>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</si>
  <si>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</si>
  <si>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</si>
  <si>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</si>
  <si>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</si>
  <si>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</si>
  <si>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</si>
  <si>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</si>
  <si>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</si>
  <si>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</si>
  <si>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</si>
  <si>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</si>
  <si>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</si>
  <si>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</si>
  <si>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</si>
  <si>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</si>
  <si>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</si>
  <si>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</si>
  <si>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</si>
  <si>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</si>
  <si>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</si>
  <si>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</si>
  <si>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</si>
  <si>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</si>
  <si>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</si>
  <si>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</si>
  <si>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</si>
  <si>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</si>
  <si>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</si>
  <si>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</si>
  <si>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</si>
  <si>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</si>
  <si>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</si>
  <si>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</si>
  <si>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</si>
  <si>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</si>
  <si>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</si>
  <si>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</si>
  <si>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</si>
  <si>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</si>
  <si>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</si>
  <si>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</si>
  <si>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</si>
  <si>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</si>
  <si>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</si>
  <si>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</si>
  <si>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</si>
  <si>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</si>
  <si>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</si>
  <si>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</si>
  <si>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</si>
  <si>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</si>
  <si>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</si>
  <si>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</si>
  <si>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</si>
  <si>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</si>
  <si>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</si>
  <si>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</si>
  <si>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</si>
  <si>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</si>
  <si>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</si>
  <si>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</si>
  <si>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</si>
  <si>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</si>
  <si>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</si>
  <si>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</si>
  <si>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</si>
  <si>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</si>
  <si>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</si>
  <si>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</si>
  <si>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</si>
  <si>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</si>
  <si>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</si>
  <si>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</si>
  <si>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</si>
  <si>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</si>
  <si>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</si>
  <si>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</si>
  <si>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</si>
  <si>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</si>
  <si>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</si>
  <si>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</si>
  <si>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</si>
  <si>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</si>
  <si>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</si>
  <si>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</si>
  <si>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</si>
  <si>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</si>
  <si>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</si>
  <si>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</si>
  <si>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</si>
  <si>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</si>
  <si>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</si>
  <si>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</si>
  <si>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</si>
  <si>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</si>
  <si>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</si>
  <si>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</si>
  <si>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</si>
  <si>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</si>
  <si>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</si>
  <si>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</si>
  <si>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</si>
  <si>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</si>
  <si>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</si>
  <si>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</si>
  <si>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</si>
  <si>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</si>
  <si>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</si>
  <si>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</si>
  <si>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</si>
  <si>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</si>
  <si>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</si>
  <si>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</si>
  <si>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</si>
  <si>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</si>
  <si>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</si>
  <si>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</si>
  <si>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</si>
  <si>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</si>
  <si>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</si>
  <si>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</si>
  <si>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</si>
  <si>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</si>
  <si>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</si>
  <si>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</si>
  <si>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</si>
  <si>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</si>
  <si>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</si>
  <si>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</si>
  <si>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</si>
  <si>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</si>
  <si>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</si>
  <si>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</si>
  <si>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</si>
  <si>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</si>
  <si>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</si>
  <si>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</si>
  <si>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</si>
  <si>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</si>
  <si>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</si>
  <si>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</si>
  <si>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</si>
  <si>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</si>
  <si>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</si>
  <si>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</si>
  <si>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</si>
  <si>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</si>
  <si>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</si>
  <si>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</si>
  <si>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</si>
  <si>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</si>
  <si>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</si>
  <si>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</si>
  <si>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</si>
  <si>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</si>
  <si>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</si>
  <si>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</si>
  <si>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</si>
  <si>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</si>
  <si>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</si>
  <si>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</si>
  <si>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</si>
  <si>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</si>
  <si>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</si>
  <si>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</si>
  <si>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</si>
  <si>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</si>
  <si>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</si>
  <si>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</si>
  <si>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</si>
  <si>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</si>
  <si>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</si>
  <si>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</si>
  <si>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</si>
  <si>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</si>
  <si>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</si>
  <si>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</si>
  <si>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</si>
  <si>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</si>
  <si>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</si>
  <si>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</si>
  <si>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</si>
  <si>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</si>
  <si>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</si>
  <si>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</si>
  <si>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</si>
  <si>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</si>
  <si>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</si>
  <si>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</si>
  <si>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</si>
  <si>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</si>
  <si>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</si>
  <si>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</si>
  <si>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</si>
  <si>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</si>
  <si>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</si>
  <si>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</si>
  <si>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</si>
  <si>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</si>
  <si>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</si>
  <si>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</si>
  <si>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</si>
  <si>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</si>
  <si>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</si>
  <si>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</si>
  <si>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</si>
  <si>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</si>
  <si>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</si>
  <si>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</si>
  <si>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</si>
  <si>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</si>
  <si>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</si>
  <si>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</si>
  <si>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</si>
  <si>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</si>
  <si>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</si>
  <si>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</si>
  <si>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</si>
  <si>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</si>
  <si>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</si>
  <si>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</si>
  <si>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</si>
  <si>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</si>
  <si>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</si>
  <si>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</si>
  <si>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</si>
  <si>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</si>
  <si>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</si>
  <si>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</si>
  <si>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</si>
  <si>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</si>
  <si>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</si>
  <si>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</si>
  <si>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</si>
  <si>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</si>
  <si>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</si>
  <si>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</si>
  <si>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</si>
  <si>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</si>
  <si>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</si>
  <si>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</si>
  <si>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</si>
  <si>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</si>
  <si>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</si>
  <si>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</si>
  <si>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</si>
  <si>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</si>
  <si>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</si>
  <si>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</si>
  <si>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</si>
  <si>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</si>
  <si>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</si>
  <si>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</si>
  <si>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</si>
  <si>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</si>
  <si>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</si>
  <si>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</si>
  <si>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</si>
  <si>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</si>
  <si>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</si>
  <si>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</si>
  <si>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</si>
  <si>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</si>
  <si>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</si>
  <si>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</si>
  <si>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</si>
  <si>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</si>
  <si>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</si>
  <si>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</si>
  <si>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</si>
  <si>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</si>
  <si>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</si>
  <si>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</si>
  <si>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</si>
  <si>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</si>
  <si>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</si>
  <si>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</si>
  <si>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</si>
  <si>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</si>
  <si>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</si>
  <si>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</si>
  <si>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</si>
  <si>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</si>
  <si>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</si>
  <si>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</si>
  <si>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</si>
  <si>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</si>
  <si>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</si>
  <si>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</si>
  <si>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</si>
  <si>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</si>
  <si>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</si>
  <si>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</si>
  <si>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</si>
  <si>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</si>
  <si>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</si>
  <si>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</si>
  <si>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</si>
  <si>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</si>
  <si>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</si>
  <si>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</si>
  <si>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</si>
  <si>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</si>
  <si>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</si>
  <si>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</si>
  <si>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</si>
  <si>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</si>
  <si>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</si>
  <si>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</si>
  <si>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</si>
  <si>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</si>
  <si>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</si>
  <si>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</si>
  <si>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</si>
  <si>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</si>
  <si>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</si>
  <si>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</si>
  <si>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</si>
  <si>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</si>
  <si>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</si>
  <si>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</si>
  <si>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</si>
  <si>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</si>
  <si>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</si>
  <si>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</si>
  <si>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</si>
  <si>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</si>
  <si>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</si>
  <si>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</si>
  <si>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</si>
  <si>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</si>
  <si>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</si>
  <si>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</si>
  <si>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</si>
  <si>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</si>
  <si>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</si>
  <si>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</si>
  <si>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</si>
  <si>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</si>
  <si>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</si>
  <si>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</si>
  <si>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</si>
  <si>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</si>
  <si>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</si>
  <si>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</si>
  <si>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</si>
  <si>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</si>
  <si>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</si>
  <si>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</si>
  <si>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</si>
  <si>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</si>
  <si>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</si>
  <si>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</si>
  <si>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</si>
  <si>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</si>
  <si>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</si>
  <si>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</si>
  <si>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</si>
  <si>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</si>
  <si>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</si>
  <si>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</si>
  <si>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</si>
  <si>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</si>
  <si>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</si>
  <si>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</si>
  <si>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</si>
  <si>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</si>
  <si>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</si>
  <si>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</si>
  <si>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</si>
  <si>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</si>
  <si>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</si>
  <si>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</si>
  <si>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</si>
  <si>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</si>
  <si>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</si>
  <si>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</si>
  <si>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</si>
  <si>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</si>
  <si>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</si>
  <si>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</si>
  <si>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</si>
  <si>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</si>
  <si>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</si>
  <si>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</si>
  <si>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</si>
  <si>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</si>
  <si>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</si>
  <si>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</si>
  <si>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</si>
  <si>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</si>
  <si>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</si>
  <si>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</si>
  <si>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</si>
  <si>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</si>
  <si>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</si>
  <si>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</si>
  <si>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</si>
  <si>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</si>
  <si>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</si>
  <si>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</si>
  <si>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</si>
  <si>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</si>
  <si>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</si>
  <si>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</si>
  <si>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</si>
  <si>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</si>
  <si>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</si>
  <si>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</si>
  <si>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</si>
  <si>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</si>
  <si>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</si>
  <si>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</si>
  <si>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</si>
  <si>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</si>
  <si>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</si>
  <si>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</si>
  <si>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</si>
  <si>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</si>
  <si>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</si>
  <si>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</si>
  <si>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</si>
  <si>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</si>
  <si>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</si>
  <si>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</si>
  <si>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</si>
  <si>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</si>
  <si>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</si>
  <si>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</si>
  <si>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</si>
  <si>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</si>
  <si>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</si>
  <si>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</si>
  <si>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</si>
  <si>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</si>
  <si>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</si>
  <si>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</si>
  <si>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</si>
  <si>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</si>
  <si>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</si>
  <si>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</si>
  <si>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</si>
  <si>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</si>
  <si>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</si>
  <si>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</si>
  <si>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</si>
  <si>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</si>
  <si>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</si>
  <si>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</si>
  <si>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</si>
  <si>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</si>
  <si>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</si>
  <si>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</si>
  <si>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</si>
  <si>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</si>
  <si>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</si>
  <si>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</si>
  <si>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</si>
  <si>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</si>
  <si>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</si>
  <si>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</si>
  <si>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</si>
  <si>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</si>
  <si>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</si>
  <si>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</si>
  <si>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</si>
  <si>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</si>
  <si>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</si>
  <si>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</si>
  <si>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</si>
  <si>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</si>
  <si>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</si>
  <si>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</si>
  <si>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</si>
  <si>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</si>
  <si>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</si>
  <si>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</si>
  <si>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</si>
  <si>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</si>
  <si>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</si>
  <si>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</si>
  <si>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</si>
  <si>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</si>
  <si>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</si>
  <si>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</si>
  <si>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</si>
  <si>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</si>
  <si>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</si>
  <si>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</si>
  <si>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</si>
  <si>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</si>
  <si>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</si>
  <si>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</si>
  <si>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</si>
  <si>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</si>
  <si>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</si>
  <si>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</si>
  <si>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</si>
  <si>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</si>
  <si>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</si>
  <si>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</si>
  <si>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</si>
  <si>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</si>
  <si>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</si>
  <si>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</si>
  <si>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</si>
  <si>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</si>
  <si>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</si>
  <si>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</si>
  <si>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</si>
  <si>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</si>
  <si>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</si>
  <si>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</si>
  <si>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</si>
  <si>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</si>
  <si>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</si>
  <si>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</si>
  <si>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</si>
  <si>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</si>
  <si>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</si>
  <si>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</si>
  <si>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</si>
  <si>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</si>
  <si>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</si>
  <si>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</si>
  <si>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</si>
  <si>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</si>
  <si>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</si>
  <si>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</si>
  <si>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</si>
  <si>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</si>
  <si>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</si>
  <si>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</si>
  <si>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</si>
  <si>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</si>
  <si>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</si>
  <si>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</si>
  <si>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</si>
  <si>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</si>
  <si>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</si>
  <si>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</si>
  <si>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</si>
  <si>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</si>
  <si>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</si>
  <si>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</si>
  <si>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</si>
  <si>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</si>
  <si>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</si>
  <si>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</si>
  <si>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</si>
  <si>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</si>
  <si>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</si>
  <si>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</si>
  <si>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</si>
  <si>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</si>
  <si>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</si>
  <si>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</si>
  <si>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</si>
  <si>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</si>
  <si>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</si>
  <si>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</si>
  <si>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</si>
  <si>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</si>
  <si>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</si>
  <si>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</si>
  <si>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</si>
  <si>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</si>
  <si>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</si>
  <si>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</si>
  <si>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</si>
  <si>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</si>
  <si>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</si>
  <si>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</si>
  <si>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</si>
  <si>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</si>
  <si>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</si>
  <si>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</si>
  <si>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</si>
  <si>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</si>
  <si>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</si>
  <si>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</si>
  <si>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</si>
  <si>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</si>
  <si>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</si>
  <si>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</si>
  <si>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</si>
  <si>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</si>
  <si>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</si>
  <si>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</si>
  <si>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</si>
  <si>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</si>
  <si>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</si>
  <si>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</si>
  <si>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</si>
  <si>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</si>
  <si>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</si>
  <si>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</si>
  <si>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</si>
  <si>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</si>
  <si>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</si>
  <si>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</si>
  <si>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</si>
  <si>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</si>
  <si>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</si>
  <si>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</si>
  <si>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</si>
  <si>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</si>
  <si>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</si>
  <si>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</si>
  <si>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</si>
  <si>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</si>
  <si>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</si>
  <si>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</si>
  <si>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</si>
  <si>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</si>
  <si>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</si>
  <si>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</si>
  <si>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</si>
  <si>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</si>
  <si>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</si>
  <si>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</si>
  <si>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</si>
  <si>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</si>
  <si>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</si>
  <si>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</si>
  <si>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</si>
  <si>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</si>
  <si>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</si>
  <si>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</si>
  <si>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</si>
  <si>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</si>
  <si>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</si>
  <si>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</si>
  <si>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</si>
  <si>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</si>
  <si>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</si>
  <si>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</si>
  <si>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</si>
  <si>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</si>
  <si>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</si>
  <si>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</si>
  <si>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</si>
  <si>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</si>
  <si>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</si>
  <si>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</si>
  <si>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</si>
  <si>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</si>
  <si>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</si>
  <si>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</si>
  <si>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</si>
  <si>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</si>
  <si>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</si>
  <si>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</si>
  <si>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</si>
  <si>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</si>
  <si>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</si>
  <si>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</si>
  <si>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</si>
  <si>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</si>
  <si>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</si>
  <si>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</si>
  <si>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</si>
  <si>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</si>
  <si>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</si>
  <si>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</si>
  <si>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</si>
  <si>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</si>
  <si>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</si>
  <si>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</si>
  <si>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</si>
  <si>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</si>
  <si>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</si>
  <si>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</si>
  <si>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</si>
  <si>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</si>
  <si>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</si>
  <si>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</si>
  <si>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</si>
  <si>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</si>
  <si>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</si>
  <si>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</si>
  <si>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</si>
  <si>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</si>
  <si>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</si>
  <si>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</si>
  <si>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</si>
  <si>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</si>
  <si>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</si>
  <si>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</si>
  <si>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</si>
  <si>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</si>
  <si>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</si>
  <si>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</si>
  <si>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</si>
  <si>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</si>
  <si>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</si>
  <si>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</si>
  <si>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</si>
  <si>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</si>
  <si>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</si>
  <si>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</si>
  <si>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</si>
  <si>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</si>
  <si>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</si>
  <si>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</si>
  <si>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</si>
  <si>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</si>
  <si>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</si>
  <si>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</si>
  <si>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</si>
  <si>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</si>
  <si>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</si>
  <si>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</si>
  <si>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</si>
  <si>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</si>
  <si>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</si>
  <si>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</si>
  <si>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</si>
  <si>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</si>
  <si>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</si>
  <si>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</si>
  <si>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</si>
  <si>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</si>
  <si>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</si>
  <si>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</si>
  <si>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</si>
  <si>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</si>
  <si>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</si>
  <si>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</si>
  <si>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</si>
  <si>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</si>
  <si>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</si>
  <si>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</si>
  <si>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</si>
  <si>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</si>
  <si>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</si>
  <si>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</si>
  <si>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</si>
  <si>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</si>
  <si>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</si>
  <si>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</si>
  <si>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</si>
  <si>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</si>
  <si>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</si>
  <si>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</si>
  <si>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</si>
  <si>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</si>
  <si>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</si>
  <si>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</si>
  <si>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</si>
  <si>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</si>
  <si>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</si>
  <si>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</si>
  <si>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</si>
  <si>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</si>
  <si>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</si>
  <si>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</si>
  <si>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</si>
  <si>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</si>
  <si>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</si>
  <si>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</si>
  <si>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</si>
  <si>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</si>
  <si>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</si>
  <si>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</si>
  <si>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</si>
  <si>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</si>
  <si>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</si>
  <si>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</si>
  <si>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</si>
  <si>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</si>
  <si>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</si>
  <si>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</si>
  <si>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</si>
  <si>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</si>
  <si>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</si>
  <si>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</si>
  <si>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</si>
  <si>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</si>
  <si>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</si>
  <si>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</si>
  <si>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</si>
  <si>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</si>
  <si>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</si>
  <si>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</si>
  <si>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</si>
  <si>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</si>
  <si>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</si>
  <si>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</si>
  <si>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</si>
  <si>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</si>
  <si>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</si>
  <si>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</si>
  <si>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</si>
  <si>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</si>
  <si>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</si>
  <si>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</si>
  <si>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</si>
  <si>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</si>
  <si>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</si>
  <si>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</si>
  <si>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</si>
  <si>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</si>
  <si>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</si>
  <si>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</si>
  <si>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</si>
  <si>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</si>
  <si>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</si>
  <si>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</si>
  <si>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</si>
  <si>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</si>
  <si>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</si>
  <si>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</si>
  <si>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</si>
  <si>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</si>
  <si>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</si>
  <si>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</si>
  <si>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</si>
  <si>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</si>
  <si>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</si>
  <si>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</si>
  <si>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</si>
  <si>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</si>
  <si>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</si>
  <si>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</si>
  <si>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</si>
  <si>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</si>
  <si>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</si>
  <si>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</si>
  <si>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</si>
  <si>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</si>
  <si>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</si>
  <si>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</si>
  <si>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</si>
  <si>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</si>
  <si>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</si>
  <si>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</si>
  <si>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</si>
  <si>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</si>
  <si>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</si>
  <si>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</si>
  <si>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</si>
  <si>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</si>
  <si>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</si>
  <si>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</si>
  <si>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</si>
  <si>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</si>
  <si>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</si>
  <si>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</si>
  <si>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</si>
  <si>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</si>
  <si>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</si>
  <si>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</si>
  <si>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</si>
  <si>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</si>
  <si>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</si>
  <si>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</si>
  <si>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</si>
  <si>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</si>
  <si>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</si>
  <si>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</si>
  <si>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</si>
  <si>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</si>
  <si>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</si>
  <si>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</si>
  <si>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</si>
  <si>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</si>
  <si>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</si>
  <si>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</si>
  <si>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</si>
  <si>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</si>
  <si>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</si>
  <si>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</si>
  <si>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</si>
  <si>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</si>
  <si>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</si>
  <si>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</si>
  <si>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</si>
  <si>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</si>
  <si>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</si>
  <si>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</si>
  <si>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</si>
  <si>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</si>
  <si>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</si>
  <si>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</si>
  <si>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</si>
  <si>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</si>
  <si>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</si>
  <si>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</si>
  <si>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</si>
  <si>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</si>
  <si>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</si>
  <si>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</si>
  <si>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</si>
  <si>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</si>
  <si>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</si>
  <si>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</si>
  <si>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</si>
  <si>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</si>
  <si>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</si>
  <si>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</si>
  <si>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</si>
  <si>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</si>
  <si>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</si>
  <si>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</si>
  <si>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</si>
  <si>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</si>
  <si>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</si>
  <si>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</si>
  <si>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</si>
  <si>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</si>
  <si>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</si>
  <si>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</si>
  <si>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</si>
  <si>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</si>
  <si>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</si>
  <si>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</si>
  <si>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</si>
  <si>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</si>
  <si>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</si>
  <si>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</si>
  <si>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</si>
  <si>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</si>
  <si>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</si>
  <si>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</si>
  <si>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</si>
  <si>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</si>
  <si>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</si>
  <si>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</si>
  <si>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</si>
  <si>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</si>
  <si>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</si>
  <si>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</si>
  <si>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</si>
  <si>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</si>
  <si>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</si>
  <si>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</si>
  <si>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</si>
  <si>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</si>
  <si>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</si>
  <si>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</si>
  <si>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</si>
  <si>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</si>
  <si>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</si>
  <si>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</si>
  <si>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</si>
  <si>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</si>
  <si>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</si>
  <si>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</si>
  <si>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</si>
  <si>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</si>
  <si>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</si>
  <si>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</si>
  <si>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</si>
  <si>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</si>
  <si>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</si>
  <si>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</si>
  <si>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</si>
  <si>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</si>
  <si>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</si>
  <si>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</si>
  <si>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</si>
  <si>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</si>
  <si>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</si>
  <si>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</si>
  <si>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</si>
  <si>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</si>
  <si>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</si>
  <si>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</si>
  <si>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</si>
  <si>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</si>
  <si>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</si>
  <si>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</si>
  <si>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</si>
  <si>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</si>
  <si>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</si>
  <si>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</si>
  <si>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</si>
  <si>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</si>
  <si>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</si>
  <si>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</si>
  <si>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</si>
  <si>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</si>
  <si>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</si>
  <si>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</si>
  <si>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</si>
  <si>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</si>
  <si>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</si>
  <si>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</si>
  <si>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</si>
  <si>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</si>
  <si>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</si>
  <si>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</si>
  <si>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</si>
  <si>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</si>
  <si>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</si>
  <si>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</si>
  <si>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</si>
  <si>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</si>
  <si>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</si>
  <si>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</si>
  <si>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</si>
  <si>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</si>
  <si>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</si>
  <si>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</si>
  <si>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</si>
  <si>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</si>
  <si>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</si>
  <si>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</si>
  <si>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</si>
  <si>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</si>
  <si>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</si>
  <si>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</si>
  <si>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</si>
  <si>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</si>
  <si>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</si>
  <si>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</si>
  <si>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</si>
  <si>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</si>
  <si>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</si>
  <si>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</si>
  <si>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</si>
  <si>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</si>
  <si>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</si>
  <si>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</si>
  <si>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</si>
  <si>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</si>
  <si>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</si>
  <si>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</si>
  <si>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</si>
  <si>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</si>
  <si>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</si>
  <si>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</si>
  <si>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</si>
  <si>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</si>
  <si>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</si>
  <si>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</si>
  <si>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</si>
  <si>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</si>
  <si>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</si>
  <si>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</si>
  <si>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</si>
  <si>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</si>
  <si>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</si>
  <si>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</si>
  <si>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</si>
  <si>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</si>
  <si>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</si>
  <si>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</si>
  <si>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</si>
  <si>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</si>
  <si>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</si>
  <si>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</si>
  <si>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</si>
  <si>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</si>
  <si>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</si>
  <si>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</si>
  <si>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</si>
  <si>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</si>
  <si>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</si>
  <si>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</si>
  <si>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</si>
  <si>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自定义容积率</t>
  </si>
  <si>
    <t>与级别开发程度一致</t>
  </si>
  <si>
    <t>较好</t>
  </si>
  <si>
    <t>较差</t>
  </si>
  <si>
    <t>好</t>
  </si>
  <si>
    <t>容积率修正</t>
  </si>
  <si>
    <t>通路</t>
  </si>
  <si>
    <t>通电</t>
  </si>
  <si>
    <t>通讯</t>
  </si>
  <si>
    <t>通上水</t>
  </si>
  <si>
    <t>通下水</t>
  </si>
  <si>
    <t>平整</t>
  </si>
  <si>
    <t>无</t>
  </si>
  <si>
    <t>一般</t>
  </si>
  <si>
    <t>房地产抵押价值</t>
  </si>
  <si>
    <t>北京市</t>
  </si>
  <si>
    <t>自然人</t>
  </si>
  <si>
    <t>出让</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</si>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</sst>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02" fillId="5" borderId="1" xfId="0" applyFont="1" applyFill="1" applyBorder="1" applyAlignment="1" applyProtection="1">
      <alignment horizontal="center" vertical="center" wrapText="1"/>
      <protection locked="0"/>
    </xf>
    <xf numFmtId="10" fontId="101" fillId="0" borderId="1" xfId="0" applyNumberFormat="1" applyFont="1" applyBorder="1" applyAlignment="1" applyProtection="1">
      <alignment horizontal="center" vertical="center"/>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9034;&#20041;&#21452;&#20581;&#22609;&#26009;2022-&#29579;&#32043;&#29020;20220617-1349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17477</v>
          </cell>
        </row>
      </sheetData>
      <sheetData sheetId="14">
        <row r="6">
          <cell r="F6">
            <v>32.93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2022年6月13日</v>
      </c>
    </row>
    <row r="13" spans="1:2" s="1157" customFormat="1">
      <c r="A13" s="1155" t="s">
        <v>766</v>
      </c>
      <c r="B13" s="1156" t="str">
        <f>'预评函-1'!A18</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9"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9"/>
      <c r="B54" s="1493" t="s">
        <v>618</v>
      </c>
      <c r="C54" s="1490" t="s">
        <v>820</v>
      </c>
    </row>
    <row r="55" spans="1:4">
      <c r="A55" s="3379"/>
      <c r="B55" s="1493" t="s">
        <v>619</v>
      </c>
      <c r="C55" s="1490" t="s">
        <v>821</v>
      </c>
    </row>
    <row r="56" spans="1:4">
      <c r="A56" s="3379"/>
      <c r="B56" s="1493" t="s">
        <v>620</v>
      </c>
      <c r="C56" s="1490" t="s">
        <v>825</v>
      </c>
    </row>
    <row r="57" spans="1:4">
      <c r="A57" s="3379"/>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6" sqref="H36"/>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8" t="str">
        <f>IF(B10="北京市","北京市",C10)&amp;F10&amp;IF(结果表!G1="在建","出让国有建设用地使用权及在建建筑物",IF(结果表!G1="土地","出让国有建设用地使用权",))&amp;B9&amp;"预评估"</f>
        <v>北京市房地产抵押价值预评估</v>
      </c>
      <c r="C1" s="3389"/>
      <c r="D1" s="3389"/>
      <c r="E1" s="3389"/>
      <c r="F1" s="3389"/>
      <c r="G1" s="3389"/>
      <c r="H1" s="3389"/>
      <c r="I1" s="3390"/>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c r="C3" s="2051" t="s">
        <v>2458</v>
      </c>
      <c r="D3" s="2050">
        <v>44725</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91" t="s">
        <v>2464</v>
      </c>
      <c r="E8" s="2068"/>
      <c r="F8" s="2069"/>
      <c r="G8" s="2343"/>
      <c r="H8" s="2343"/>
      <c r="I8" s="2343"/>
      <c r="J8" s="2118"/>
      <c r="K8" s="2293"/>
      <c r="L8" s="2292"/>
      <c r="M8" s="2292"/>
      <c r="N8" s="2118"/>
      <c r="O8" s="2129"/>
      <c r="P8" s="2118"/>
      <c r="Q8" s="2118"/>
      <c r="R8" s="2118"/>
    </row>
    <row r="9" spans="1:28" ht="13.5" thickBot="1">
      <c r="A9" s="2070" t="s">
        <v>2465</v>
      </c>
      <c r="B9" s="2071" t="s">
        <v>3124</v>
      </c>
      <c r="C9" s="2072"/>
      <c r="D9" s="3392"/>
      <c r="E9" s="2071"/>
      <c r="F9" s="2073"/>
      <c r="G9" s="2345"/>
      <c r="H9" s="2345"/>
      <c r="I9" s="2345"/>
      <c r="J9" s="2118"/>
      <c r="K9" s="2295"/>
      <c r="L9" s="2292"/>
      <c r="M9" s="2292"/>
      <c r="N9" s="2118"/>
      <c r="O9" s="2129"/>
      <c r="P9" s="2118"/>
      <c r="Q9" s="2118"/>
      <c r="R9" s="2118"/>
    </row>
    <row r="10" spans="1:28" ht="13.5" thickTop="1">
      <c r="A10" s="2074" t="s">
        <v>2466</v>
      </c>
      <c r="B10" s="2075" t="s">
        <v>3125</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3126</v>
      </c>
      <c r="C11" s="2080"/>
      <c r="D11" s="2081"/>
      <c r="E11" s="2047"/>
      <c r="F11" s="2047"/>
      <c r="G11" s="2047"/>
      <c r="H11" s="2047"/>
      <c r="I11" s="2047"/>
      <c r="J11" s="2118"/>
      <c r="K11" s="2295"/>
      <c r="L11" s="2292"/>
      <c r="M11" s="2292"/>
      <c r="N11" s="2118"/>
      <c r="O11" s="2129"/>
      <c r="P11" s="2118"/>
      <c r="Q11" s="2118"/>
      <c r="R11" s="2118"/>
    </row>
    <row r="12" spans="1:28">
      <c r="A12" s="2082" t="s">
        <v>2469</v>
      </c>
      <c r="B12" s="2079" t="s">
        <v>3127</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c r="J13" s="2118"/>
      <c r="K13" s="2295"/>
      <c r="L13" s="2292"/>
      <c r="M13" s="2292"/>
      <c r="N13" s="2118"/>
      <c r="O13" s="2129"/>
      <c r="P13" s="2118"/>
      <c r="Q13" s="2118"/>
      <c r="R13" s="2118"/>
    </row>
    <row r="14" spans="1:28">
      <c r="A14" s="1046"/>
      <c r="B14" s="2084"/>
      <c r="C14" s="2085" t="s">
        <v>2478</v>
      </c>
      <c r="D14" s="2086">
        <v>70</v>
      </c>
      <c r="E14" s="2086"/>
      <c r="F14" s="2086"/>
      <c r="G14" s="2086"/>
      <c r="H14" s="2086"/>
      <c r="I14" s="2086"/>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t="str">
        <f>IF(B12="出让",IF(I13="","",ROUNDDOWN(MIN((I13-$D$3)/365,I14),2)),I14)</f>
        <v/>
      </c>
      <c r="J15" s="2118"/>
      <c r="K15" s="2297"/>
      <c r="L15" s="2130"/>
      <c r="M15" s="2130"/>
      <c r="N15" s="2188"/>
      <c r="O15" s="2130"/>
      <c r="P15" s="2188"/>
      <c r="Q15" s="2118"/>
      <c r="R15" s="2118"/>
    </row>
    <row r="16" spans="1:28">
      <c r="A16" s="2077" t="s">
        <v>2480</v>
      </c>
      <c r="B16" s="3398"/>
      <c r="C16" s="3399"/>
      <c r="D16" s="3400"/>
      <c r="E16" s="2092" t="s">
        <v>2481</v>
      </c>
      <c r="F16" s="3401"/>
      <c r="G16" s="3402"/>
      <c r="H16" s="3402"/>
      <c r="I16" s="3403"/>
      <c r="J16" s="2118"/>
      <c r="K16" s="2297"/>
      <c r="L16" s="2130"/>
      <c r="M16" s="2130"/>
      <c r="N16" s="2188"/>
      <c r="O16" s="2130"/>
      <c r="P16" s="2188"/>
      <c r="Q16" s="2118"/>
      <c r="R16" s="2118"/>
    </row>
    <row r="17" spans="1:28">
      <c r="A17" s="314" t="s">
        <v>2482</v>
      </c>
      <c r="B17" s="303" t="s">
        <v>2483</v>
      </c>
      <c r="C17" s="10">
        <f>'数据-汇总表'!E3</f>
        <v>0</v>
      </c>
      <c r="D17" s="1998" t="s">
        <v>2484</v>
      </c>
      <c r="E17" s="3404" t="s">
        <v>2485</v>
      </c>
      <c r="F17" s="3405"/>
      <c r="G17" s="3405"/>
      <c r="H17" s="3405"/>
      <c r="I17" s="3406"/>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407" t="s">
        <v>2489</v>
      </c>
      <c r="F18" s="3408"/>
      <c r="G18" s="3408"/>
      <c r="H18" s="3408"/>
      <c r="I18" s="3409"/>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94" t="s">
        <v>2493</v>
      </c>
      <c r="C20" s="3395"/>
      <c r="D20" s="3396" t="s">
        <v>2494</v>
      </c>
      <c r="E20" s="3397"/>
      <c r="F20" s="2327" t="s">
        <v>1304</v>
      </c>
      <c r="G20" s="2344"/>
      <c r="H20" s="2344"/>
      <c r="I20" s="2344"/>
      <c r="J20" s="2118"/>
      <c r="K20" s="3393"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93"/>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93"/>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81"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381"/>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381"/>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382"/>
      <c r="B30" s="303" t="s">
        <v>2505</v>
      </c>
      <c r="C30" s="3383"/>
      <c r="D30" s="3384"/>
      <c r="E30" s="2344"/>
      <c r="F30" s="2344"/>
      <c r="G30" s="2344"/>
      <c r="H30" s="2344"/>
      <c r="I30" s="2344"/>
      <c r="J30" s="2118"/>
      <c r="K30" s="2295"/>
      <c r="L30" s="2292"/>
      <c r="M30" s="2292"/>
      <c r="N30" s="2118"/>
      <c r="O30" s="2129"/>
      <c r="P30" s="2118"/>
      <c r="Q30" s="2118"/>
      <c r="R30" s="2118"/>
      <c r="S30" s="2118"/>
      <c r="T30" s="2118"/>
      <c r="U30" s="2118"/>
      <c r="V30" s="2118"/>
    </row>
    <row r="31" spans="1:28">
      <c r="A31" s="3385" t="s">
        <v>2506</v>
      </c>
      <c r="B31" s="2101" t="s">
        <v>3128</v>
      </c>
      <c r="C31" s="1999" t="str">
        <f>IF(B31="现房","成新及维护状况正常否",IF(B31="在建","工程状态是否正常",IF(B31="土地","是否闲置","-")))</f>
        <v>成新及维护状况正常否</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6"/>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6"/>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380" t="s">
        <v>2515</v>
      </c>
      <c r="T34" s="2107" t="str">
        <f>NUMBERSTRING(7-K34,1)&amp;"通"</f>
        <v>七通</v>
      </c>
      <c r="U34" s="2118"/>
      <c r="V34" s="2118"/>
    </row>
    <row r="35" spans="1:30">
      <c r="A35" s="2108"/>
      <c r="B35" s="3387" t="s">
        <v>2516</v>
      </c>
      <c r="C35" s="3387"/>
      <c r="D35" s="3387"/>
      <c r="E35" s="3387"/>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80"/>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c r="E37" s="2110" t="s">
        <v>448</v>
      </c>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c r="E38" s="2111" t="s">
        <v>340</v>
      </c>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0" t="s">
        <v>0</v>
      </c>
      <c r="B1" s="3410" t="s">
        <v>4</v>
      </c>
      <c r="C1" s="3410" t="s">
        <v>5</v>
      </c>
      <c r="D1" s="3411" t="s">
        <v>53</v>
      </c>
      <c r="E1" s="3411" t="s">
        <v>54</v>
      </c>
      <c r="F1" s="3411"/>
      <c r="G1" s="3411"/>
      <c r="H1" s="3411"/>
      <c r="I1" s="3411"/>
      <c r="J1" s="3411"/>
      <c r="K1" s="3411"/>
      <c r="L1" s="3411"/>
      <c r="M1" s="3411"/>
    </row>
    <row r="2" spans="1:13" ht="27" customHeight="1">
      <c r="A2" s="3410"/>
      <c r="B2" s="3410"/>
      <c r="C2" s="3410"/>
      <c r="D2" s="3411"/>
      <c r="E2" s="3411" t="s">
        <v>37</v>
      </c>
      <c r="F2" s="3411" t="s">
        <v>38</v>
      </c>
      <c r="G2" s="3411"/>
      <c r="H2" s="3411"/>
      <c r="I2" s="3411"/>
      <c r="J2" s="3411" t="s">
        <v>39</v>
      </c>
      <c r="K2" s="3411"/>
      <c r="L2" s="3411"/>
      <c r="M2" s="3411"/>
    </row>
    <row r="3" spans="1:13" ht="28.5">
      <c r="A3" s="3410"/>
      <c r="B3" s="3410"/>
      <c r="C3" s="3410"/>
      <c r="D3" s="3411"/>
      <c r="E3" s="34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1" t="s">
        <v>55</v>
      </c>
      <c r="B9" s="3411"/>
      <c r="C9" s="34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1" t="s">
        <v>1379</v>
      </c>
      <c r="B2" s="3421"/>
      <c r="C2" s="3421"/>
      <c r="D2" s="769" t="s">
        <v>1355</v>
      </c>
      <c r="E2" s="1578" t="s">
        <v>1356</v>
      </c>
      <c r="F2" s="2339"/>
      <c r="G2" s="2330"/>
      <c r="H2" s="2331"/>
      <c r="I2" s="2001" t="s">
        <v>1380</v>
      </c>
      <c r="J2" s="2339"/>
      <c r="K2" s="2339"/>
      <c r="L2" s="2339"/>
      <c r="M2" s="2339"/>
      <c r="N2" s="2341"/>
      <c r="O2" s="2339"/>
      <c r="P2" s="2339"/>
    </row>
    <row r="3" spans="1:16" ht="15.75" thickBot="1">
      <c r="A3" s="3422" t="s">
        <v>1353</v>
      </c>
      <c r="B3" s="3422"/>
      <c r="C3" s="3422"/>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3"/>
      <c r="B4" s="3424"/>
      <c r="C4" s="3425"/>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6" t="s">
        <v>1358</v>
      </c>
      <c r="C5" s="3426"/>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6" t="s">
        <v>1359</v>
      </c>
      <c r="C6" s="3426"/>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8"/>
      <c r="B7" s="3419"/>
      <c r="C7" s="3420"/>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5" t="s">
        <v>1383</v>
      </c>
      <c r="L16" s="3416"/>
      <c r="M16" s="3416"/>
      <c r="N16" s="3416"/>
      <c r="O16" s="3416"/>
      <c r="P16" s="3417"/>
    </row>
    <row r="17" spans="1:19" ht="15">
      <c r="A17" s="1589" t="s">
        <v>1384</v>
      </c>
      <c r="B17" s="1590" t="s">
        <v>1385</v>
      </c>
      <c r="C17" s="1591" t="s">
        <v>1386</v>
      </c>
      <c r="D17" s="1592" t="s">
        <v>1374</v>
      </c>
      <c r="E17" s="1593" t="s">
        <v>1375</v>
      </c>
      <c r="F17" s="1594"/>
      <c r="G17" s="1595"/>
      <c r="H17" s="1596" t="s">
        <v>1387</v>
      </c>
      <c r="I17" s="1597" t="s">
        <v>1372</v>
      </c>
      <c r="J17" s="1097"/>
      <c r="K17" s="3412" t="s">
        <v>1388</v>
      </c>
      <c r="L17" s="3413"/>
      <c r="M17" s="3414"/>
      <c r="N17" s="3412" t="s">
        <v>1389</v>
      </c>
      <c r="O17" s="3413"/>
      <c r="P17" s="3414"/>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44725</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7" t="s">
        <v>2573</v>
      </c>
      <c r="B1" s="3428"/>
      <c r="C1" s="3428"/>
      <c r="D1" s="3428"/>
      <c r="E1" s="3428"/>
      <c r="F1" s="3428"/>
      <c r="G1" s="3428"/>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44725</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3" t="str">
        <f>项目基本情况!S2</f>
        <v>北京市房地产</v>
      </c>
      <c r="B2" s="3464"/>
      <c r="C2" s="3464"/>
      <c r="D2" s="3464"/>
      <c r="E2" s="3464"/>
      <c r="F2" s="3464"/>
      <c r="G2" s="3464"/>
      <c r="H2" s="3464"/>
      <c r="I2" s="3465"/>
    </row>
    <row r="3" spans="1:12" ht="12.75">
      <c r="A3" s="3467" t="s">
        <v>1513</v>
      </c>
      <c r="B3" s="3468"/>
      <c r="C3" s="3468"/>
      <c r="D3" s="3468"/>
      <c r="E3" s="3468"/>
      <c r="F3" s="3468"/>
      <c r="G3" s="3468"/>
      <c r="H3" s="3468"/>
      <c r="I3" s="3468"/>
    </row>
    <row r="4" spans="1:12" ht="14.25">
      <c r="A4" s="1694" t="s">
        <v>1514</v>
      </c>
      <c r="B4" s="1695" t="s">
        <v>1515</v>
      </c>
      <c r="C4" s="1696"/>
      <c r="D4" s="1696"/>
      <c r="E4" s="3469" t="s">
        <v>1516</v>
      </c>
      <c r="F4" s="3470"/>
      <c r="G4" s="3470"/>
      <c r="H4" s="3470"/>
      <c r="I4" s="3471"/>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430">
        <v>25</v>
      </c>
      <c r="C5" s="3446"/>
      <c r="D5" s="3466"/>
      <c r="E5" s="135" t="s">
        <v>1518</v>
      </c>
      <c r="F5" s="1697"/>
      <c r="G5" s="1697"/>
      <c r="H5" s="1697"/>
      <c r="I5" s="1311"/>
    </row>
    <row r="6" spans="1:12" ht="12.75">
      <c r="A6" s="3443"/>
      <c r="B6" s="3430"/>
      <c r="C6" s="3447"/>
      <c r="D6" s="3466"/>
      <c r="E6" s="135" t="s">
        <v>1519</v>
      </c>
      <c r="F6" s="1697"/>
      <c r="G6" s="1697"/>
      <c r="H6" s="1697"/>
      <c r="I6" s="1311"/>
    </row>
    <row r="7" spans="1:12" ht="12.75">
      <c r="A7" s="3443"/>
      <c r="B7" s="3430"/>
      <c r="C7" s="3448"/>
      <c r="D7" s="3466"/>
      <c r="E7" s="135" t="s">
        <v>1520</v>
      </c>
      <c r="F7" s="1697"/>
      <c r="G7" s="1697"/>
      <c r="H7" s="1697"/>
      <c r="I7" s="1311"/>
    </row>
    <row r="8" spans="1:12" ht="12.75">
      <c r="A8" s="3443" t="s">
        <v>1521</v>
      </c>
      <c r="B8" s="3430">
        <v>15</v>
      </c>
      <c r="C8" s="3446"/>
      <c r="D8" s="3466"/>
      <c r="E8" s="135" t="s">
        <v>1522</v>
      </c>
      <c r="F8" s="1697"/>
      <c r="G8" s="1697"/>
      <c r="H8" s="1697"/>
      <c r="I8" s="1311"/>
    </row>
    <row r="9" spans="1:12" ht="12.75">
      <c r="A9" s="3443"/>
      <c r="B9" s="3430"/>
      <c r="C9" s="3448"/>
      <c r="D9" s="3466"/>
      <c r="E9" s="135" t="s">
        <v>1523</v>
      </c>
      <c r="F9" s="1697"/>
      <c r="G9" s="1697"/>
      <c r="H9" s="1697"/>
      <c r="I9" s="1311"/>
    </row>
    <row r="10" spans="1:12" ht="12.75">
      <c r="A10" s="3443" t="s">
        <v>1524</v>
      </c>
      <c r="B10" s="3430">
        <v>15</v>
      </c>
      <c r="C10" s="3446"/>
      <c r="D10" s="3466"/>
      <c r="E10" s="135" t="s">
        <v>1525</v>
      </c>
      <c r="F10" s="1697"/>
      <c r="G10" s="1697"/>
      <c r="H10" s="1697"/>
      <c r="I10" s="1311"/>
    </row>
    <row r="11" spans="1:12" ht="12.75">
      <c r="A11" s="3443"/>
      <c r="B11" s="3430"/>
      <c r="C11" s="3448"/>
      <c r="D11" s="3466"/>
      <c r="E11" s="135" t="s">
        <v>1526</v>
      </c>
      <c r="F11" s="1697"/>
      <c r="G11" s="1697"/>
      <c r="H11" s="1697"/>
      <c r="I11" s="1311"/>
    </row>
    <row r="12" spans="1:12" ht="12.75">
      <c r="A12" s="3443" t="s">
        <v>1527</v>
      </c>
      <c r="B12" s="3430">
        <v>15</v>
      </c>
      <c r="C12" s="3446"/>
      <c r="D12" s="3466"/>
      <c r="E12" s="135" t="s">
        <v>1528</v>
      </c>
      <c r="F12" s="1697"/>
      <c r="G12" s="1697"/>
      <c r="H12" s="1697"/>
      <c r="I12" s="1311"/>
    </row>
    <row r="13" spans="1:12" ht="12.75">
      <c r="A13" s="3443"/>
      <c r="B13" s="3430"/>
      <c r="C13" s="3448"/>
      <c r="D13" s="3466"/>
      <c r="E13" s="135" t="s">
        <v>1529</v>
      </c>
      <c r="F13" s="1697"/>
      <c r="G13" s="1697"/>
      <c r="H13" s="1697"/>
      <c r="I13" s="1311"/>
    </row>
    <row r="14" spans="1:12" ht="12.75">
      <c r="A14" s="3443" t="s">
        <v>1530</v>
      </c>
      <c r="B14" s="3430">
        <v>30</v>
      </c>
      <c r="C14" s="3446"/>
      <c r="D14" s="3466"/>
      <c r="E14" s="135" t="s">
        <v>1531</v>
      </c>
      <c r="F14" s="1697"/>
      <c r="G14" s="1697"/>
      <c r="H14" s="1697"/>
      <c r="I14" s="1311"/>
    </row>
    <row r="15" spans="1:12" ht="12.75">
      <c r="A15" s="3443"/>
      <c r="B15" s="3430"/>
      <c r="C15" s="3447"/>
      <c r="D15" s="3466"/>
      <c r="E15" s="135" t="s">
        <v>1532</v>
      </c>
      <c r="F15" s="1697"/>
      <c r="G15" s="1697"/>
      <c r="H15" s="1697"/>
      <c r="I15" s="1311"/>
    </row>
    <row r="16" spans="1:12" ht="12.75">
      <c r="A16" s="3443"/>
      <c r="B16" s="3430"/>
      <c r="C16" s="3448"/>
      <c r="D16" s="3466"/>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3" t="s">
        <v>2414</v>
      </c>
      <c r="F18" s="3454"/>
      <c r="G18" s="3454"/>
      <c r="H18" s="3454"/>
      <c r="I18" s="345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7" t="s">
        <v>1548</v>
      </c>
      <c r="B24" s="1702" t="s">
        <v>1540</v>
      </c>
      <c r="C24" s="140">
        <f>IF(B30=0,0,D30)</f>
        <v>0</v>
      </c>
      <c r="D24" s="1709"/>
      <c r="E24" s="133"/>
      <c r="F24" s="133"/>
      <c r="G24" s="133"/>
      <c r="H24" s="133"/>
      <c r="I24" s="133"/>
    </row>
    <row r="25" spans="1:36" ht="14.25">
      <c r="A25" s="3438"/>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57" t="s">
        <v>1561</v>
      </c>
      <c r="B36" s="1727" t="s">
        <v>1562</v>
      </c>
      <c r="C36" s="149"/>
      <c r="D36" s="1728"/>
      <c r="E36" s="1729"/>
      <c r="F36" s="1730"/>
      <c r="G36" s="133"/>
      <c r="H36" s="133"/>
      <c r="I36" s="133"/>
    </row>
    <row r="37" spans="1:15" ht="15.75" thickBot="1">
      <c r="A37" s="3458"/>
      <c r="B37" s="1614" t="s">
        <v>1563</v>
      </c>
      <c r="C37" s="151"/>
      <c r="D37" s="1097"/>
      <c r="E37" s="1097"/>
      <c r="F37" s="1730"/>
      <c r="G37" s="133"/>
      <c r="H37" s="133"/>
      <c r="I37" s="133"/>
    </row>
    <row r="38" spans="1:15" ht="15.75" thickBot="1">
      <c r="A38" s="3459"/>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4" t="s">
        <v>1575</v>
      </c>
      <c r="B45" s="3435"/>
      <c r="C45" s="3436"/>
      <c r="D45" s="159" t="e">
        <f ca="1">ROUND(H101*F45,0)</f>
        <v>#REF!</v>
      </c>
      <c r="E45" s="160" t="s">
        <v>1576</v>
      </c>
      <c r="F45" s="161">
        <v>1</v>
      </c>
      <c r="G45" s="162" t="s">
        <v>1577</v>
      </c>
      <c r="H45" s="133"/>
      <c r="I45" s="133"/>
      <c r="J45" s="3515" t="s">
        <v>1578</v>
      </c>
      <c r="K45" s="3515"/>
      <c r="L45" s="3515"/>
      <c r="M45" s="3515"/>
      <c r="N45" s="3515"/>
      <c r="O45" s="3515"/>
    </row>
    <row r="46" spans="1:15" ht="14.25" customHeight="1">
      <c r="A46" s="3431" t="s">
        <v>1579</v>
      </c>
      <c r="B46" s="3432"/>
      <c r="C46" s="3432"/>
      <c r="D46" s="3432"/>
      <c r="E46" s="3432"/>
      <c r="F46" s="3432"/>
      <c r="G46" s="3433"/>
      <c r="H46" s="1746"/>
      <c r="I46" s="163"/>
      <c r="J46" s="2202">
        <v>1</v>
      </c>
      <c r="K46" s="3496" t="s">
        <v>1580</v>
      </c>
      <c r="L46" s="3496"/>
      <c r="M46" s="3516"/>
      <c r="N46" s="3516"/>
      <c r="O46" s="3516"/>
    </row>
    <row r="47" spans="1:15" ht="12" customHeight="1">
      <c r="A47" s="164" t="s">
        <v>1581</v>
      </c>
      <c r="B47" s="165"/>
      <c r="C47" s="166"/>
      <c r="D47" s="1052" t="s">
        <v>1582</v>
      </c>
      <c r="E47" s="303" t="s">
        <v>1583</v>
      </c>
      <c r="F47" s="167" t="s">
        <v>1584</v>
      </c>
      <c r="G47" s="2225" t="s">
        <v>1585</v>
      </c>
      <c r="H47" s="2226"/>
      <c r="I47" s="163"/>
      <c r="J47" s="2202">
        <v>2</v>
      </c>
      <c r="K47" s="3496" t="s">
        <v>1586</v>
      </c>
      <c r="L47" s="3496"/>
      <c r="M47" s="3517">
        <f>'数据-取费表'!B2</f>
        <v>44725</v>
      </c>
      <c r="N47" s="3517"/>
      <c r="O47" s="3517"/>
    </row>
    <row r="48" spans="1:15" ht="25.5">
      <c r="A48" s="3462" t="s">
        <v>1587</v>
      </c>
      <c r="B48" s="3445"/>
      <c r="C48" s="3445"/>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6" t="s">
        <v>1589</v>
      </c>
      <c r="L48" s="3496"/>
      <c r="M48" s="3518" t="e">
        <f ca="1">H101</f>
        <v>#REF!</v>
      </c>
      <c r="N48" s="3518"/>
      <c r="O48" s="3518"/>
    </row>
    <row r="49" spans="1:35" ht="25.5" customHeight="1">
      <c r="A49" s="2009" t="s">
        <v>1590</v>
      </c>
      <c r="B49" s="3429" t="s">
        <v>1591</v>
      </c>
      <c r="C49" s="3429"/>
      <c r="D49" s="1529">
        <v>0</v>
      </c>
      <c r="E49" s="325" t="s">
        <v>1592</v>
      </c>
      <c r="F49" s="2103" t="s">
        <v>34</v>
      </c>
      <c r="G49" s="3502"/>
      <c r="H49" s="1982" t="s">
        <v>2417</v>
      </c>
      <c r="I49" s="1983"/>
      <c r="J49" s="2202">
        <v>4</v>
      </c>
      <c r="K49" s="3496" t="str">
        <f>IF(项目基本情况!E8="房地产抵押价值","房地产抵押价值","抵押担保权已注销时的房地产抵押价值")</f>
        <v>抵押担保权已注销时的房地产抵押价值</v>
      </c>
      <c r="L49" s="3496"/>
      <c r="M49" s="3518" t="str">
        <f>IF(项目基本情况!E8="房地产抵押价值",H107,H109)</f>
        <v>——</v>
      </c>
      <c r="N49" s="3518"/>
      <c r="O49" s="3518"/>
    </row>
    <row r="50" spans="1:35" ht="25.5" customHeight="1">
      <c r="A50" s="2230"/>
      <c r="B50" s="3429" t="s">
        <v>1593</v>
      </c>
      <c r="C50" s="3429"/>
      <c r="D50" s="2231"/>
      <c r="E50" s="333"/>
      <c r="F50" s="2103"/>
      <c r="G50" s="3503"/>
      <c r="H50" s="1984" t="s">
        <v>2418</v>
      </c>
      <c r="I50" s="1983"/>
      <c r="J50" s="3515" t="s">
        <v>1594</v>
      </c>
      <c r="K50" s="3515"/>
      <c r="L50" s="3515"/>
      <c r="M50" s="3515"/>
      <c r="N50" s="3515"/>
      <c r="O50" s="3515"/>
    </row>
    <row r="51" spans="1:35" ht="20.45" customHeight="1">
      <c r="A51" s="2232"/>
      <c r="B51" s="3429" t="s">
        <v>1595</v>
      </c>
      <c r="C51" s="3429"/>
      <c r="D51" s="1052"/>
      <c r="E51" s="328"/>
      <c r="F51" s="2103"/>
      <c r="G51" s="3504"/>
      <c r="H51" s="1984" t="s">
        <v>2419</v>
      </c>
      <c r="I51" s="1983"/>
      <c r="J51" s="2203" t="s">
        <v>1596</v>
      </c>
      <c r="K51" s="3496" t="s">
        <v>1597</v>
      </c>
      <c r="L51" s="3496"/>
      <c r="M51" s="2203" t="s">
        <v>1598</v>
      </c>
      <c r="N51" s="2203" t="s">
        <v>1599</v>
      </c>
      <c r="O51" s="2203" t="s">
        <v>1600</v>
      </c>
    </row>
    <row r="52" spans="1:35" ht="24" customHeight="1">
      <c r="A52" s="2011" t="s">
        <v>1601</v>
      </c>
      <c r="B52" s="3429" t="s">
        <v>1602</v>
      </c>
      <c r="C52" s="3429"/>
      <c r="D52" s="1052" t="e">
        <f ca="1">ROUND(D45*'数据-取费表'!B41/(1+'数据-取费表'!C42),0)</f>
        <v>#REF!</v>
      </c>
      <c r="E52" s="2010" t="s">
        <v>1603</v>
      </c>
      <c r="F52" s="2233">
        <f>'数据-取费表'!B41</f>
        <v>0</v>
      </c>
      <c r="G52" s="2234"/>
      <c r="H52" s="2223"/>
      <c r="I52" s="1747"/>
      <c r="J52" s="2202">
        <v>1</v>
      </c>
      <c r="K52" s="3497" t="s">
        <v>1604</v>
      </c>
      <c r="L52" s="3497"/>
      <c r="M52" s="2204" t="b">
        <f>D48</f>
        <v>0</v>
      </c>
      <c r="N52" s="2202" t="str">
        <f>E48</f>
        <v>销售额×税（费）率</v>
      </c>
      <c r="O52" s="2205">
        <f>F48</f>
        <v>0</v>
      </c>
    </row>
    <row r="53" spans="1:35" ht="12" customHeight="1">
      <c r="A53" s="2011" t="s">
        <v>1605</v>
      </c>
      <c r="B53" s="3455" t="s">
        <v>2578</v>
      </c>
      <c r="C53" s="3456"/>
      <c r="D53" s="1052" t="e">
        <f ca="1">ROUND(D45*'数据-取费表'!B41/(1+'数据-取费表'!C42),0)</f>
        <v>#REF!</v>
      </c>
      <c r="E53" s="2010" t="s">
        <v>1603</v>
      </c>
      <c r="F53" s="2233">
        <f>'数据-取费表'!B41</f>
        <v>0</v>
      </c>
      <c r="G53" s="2234"/>
      <c r="H53" s="2223"/>
      <c r="I53" s="1747"/>
      <c r="J53" s="2202">
        <v>2</v>
      </c>
      <c r="K53" s="3497" t="s">
        <v>1606</v>
      </c>
      <c r="L53" s="3497"/>
      <c r="M53" s="2204" t="e">
        <f t="shared" ref="M53:O54" ca="1" si="0">D55</f>
        <v>#REF!</v>
      </c>
      <c r="N53" s="2202" t="str">
        <f t="shared" si="0"/>
        <v>销售额×税（费）率</v>
      </c>
      <c r="O53" s="2205" t="str">
        <f t="shared" si="0"/>
        <v>免征</v>
      </c>
    </row>
    <row r="54" spans="1:35" ht="12" customHeight="1">
      <c r="A54" s="2011" t="s">
        <v>1607</v>
      </c>
      <c r="B54" s="3455" t="s">
        <v>2579</v>
      </c>
      <c r="C54" s="3456"/>
      <c r="D54" s="1052" t="e">
        <f ca="1">C68</f>
        <v>#REF!</v>
      </c>
      <c r="E54" s="328" t="s">
        <v>1608</v>
      </c>
      <c r="F54" s="2233">
        <f>'数据-取费表'!B41</f>
        <v>0</v>
      </c>
      <c r="G54" s="2234"/>
      <c r="H54" s="2235"/>
      <c r="I54" s="1747"/>
      <c r="J54" s="2202">
        <v>3</v>
      </c>
      <c r="K54" s="3497" t="s">
        <v>1609</v>
      </c>
      <c r="L54" s="3497"/>
      <c r="M54" s="2204" t="e">
        <f t="shared" ca="1" si="0"/>
        <v>#REF!</v>
      </c>
      <c r="N54" s="2202" t="str">
        <f t="shared" si="0"/>
        <v>增值额×税（费）率</v>
      </c>
      <c r="O54" s="2206" t="str">
        <f t="shared" si="0"/>
        <v>免征</v>
      </c>
    </row>
    <row r="55" spans="1:35" ht="24" customHeight="1">
      <c r="A55" s="3444" t="s">
        <v>1610</v>
      </c>
      <c r="B55" s="3445"/>
      <c r="C55" s="3445"/>
      <c r="D55" s="2000" t="e">
        <f ca="1">IF(H55="个人住宅",0,ROUND(D45*I55,0))</f>
        <v>#REF!</v>
      </c>
      <c r="E55" s="2010" t="s">
        <v>1611</v>
      </c>
      <c r="F55" s="2233" t="str">
        <f>IF(H55="正常",I55,"免征")</f>
        <v>免征</v>
      </c>
      <c r="G55" s="2234"/>
      <c r="H55" s="2229"/>
      <c r="I55" s="169">
        <f>'数据-取费表'!B49</f>
        <v>0</v>
      </c>
      <c r="J55" s="2202">
        <f>IF(H59="非个人房产","",4)</f>
        <v>4</v>
      </c>
      <c r="K55" s="3497" t="str">
        <f>IF(H59="非个人房产","——","个人所得税")</f>
        <v>个人所得税</v>
      </c>
      <c r="L55" s="3497"/>
      <c r="M55" s="2207" t="e">
        <f ca="1">D59</f>
        <v>#REF!</v>
      </c>
      <c r="N55" s="1938" t="str">
        <f>E59</f>
        <v>差额计税</v>
      </c>
      <c r="O55" s="2208">
        <f>F59</f>
        <v>0.01</v>
      </c>
    </row>
    <row r="56" spans="1:35" ht="24.75">
      <c r="A56" s="3444" t="s">
        <v>1612</v>
      </c>
      <c r="B56" s="3445"/>
      <c r="C56" s="3445"/>
      <c r="D56" s="2000" t="e">
        <f ca="1">IF(H56="个人住宅",D57,D58)</f>
        <v>#REF!</v>
      </c>
      <c r="E56" s="2010" t="s">
        <v>1613</v>
      </c>
      <c r="F56" s="2233" t="str">
        <f>IF(H56="正常",F58,"免征")</f>
        <v>免征</v>
      </c>
      <c r="G56" s="2236" t="s">
        <v>1614</v>
      </c>
      <c r="H56" s="2237"/>
      <c r="I56" s="1748"/>
      <c r="J56" s="2202" t="str">
        <f>IF(项目基本情况!K6="上海银行",IF(J55="",4,J55+1),"")</f>
        <v/>
      </c>
      <c r="K56" s="3520" t="str">
        <f>IF(项目基本情况!K6="上海银行","其他处置费用","")</f>
        <v/>
      </c>
      <c r="L56" s="3521"/>
      <c r="M56" s="2204" t="str">
        <f>IF(项目基本情况!K6="上海银行",M69,"")</f>
        <v/>
      </c>
      <c r="N56" s="3520" t="str">
        <f>IF(项目基本情况!K6="上海银行","包含处置中涉及的律师、诉讼、拍卖、评估等费用","")</f>
        <v/>
      </c>
      <c r="O56" s="3523"/>
    </row>
    <row r="57" spans="1:35" ht="12.75">
      <c r="A57" s="2011" t="s">
        <v>1590</v>
      </c>
      <c r="B57" s="3455" t="s">
        <v>1615</v>
      </c>
      <c r="C57" s="3456"/>
      <c r="D57" s="1529">
        <v>0</v>
      </c>
      <c r="E57" s="325" t="s">
        <v>1592</v>
      </c>
      <c r="F57" s="303"/>
      <c r="G57" s="2234"/>
      <c r="H57" s="2238"/>
      <c r="I57" s="1748"/>
      <c r="J57" s="3497">
        <f>IF(AND(J55="",J56=""),4,IF(项目基本情况!K6="上海银行",结果表!J56+1,结果表!J55+1))</f>
        <v>5</v>
      </c>
      <c r="K57" s="3497" t="s">
        <v>1616</v>
      </c>
      <c r="L57" s="2209" t="s">
        <v>1617</v>
      </c>
      <c r="M57" s="2210"/>
      <c r="N57" s="2211">
        <f ca="1">SUMIF(M52:M56,"&lt;9e307")</f>
        <v>0</v>
      </c>
      <c r="O57" s="2212"/>
      <c r="P57" s="2370" t="e">
        <f ca="1">N57/M49</f>
        <v>#VALUE!</v>
      </c>
    </row>
    <row r="58" spans="1:35" ht="24.75">
      <c r="A58" s="2011" t="s">
        <v>1601</v>
      </c>
      <c r="B58" s="3455" t="s">
        <v>1618</v>
      </c>
      <c r="C58" s="3429"/>
      <c r="D58" s="2000" t="e">
        <f ca="1">IF(H58="转让取得",C81,C97)</f>
        <v>#REF!</v>
      </c>
      <c r="E58" s="2010" t="s">
        <v>1613</v>
      </c>
      <c r="F58" s="303" t="s">
        <v>34</v>
      </c>
      <c r="G58" s="2234"/>
      <c r="H58" s="2237"/>
      <c r="I58" s="1748"/>
      <c r="J58" s="3497"/>
      <c r="K58" s="3497"/>
      <c r="L58" s="2209" t="s">
        <v>1619</v>
      </c>
      <c r="M58" s="2213"/>
      <c r="N58" s="2214" t="str">
        <f ca="1">NUMBERSTRING(INT(N57*10000),2)&amp;"元整"</f>
        <v>零元整</v>
      </c>
      <c r="O58" s="2215"/>
    </row>
    <row r="59" spans="1:35" ht="24.75" thickBot="1">
      <c r="A59" s="3500" t="s">
        <v>1620</v>
      </c>
      <c r="B59" s="3501"/>
      <c r="C59" s="350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8">
        <f>J57+1</f>
        <v>6</v>
      </c>
      <c r="K59" s="3497" t="s">
        <v>1621</v>
      </c>
      <c r="L59" s="2202" t="s">
        <v>1617</v>
      </c>
      <c r="M59" s="2216"/>
      <c r="N59" s="2217" t="e">
        <f ca="1">M49-N57</f>
        <v>#VALUE!</v>
      </c>
      <c r="O59" s="2218"/>
    </row>
    <row r="60" spans="1:35" ht="12" customHeight="1">
      <c r="A60" s="1749"/>
      <c r="B60" s="1687"/>
      <c r="C60" s="1687"/>
      <c r="D60" s="1687"/>
      <c r="E60" s="1517"/>
      <c r="F60" s="1748"/>
      <c r="G60" s="1748"/>
      <c r="H60" s="1750"/>
      <c r="I60" s="133"/>
      <c r="J60" s="3499"/>
      <c r="K60" s="3497"/>
      <c r="L60" s="2209" t="s">
        <v>1619</v>
      </c>
      <c r="M60" s="2213"/>
      <c r="N60" s="2214" t="e">
        <f ca="1">NUMBERSTRING(INT(N59*10000),2)&amp;"元整"</f>
        <v>#VALUE!</v>
      </c>
      <c r="O60" s="2215"/>
    </row>
    <row r="61" spans="1:35" ht="13.5" thickBot="1">
      <c r="A61" s="3442" t="s">
        <v>1622</v>
      </c>
      <c r="B61" s="3442"/>
      <c r="C61" s="3442"/>
      <c r="D61" s="3442"/>
      <c r="E61" s="3442"/>
      <c r="F61" s="1748"/>
      <c r="G61" s="1748"/>
      <c r="H61" s="1750"/>
      <c r="I61" s="133"/>
      <c r="J61" s="2202">
        <f>J59+1</f>
        <v>7</v>
      </c>
      <c r="K61" s="3497" t="s">
        <v>1623</v>
      </c>
      <c r="L61" s="3497"/>
      <c r="M61" s="2219"/>
      <c r="N61" s="2220" t="e">
        <f ca="1">ROUND(N59*10000/'数据-汇总表'!E3,0)</f>
        <v>#VALUE!</v>
      </c>
      <c r="O61" s="2221"/>
    </row>
    <row r="62" spans="1:35" ht="12.75">
      <c r="A62" s="3460" t="s">
        <v>1624</v>
      </c>
      <c r="B62" s="3461"/>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522"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522"/>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522"/>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522"/>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522"/>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2"/>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522"/>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1" t="s">
        <v>1643</v>
      </c>
      <c r="B70" s="3482"/>
      <c r="C70" s="3482"/>
      <c r="D70" s="3482"/>
      <c r="E70" s="3482"/>
      <c r="F70" s="3482"/>
      <c r="G70" s="3482"/>
      <c r="H70" s="3482"/>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60" t="s">
        <v>1624</v>
      </c>
      <c r="B71" s="3461"/>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5" t="s">
        <v>1651</v>
      </c>
      <c r="F76" s="3429"/>
      <c r="G76" s="3429"/>
      <c r="H76" s="3480"/>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39" t="s">
        <v>1655</v>
      </c>
      <c r="F78" s="3440"/>
      <c r="G78" s="3440"/>
      <c r="H78" s="3449"/>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1" t="s">
        <v>1659</v>
      </c>
      <c r="B83" s="3482"/>
      <c r="C83" s="3482"/>
      <c r="D83" s="3482"/>
      <c r="E83" s="3482"/>
      <c r="F83" s="3482"/>
      <c r="G83" s="3482"/>
      <c r="H83" s="3482"/>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60" t="s">
        <v>1624</v>
      </c>
      <c r="B84" s="3461"/>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524" t="s">
        <v>2412</v>
      </c>
      <c r="H90" s="3525"/>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39" t="s">
        <v>1668</v>
      </c>
      <c r="F91" s="3440"/>
      <c r="G91" s="3440"/>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39" t="s">
        <v>1671</v>
      </c>
      <c r="F92" s="3440"/>
      <c r="G92" s="3440"/>
      <c r="H92" s="3449"/>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39" t="s">
        <v>1655</v>
      </c>
      <c r="F93" s="3440"/>
      <c r="G93" s="3440"/>
      <c r="H93" s="3449"/>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50" t="s">
        <v>1675</v>
      </c>
      <c r="F94" s="3451"/>
      <c r="G94" s="3451"/>
      <c r="H94" s="345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3" t="s">
        <v>1677</v>
      </c>
      <c r="B100" s="3424"/>
      <c r="C100" s="3424"/>
      <c r="D100" s="3441"/>
      <c r="E100" s="3424" t="s">
        <v>1678</v>
      </c>
      <c r="F100" s="3424"/>
      <c r="G100" s="3424"/>
      <c r="H100" s="3441"/>
      <c r="I100" s="133"/>
    </row>
    <row r="101" spans="1:35" ht="18.75" customHeight="1">
      <c r="A101" s="3505" t="s">
        <v>1679</v>
      </c>
      <c r="B101" s="3506"/>
      <c r="C101" s="2264">
        <f>C4</f>
        <v>0</v>
      </c>
      <c r="D101" s="2265">
        <f>D4</f>
        <v>0</v>
      </c>
      <c r="E101" s="3519" t="s">
        <v>1680</v>
      </c>
      <c r="F101" s="3473"/>
      <c r="G101" s="1767" t="s">
        <v>1681</v>
      </c>
      <c r="H101" s="2274" t="e">
        <f ca="1">H118</f>
        <v>#REF!</v>
      </c>
      <c r="I101" s="133"/>
    </row>
    <row r="102" spans="1:35" ht="18.75" customHeight="1">
      <c r="A102" s="3475" t="s">
        <v>1682</v>
      </c>
      <c r="B102" s="2263" t="s">
        <v>1681</v>
      </c>
      <c r="C102" s="2264" t="e">
        <f ca="1">C19</f>
        <v>#REF!</v>
      </c>
      <c r="D102" s="2265" t="e">
        <f ca="1">D19</f>
        <v>#REF!</v>
      </c>
      <c r="E102" s="3519"/>
      <c r="F102" s="3473"/>
      <c r="G102" s="1767" t="s">
        <v>1683</v>
      </c>
      <c r="H102" s="2234" t="e">
        <f ca="1">I118</f>
        <v>#REF!</v>
      </c>
      <c r="I102" s="133"/>
    </row>
    <row r="103" spans="1:35" ht="42.75" customHeight="1">
      <c r="A103" s="3475"/>
      <c r="B103" s="2263" t="s">
        <v>1683</v>
      </c>
      <c r="C103" s="2266" t="e">
        <f ca="1">C20</f>
        <v>#REF!</v>
      </c>
      <c r="D103" s="2267" t="e">
        <f ca="1">D20</f>
        <v>#REF!</v>
      </c>
      <c r="E103" s="3513" t="s">
        <v>1684</v>
      </c>
      <c r="F103" s="3514"/>
      <c r="G103" s="1768" t="s">
        <v>1685</v>
      </c>
      <c r="H103" s="2274">
        <f>IF(D36="正常操作",H104+H105+H106,H105+H106)</f>
        <v>0</v>
      </c>
      <c r="I103" s="133"/>
    </row>
    <row r="104" spans="1:35" ht="18.75" customHeight="1">
      <c r="A104" s="3475"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6"/>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2" t="str">
        <f>IF(项目基本情况!E8="已注销","——","3.房地产抵押价值")</f>
        <v>3.房地产抵押价值</v>
      </c>
      <c r="F107" s="3473"/>
      <c r="G107" s="1767" t="s">
        <v>1681</v>
      </c>
      <c r="H107" s="2274" t="e">
        <f ca="1">IF(E107="——","——",H101-H103)</f>
        <v>#REF!</v>
      </c>
      <c r="I107" s="133"/>
    </row>
    <row r="108" spans="1:35" ht="18.75" customHeight="1">
      <c r="A108" s="133"/>
      <c r="B108" s="133"/>
      <c r="C108" s="133"/>
      <c r="D108" s="133"/>
      <c r="E108" s="3472"/>
      <c r="F108" s="3473"/>
      <c r="G108" s="1767" t="s">
        <v>1683</v>
      </c>
      <c r="H108" s="2234" t="e">
        <f ca="1">ROUND(H107*10000/'数据-汇总表'!E3,0)</f>
        <v>#REF!</v>
      </c>
      <c r="I108" s="133"/>
    </row>
    <row r="109" spans="1:35" ht="18.75" customHeight="1">
      <c r="A109" s="133"/>
      <c r="B109" s="133"/>
      <c r="C109" s="133"/>
      <c r="D109" s="133"/>
      <c r="E109" s="3472" t="str">
        <f>IF(项目基本情况!E8="已注销及未注销","4.抵押担保权已注销时的房地产抵押价值",IF(项目基本情况!E8="已注销","3.抵押担保权已注销时的房地产抵押价值","——"))</f>
        <v>——</v>
      </c>
      <c r="F109" s="3473"/>
      <c r="G109" s="1767" t="s">
        <v>1681</v>
      </c>
      <c r="H109" s="2277" t="str">
        <f>IF(E109="——","——",H101-H105-H106)</f>
        <v>——</v>
      </c>
      <c r="I109" s="133"/>
    </row>
    <row r="110" spans="1:35" ht="18.75" customHeight="1">
      <c r="A110" s="133"/>
      <c r="B110" s="133"/>
      <c r="C110" s="133"/>
      <c r="D110" s="133"/>
      <c r="E110" s="3472"/>
      <c r="F110" s="3473"/>
      <c r="G110" s="1767" t="s">
        <v>1683</v>
      </c>
      <c r="H110" s="2234" t="str">
        <f>IF(H109="——","——",ROUND(H109*10000/'数据-汇总表'!E3,0))</f>
        <v>——</v>
      </c>
      <c r="I110" s="133"/>
    </row>
    <row r="111" spans="1:35" ht="18.75" customHeight="1">
      <c r="A111" s="133"/>
      <c r="B111" s="133"/>
      <c r="C111" s="133"/>
      <c r="D111" s="133"/>
      <c r="E111" s="3507" t="str">
        <f>IF(项目基本情况!E9="抵押净值",IF(OR(项目基本情况!E8="已注销",项目基本情况!E8="房地产抵押价值"),"4.抵押净值","5.抵押净值"),"——")</f>
        <v>——</v>
      </c>
      <c r="F111" s="3474"/>
      <c r="G111" s="1767" t="s">
        <v>1681</v>
      </c>
      <c r="H111" s="2274" t="str">
        <f>IF(E111="——","——",N59)</f>
        <v>——</v>
      </c>
      <c r="I111" s="133"/>
    </row>
    <row r="112" spans="1:35" ht="18.75" customHeight="1" thickBot="1">
      <c r="A112" s="133"/>
      <c r="B112" s="133"/>
      <c r="C112" s="133"/>
      <c r="D112" s="133"/>
      <c r="E112" s="3508"/>
      <c r="F112" s="3509"/>
      <c r="G112" s="1770" t="s">
        <v>1683</v>
      </c>
      <c r="H112" s="2278" t="str">
        <f>IF(E111="——","——",N61)</f>
        <v>——</v>
      </c>
      <c r="I112" s="133"/>
    </row>
    <row r="113" spans="1:27" ht="18.75" customHeight="1">
      <c r="A113" s="133"/>
      <c r="B113" s="133"/>
      <c r="C113" s="133"/>
      <c r="D113" s="133"/>
      <c r="E113" s="3477" t="s">
        <v>1689</v>
      </c>
      <c r="F113" s="3477"/>
      <c r="G113" s="3477"/>
      <c r="H113" s="3477"/>
      <c r="I113" s="133"/>
    </row>
    <row r="114" spans="1:27" ht="3.75" customHeight="1">
      <c r="A114" s="1687"/>
      <c r="B114" s="1687"/>
      <c r="C114" s="1687"/>
      <c r="D114" s="1687"/>
      <c r="E114" s="1749"/>
      <c r="F114" s="1749"/>
      <c r="G114" s="1749"/>
      <c r="H114" s="1749"/>
      <c r="I114" s="1687"/>
    </row>
    <row r="115" spans="1:27" ht="18.75" customHeight="1">
      <c r="A115" s="3490" t="s">
        <v>1691</v>
      </c>
      <c r="B115" s="3491"/>
      <c r="C115" s="3491"/>
      <c r="D115" s="3491"/>
      <c r="E115" s="3491"/>
      <c r="F115" s="3491"/>
      <c r="G115" s="3491"/>
      <c r="H115" s="3491"/>
      <c r="I115" s="3492"/>
    </row>
    <row r="116" spans="1:27" ht="27" customHeight="1">
      <c r="A116" s="3443" t="s">
        <v>1692</v>
      </c>
      <c r="B116" s="3478" t="s">
        <v>1693</v>
      </c>
      <c r="C116" s="3478" t="s">
        <v>1694</v>
      </c>
      <c r="D116" s="3494" t="s">
        <v>1695</v>
      </c>
      <c r="E116" s="3495"/>
      <c r="F116" s="3486" t="s">
        <v>1696</v>
      </c>
      <c r="G116" s="3486"/>
      <c r="H116" s="3443" t="s">
        <v>1697</v>
      </c>
      <c r="I116" s="3443"/>
    </row>
    <row r="117" spans="1:27" ht="18.75" customHeight="1">
      <c r="A117" s="3443"/>
      <c r="B117" s="3479"/>
      <c r="C117" s="3479"/>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83" t="e">
        <f ca="1">NUMBERSTRING(INT(D118*10000),2)&amp;"元整"</f>
        <v>#REF!</v>
      </c>
      <c r="E119" s="3485"/>
      <c r="F119" s="3483" t="e">
        <f ca="1">NUMBERSTRING(INT(F118*10000),2)&amp;"元整"</f>
        <v>#REF!</v>
      </c>
      <c r="G119" s="3485"/>
      <c r="H119" s="3483" t="e">
        <f ca="1">NUMBERSTRING(INT(H118*10000),2)&amp;"元整"</f>
        <v>#REF!</v>
      </c>
      <c r="I119" s="3485"/>
    </row>
    <row r="120" spans="1:27" ht="18.75" customHeight="1">
      <c r="A120" s="3510" t="str">
        <f>IF(项目基本情况!B9="房地产市场价值","",MID(E103,3,LEN(E103)-2))</f>
        <v>估价师知悉的法定优先受偿款</v>
      </c>
      <c r="B120" s="3511"/>
      <c r="C120" s="3512"/>
      <c r="D120" s="3510">
        <f>H103</f>
        <v>0</v>
      </c>
      <c r="E120" s="3511"/>
      <c r="F120" s="3511"/>
      <c r="G120" s="3511"/>
      <c r="H120" s="3511"/>
      <c r="I120" s="3512"/>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7" t="s">
        <v>1701</v>
      </c>
      <c r="B121" s="3488"/>
      <c r="C121" s="3489"/>
      <c r="D121" s="3483" t="str">
        <f>IF(D120=0,"零元整",NUMBERSTRING(INT(D120*10000),2)&amp;"元整")</f>
        <v>零元整</v>
      </c>
      <c r="E121" s="3484"/>
      <c r="F121" s="3484"/>
      <c r="G121" s="3484"/>
      <c r="H121" s="3484"/>
      <c r="I121" s="3485"/>
      <c r="AA121" s="728"/>
    </row>
    <row r="122" spans="1:27" ht="18.75" customHeight="1">
      <c r="A122" s="3474" t="str">
        <f>IF(项目基本情况!B9="房地产市场价值","",MID(E107,3,LEN(E107)-2))</f>
        <v>房地产抵押价值</v>
      </c>
      <c r="B122" s="3474"/>
      <c r="C122" s="3474"/>
      <c r="D122" s="3510" t="e">
        <f ca="1">H107</f>
        <v>#REF!</v>
      </c>
      <c r="E122" s="3511"/>
      <c r="F122" s="3511"/>
      <c r="G122" s="3511"/>
      <c r="H122" s="3511"/>
      <c r="I122" s="3512"/>
      <c r="AA122" s="728"/>
    </row>
    <row r="123" spans="1:27" ht="18.75" customHeight="1">
      <c r="A123" s="3443" t="s">
        <v>1701</v>
      </c>
      <c r="B123" s="3443"/>
      <c r="C123" s="3443"/>
      <c r="D123" s="3483" t="e">
        <f ca="1">NUMBERSTRING(INT(D122*10000),2)&amp;"元整"</f>
        <v>#REF!</v>
      </c>
      <c r="E123" s="3484"/>
      <c r="F123" s="3484"/>
      <c r="G123" s="3484"/>
      <c r="H123" s="3484"/>
      <c r="I123" s="3485"/>
      <c r="AA123" s="728"/>
    </row>
    <row r="124" spans="1:27" ht="18.75" customHeight="1">
      <c r="A124" s="3474" t="str">
        <f>IF(项目基本情况!B9="房地产市场价值","",MID(E109,3,LEN(E109)-2))</f>
        <v/>
      </c>
      <c r="B124" s="3474"/>
      <c r="C124" s="3474"/>
      <c r="D124" s="3510" t="str">
        <f>H109</f>
        <v>——</v>
      </c>
      <c r="E124" s="3511"/>
      <c r="F124" s="3511"/>
      <c r="G124" s="3511"/>
      <c r="H124" s="3511"/>
      <c r="I124" s="3512"/>
      <c r="AA124" s="728"/>
    </row>
    <row r="125" spans="1:27" ht="18.75" customHeight="1">
      <c r="A125" s="3443" t="s">
        <v>1701</v>
      </c>
      <c r="B125" s="3443"/>
      <c r="C125" s="3443"/>
      <c r="D125" s="3483" t="e">
        <f>NUMBERSTRING(INT(D124*10000),2)&amp;"元整"</f>
        <v>#VALUE!</v>
      </c>
      <c r="E125" s="3484"/>
      <c r="F125" s="3484"/>
      <c r="G125" s="3484"/>
      <c r="H125" s="3484"/>
      <c r="I125" s="3485"/>
      <c r="AA125" s="728"/>
    </row>
    <row r="126" spans="1:27" ht="18.75" customHeight="1">
      <c r="A126" s="3474" t="str">
        <f>IF(项目基本情况!B9="房地产市场价值","",MID(E111,3,LEN(E111)-2))</f>
        <v/>
      </c>
      <c r="B126" s="3474"/>
      <c r="C126" s="3474"/>
      <c r="D126" s="3510" t="str">
        <f>H111</f>
        <v>——</v>
      </c>
      <c r="E126" s="3511"/>
      <c r="F126" s="3511"/>
      <c r="G126" s="3511"/>
      <c r="H126" s="3511"/>
      <c r="I126" s="3512"/>
      <c r="AA126" s="728"/>
    </row>
    <row r="127" spans="1:27" ht="18.75" customHeight="1">
      <c r="A127" s="3443" t="s">
        <v>1701</v>
      </c>
      <c r="B127" s="3443"/>
      <c r="C127" s="3443"/>
      <c r="D127" s="3483" t="e">
        <f>NUMBERSTRING(INT(D126*10000),2)&amp;"元整"</f>
        <v>#VALUE!</v>
      </c>
      <c r="E127" s="3484"/>
      <c r="F127" s="3484"/>
      <c r="G127" s="3484"/>
      <c r="H127" s="3484"/>
      <c r="I127" s="3485"/>
      <c r="AA127" s="728"/>
    </row>
    <row r="128" spans="1:27" ht="21.75" customHeight="1">
      <c r="A128" s="3493" t="s">
        <v>1702</v>
      </c>
      <c r="B128" s="3493"/>
      <c r="C128" s="3493"/>
      <c r="D128" s="3493"/>
      <c r="E128" s="3493"/>
      <c r="F128" s="3493"/>
      <c r="G128" s="3493"/>
      <c r="H128" s="3493"/>
      <c r="I128" s="3493"/>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6" t="s">
        <v>1793</v>
      </c>
    </row>
    <row r="43" spans="1:7" ht="13.5" customHeight="1">
      <c r="A43" s="753" t="s">
        <v>579</v>
      </c>
      <c r="B43" s="216" t="s">
        <v>1794</v>
      </c>
      <c r="C43" s="239" t="e">
        <f ca="1">ROUND(IF('数据-取费表'!B22&lt;=1,C39*F22*'数据-取费表'!B21/2,C39*(POWER((1+F22),'数据-取费表'!B21/2)-1)),0)</f>
        <v>#VALUE!</v>
      </c>
      <c r="D43" s="239"/>
      <c r="E43" s="239"/>
      <c r="F43" s="240"/>
      <c r="G43" s="3527"/>
    </row>
    <row r="44" spans="1:7" ht="13.5" customHeight="1">
      <c r="A44" s="753" t="s">
        <v>580</v>
      </c>
      <c r="B44" s="216" t="s">
        <v>1795</v>
      </c>
      <c r="C44" s="239" t="e">
        <f ca="1">ROUND(IF('数据-取费表'!B22&lt;=1,C40*F22*'数据-取费表'!B21/2,C40*(POWER((1+F22),'数据-取费表'!B21/2)-1)),4)</f>
        <v>#VALUE!</v>
      </c>
      <c r="D44" s="239"/>
      <c r="E44" s="239"/>
      <c r="F44" s="240"/>
      <c r="G44" s="352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7" t="str">
        <f>项目基本情况!B1</f>
        <v>北京市房地产抵押价值预评估</v>
      </c>
      <c r="C37" s="3337"/>
      <c r="D37" s="3337"/>
      <c r="E37" s="3337"/>
      <c r="F37" s="3337"/>
      <c r="G37" s="3337"/>
      <c r="H37" s="3337"/>
      <c r="I37" s="3337"/>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6" t="s">
        <v>1840</v>
      </c>
    </row>
    <row r="43" spans="1:7" ht="13.5" customHeight="1">
      <c r="A43" s="753" t="s">
        <v>579</v>
      </c>
      <c r="B43" s="216" t="s">
        <v>1794</v>
      </c>
      <c r="C43" s="239" t="e">
        <f ca="1">ROUND(IF('数据-取费表'!B22&lt;=1,C39*F22*'数据-取费表'!B20/2,C39*(POWER((1+F22),'数据-取费表'!B20/2)-1)),0)</f>
        <v>#VALUE!</v>
      </c>
      <c r="D43" s="239"/>
      <c r="E43" s="239"/>
      <c r="F43" s="240"/>
      <c r="G43" s="3527"/>
    </row>
    <row r="44" spans="1:7" ht="13.5" customHeight="1">
      <c r="A44" s="753" t="s">
        <v>580</v>
      </c>
      <c r="B44" s="216" t="s">
        <v>1795</v>
      </c>
      <c r="C44" s="239" t="e">
        <f ca="1">ROUND(IF('数据-取费表'!B22&lt;=1,C40*F22*'数据-取费表'!B20/2,C40*(POWER((1+F22),'数据-取费表'!B20/2)-1)),4)</f>
        <v>#VALUE!</v>
      </c>
      <c r="D44" s="239"/>
      <c r="E44" s="239"/>
      <c r="F44" s="240"/>
      <c r="G44" s="352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1" t="s">
        <v>931</v>
      </c>
      <c r="C6" s="1039">
        <f ca="1">ROUND(F6*F8*F7*(1-F9)/10000,0)</f>
        <v>0</v>
      </c>
      <c r="D6" s="159" t="s">
        <v>2392</v>
      </c>
      <c r="E6" s="303" t="s">
        <v>933</v>
      </c>
      <c r="F6" s="304">
        <f ca="1">INDIRECT("'数据-取费表'!u"&amp;$G$1)</f>
        <v>0</v>
      </c>
      <c r="G6" s="1322"/>
      <c r="H6" s="1034" t="s">
        <v>639</v>
      </c>
      <c r="I6" s="3531" t="s">
        <v>931</v>
      </c>
      <c r="J6" s="302">
        <f ca="1">ROUND(M6*M8*M7*(1-M9)/10000,0)</f>
        <v>0</v>
      </c>
      <c r="K6" s="159" t="s">
        <v>2391</v>
      </c>
      <c r="L6" s="303" t="s">
        <v>933</v>
      </c>
      <c r="M6" s="304">
        <f ca="1">INDIRECT("'数据-取费表'!z"&amp;$G$1)</f>
        <v>0</v>
      </c>
    </row>
    <row r="7" spans="1:37" ht="18" customHeight="1">
      <c r="A7" s="1038"/>
      <c r="B7" s="3532"/>
      <c r="C7" s="1040"/>
      <c r="D7" s="308"/>
      <c r="E7" s="1041" t="s">
        <v>934</v>
      </c>
      <c r="F7" s="304">
        <f ca="1">IF(INDIRECT("'数据-取费表'!ah"&amp;$G$1)="",INDIRECT("'数据-取费表'!k"&amp;$G$1),INDIRECT("'数据-取费表'!ah"&amp;$G$1))</f>
        <v>0</v>
      </c>
      <c r="G7" s="1322"/>
      <c r="H7" s="305"/>
      <c r="I7" s="3532"/>
      <c r="J7" s="307"/>
      <c r="K7" s="308"/>
      <c r="L7" s="303" t="s">
        <v>934</v>
      </c>
      <c r="M7" s="304">
        <f ca="1">F7</f>
        <v>0</v>
      </c>
    </row>
    <row r="8" spans="1:37" ht="18" customHeight="1">
      <c r="A8" s="305"/>
      <c r="B8" s="3532"/>
      <c r="C8" s="307"/>
      <c r="D8" s="308"/>
      <c r="E8" s="303" t="s">
        <v>935</v>
      </c>
      <c r="F8" s="304">
        <f ca="1">INDIRECT("'数据-取费表'!ai"&amp;$G$1)</f>
        <v>0</v>
      </c>
      <c r="G8" s="1322"/>
      <c r="H8" s="305"/>
      <c r="I8" s="3532"/>
      <c r="J8" s="307"/>
      <c r="K8" s="308"/>
      <c r="L8" s="303" t="s">
        <v>935</v>
      </c>
      <c r="M8" s="304">
        <f ca="1">INDIRECT("'数据-取费表'!ai"&amp;$G$1)</f>
        <v>0</v>
      </c>
    </row>
    <row r="9" spans="1:37" ht="18" customHeight="1">
      <c r="A9" s="305"/>
      <c r="B9" s="3533"/>
      <c r="C9" s="307"/>
      <c r="D9" s="308"/>
      <c r="E9" s="303" t="s">
        <v>936</v>
      </c>
      <c r="F9" s="313">
        <f ca="1">INDIRECT("'数据-取费表'!w"&amp;$G$1)</f>
        <v>0</v>
      </c>
      <c r="G9" s="1322"/>
      <c r="H9" s="305"/>
      <c r="I9" s="353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IF(项目基本情况!B11="自然人","——",ROUND(C6*F32/(1+'数据-取费表'!C42),2))</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IF(项目基本情况!B11="自然人","——",IF(D33="按租金收入计税",ROUND(C6*F33/(1+'数据-取费表'!C42),2),IF(D33="按房产原值计税",ROUND(C29*F33*0.7,2),INDIRECT("'数据-取费表'!Aj"&amp;$G$1))))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IF(项目基本情况!B11="自然人","——",ROUND(F34*F35/10000,2))</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9" t="s">
        <v>1076</v>
      </c>
      <c r="L53" s="3530"/>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IF(项目基本情况!B11="自然人","——",ROUND(C48*F60/(1+'数据-取费表'!C42),2))</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IF(项目基本情况!B11="自然人","——",IF(D61="按租金收入计税",ROUND(C49*F61/(1+'数据-取费表'!C42),2),IF(D61="按房产原值计税",ROUND(C57*F61*0.7,2),INDIRECT("'数据-取费表'!Aj"&amp;$G$1))))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IF(项目基本情况!B11="自然人","——",ROUND(F62*F63/10000,2))</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1" t="s">
        <v>931</v>
      </c>
      <c r="C6" s="1039">
        <f ca="1">ROUND(F6*F8*F7*(1-F9),0)</f>
        <v>0</v>
      </c>
      <c r="D6" s="159" t="s">
        <v>2389</v>
      </c>
      <c r="E6" s="303" t="s">
        <v>933</v>
      </c>
      <c r="F6" s="304">
        <f ca="1">INDIRECT("'数据-取费表'!u"&amp;$G$1)</f>
        <v>0</v>
      </c>
      <c r="G6" s="1322"/>
      <c r="H6" s="1034" t="s">
        <v>639</v>
      </c>
      <c r="I6" s="3531" t="s">
        <v>931</v>
      </c>
      <c r="J6" s="302">
        <f ca="1">ROUND(M6*M8*M7*(1-M9),0)</f>
        <v>0</v>
      </c>
      <c r="K6" s="1314" t="s">
        <v>2390</v>
      </c>
      <c r="L6" s="303" t="s">
        <v>933</v>
      </c>
      <c r="M6" s="304">
        <f ca="1">INDIRECT("'数据-取费表'!z"&amp;$G$1)</f>
        <v>0</v>
      </c>
    </row>
    <row r="7" spans="1:37" ht="18" customHeight="1">
      <c r="A7" s="1038"/>
      <c r="B7" s="3532"/>
      <c r="C7" s="1040"/>
      <c r="D7" s="308"/>
      <c r="E7" s="1041" t="s">
        <v>934</v>
      </c>
      <c r="F7" s="304">
        <f ca="1">IF(INDIRECT("'数据-取费表'!ah"&amp;$G$1)="",INDIRECT("'数据-取费表'!k"&amp;$G$1),INDIRECT("'数据-取费表'!ah"&amp;$G$1))</f>
        <v>0</v>
      </c>
      <c r="G7" s="1322"/>
      <c r="H7" s="305"/>
      <c r="I7" s="3532"/>
      <c r="J7" s="307"/>
      <c r="K7" s="308"/>
      <c r="L7" s="303" t="s">
        <v>934</v>
      </c>
      <c r="M7" s="304">
        <f ca="1">F7</f>
        <v>0</v>
      </c>
    </row>
    <row r="8" spans="1:37" ht="18" customHeight="1">
      <c r="A8" s="305"/>
      <c r="B8" s="3532"/>
      <c r="C8" s="307"/>
      <c r="D8" s="308"/>
      <c r="E8" s="303" t="s">
        <v>935</v>
      </c>
      <c r="F8" s="304">
        <f ca="1">INDIRECT("'数据-取费表'!ai"&amp;$G$1)</f>
        <v>0</v>
      </c>
      <c r="G8" s="1322"/>
      <c r="H8" s="305"/>
      <c r="I8" s="3532"/>
      <c r="J8" s="307"/>
      <c r="K8" s="308"/>
      <c r="L8" s="303" t="s">
        <v>935</v>
      </c>
      <c r="M8" s="304">
        <f ca="1">INDIRECT("'数据-取费表'!ai"&amp;$G$1)</f>
        <v>0</v>
      </c>
    </row>
    <row r="9" spans="1:37" ht="18" customHeight="1">
      <c r="A9" s="305"/>
      <c r="B9" s="3533"/>
      <c r="C9" s="307"/>
      <c r="D9" s="308"/>
      <c r="E9" s="303" t="s">
        <v>936</v>
      </c>
      <c r="F9" s="313">
        <f ca="1">INDIRECT("'数据-取费表'!w"&amp;$G$1)</f>
        <v>0</v>
      </c>
      <c r="G9" s="1322"/>
      <c r="H9" s="305"/>
      <c r="I9" s="353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IF(项目基本情况!B11="自然人","——",ROUND(C6*F32/(1+'数据-取费表'!C42),0))</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IF(项目基本情况!B11="自然人","——",IF(D33="按租金收入计税",ROUND(C6*F33/(1+'数据-取费表'!C42),0),IF(D33="按房产原值计税",ROUND(C29*F33*0.7,0),INDIRECT("'数据-取费表'!Aj"&amp;$G$1))))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9" t="s">
        <v>1076</v>
      </c>
      <c r="L53" s="3530"/>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IF(项目基本情况!B11="自然人","——",ROUND(C48*F60/(1+'数据-取费表'!C42),0))</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IF(项目基本情况!B11="自然人","——",IF(D61="按租金收入计税",ROUND(C49*F61/(1+'数据-取费表'!C42),0),IF(D61="按房产原值计税",ROUND(C57*F61*0.7,0),INDIRECT("'数据-取费表'!Aj"&amp;$G$1))))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IF(项目基本情况!B11="自然人","——",ROUND(F62*F63,0))</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40" t="s">
        <v>2608</v>
      </c>
      <c r="K2" s="3541"/>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2" t="s">
        <v>2618</v>
      </c>
      <c r="K3" s="3543"/>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2" t="s">
        <v>2620</v>
      </c>
      <c r="K4" s="3543"/>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8" t="s">
        <v>2624</v>
      </c>
      <c r="B6" s="3549"/>
      <c r="C6" s="3550"/>
      <c r="D6" s="2537"/>
      <c r="E6" s="2538"/>
      <c r="F6" s="2539"/>
      <c r="G6" s="2540"/>
      <c r="H6" s="2515"/>
      <c r="I6" s="2516"/>
      <c r="J6" s="3534">
        <v>1</v>
      </c>
      <c r="K6" s="3535"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4"/>
      <c r="K7" s="3536"/>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51" t="s">
        <v>2638</v>
      </c>
      <c r="C8" s="3552"/>
      <c r="D8" s="2556" t="s">
        <v>2639</v>
      </c>
      <c r="E8" s="2557" t="s">
        <v>2640</v>
      </c>
      <c r="F8" s="2558" t="s">
        <v>2641</v>
      </c>
      <c r="G8" s="2559"/>
      <c r="H8" s="2515"/>
      <c r="I8" s="2516"/>
      <c r="J8" s="3534"/>
      <c r="K8" s="3536"/>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51" t="s">
        <v>2644</v>
      </c>
      <c r="C9" s="3552"/>
      <c r="D9" s="2556">
        <f>ROUND(D6*E9,0)</f>
        <v>0</v>
      </c>
      <c r="E9" s="2560"/>
      <c r="F9" s="2561" t="s">
        <v>2645</v>
      </c>
      <c r="G9" s="2540"/>
      <c r="H9" s="2515"/>
      <c r="I9" s="2516"/>
      <c r="J9" s="3534"/>
      <c r="K9" s="3536"/>
      <c r="L9" s="2550" t="s">
        <v>2646</v>
      </c>
      <c r="M9" s="2551"/>
      <c r="N9" s="2527"/>
      <c r="O9" s="2552"/>
      <c r="P9" s="2552"/>
      <c r="Q9" s="2553">
        <v>365</v>
      </c>
      <c r="R9" s="2554">
        <f t="shared" si="0"/>
        <v>0</v>
      </c>
      <c r="S9" s="2508"/>
      <c r="T9" s="2508"/>
      <c r="U9" s="2508"/>
      <c r="V9" s="2516"/>
    </row>
    <row r="10" spans="1:22" s="2520" customFormat="1" ht="13.15" customHeight="1">
      <c r="A10" s="2555">
        <v>2</v>
      </c>
      <c r="B10" s="3551" t="s">
        <v>2647</v>
      </c>
      <c r="C10" s="3552"/>
      <c r="D10" s="2556">
        <f>ROUND(D6*E10,0)</f>
        <v>0</v>
      </c>
      <c r="E10" s="2560"/>
      <c r="F10" s="2561" t="s">
        <v>2648</v>
      </c>
      <c r="G10" s="2540"/>
      <c r="H10" s="2515"/>
      <c r="I10" s="2516"/>
      <c r="J10" s="3534"/>
      <c r="K10" s="3536"/>
      <c r="L10" s="2550" t="s">
        <v>2649</v>
      </c>
      <c r="M10" s="2551"/>
      <c r="N10" s="2527"/>
      <c r="O10" s="2552"/>
      <c r="P10" s="2552"/>
      <c r="Q10" s="2553">
        <v>365</v>
      </c>
      <c r="R10" s="2554">
        <f t="shared" si="0"/>
        <v>0</v>
      </c>
      <c r="S10" s="2508"/>
      <c r="T10" s="2508"/>
      <c r="U10" s="2508"/>
      <c r="V10" s="2516"/>
    </row>
    <row r="11" spans="1:22" s="2520" customFormat="1" ht="13.15" customHeight="1">
      <c r="A11" s="2555">
        <v>3</v>
      </c>
      <c r="B11" s="3551" t="s">
        <v>2650</v>
      </c>
      <c r="C11" s="3552"/>
      <c r="D11" s="2556">
        <f>D12+D14+D15+D16</f>
        <v>0</v>
      </c>
      <c r="E11" s="2562" t="e">
        <f>D11/D6</f>
        <v>#DIV/0!</v>
      </c>
      <c r="F11" s="2558"/>
      <c r="G11" s="2559"/>
      <c r="H11" s="2515"/>
      <c r="I11" s="2516"/>
      <c r="J11" s="3534"/>
      <c r="K11" s="3536"/>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4" t="s">
        <v>2653</v>
      </c>
      <c r="C12" s="3545"/>
      <c r="D12" s="2564">
        <f>ROUND(D13*1.2%*(1-30%),0)</f>
        <v>0</v>
      </c>
      <c r="E12" s="2565">
        <v>1.2E-2</v>
      </c>
      <c r="F12" s="2558" t="s">
        <v>2654</v>
      </c>
      <c r="G12" s="2559"/>
      <c r="H12" s="2515"/>
      <c r="I12" s="2516"/>
      <c r="J12" s="3534"/>
      <c r="K12" s="3536"/>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4"/>
      <c r="K13" s="3536"/>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4" t="s">
        <v>2659</v>
      </c>
      <c r="C14" s="3545"/>
      <c r="D14" s="2564">
        <f>ROUND(E14*B5/10000,0)</f>
        <v>0</v>
      </c>
      <c r="E14" s="2553"/>
      <c r="F14" s="2558" t="s">
        <v>2660</v>
      </c>
      <c r="G14" s="2559"/>
      <c r="H14" s="2515"/>
      <c r="I14" s="2516"/>
      <c r="J14" s="3534"/>
      <c r="K14" s="3537"/>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4" t="s">
        <v>2663</v>
      </c>
      <c r="C15" s="3545"/>
      <c r="D15" s="2564">
        <f>ROUND(D6*E15,0)</f>
        <v>0</v>
      </c>
      <c r="E15" s="2565">
        <v>5.5E-2</v>
      </c>
      <c r="F15" s="2558" t="s">
        <v>2664</v>
      </c>
      <c r="G15" s="2540"/>
      <c r="H15" s="2515"/>
      <c r="I15" s="2516"/>
      <c r="J15" s="3534">
        <v>2</v>
      </c>
      <c r="K15" s="3535"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4" t="s">
        <v>2672</v>
      </c>
      <c r="C16" s="3545"/>
      <c r="D16" s="2575">
        <f>D6*E16</f>
        <v>0</v>
      </c>
      <c r="E16" s="2576"/>
      <c r="F16" s="2561" t="s">
        <v>2673</v>
      </c>
      <c r="G16" s="2540"/>
      <c r="H16" s="2515"/>
      <c r="I16" s="2516"/>
      <c r="J16" s="3534"/>
      <c r="K16" s="3536"/>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6" t="s">
        <v>2675</v>
      </c>
      <c r="C17" s="3547"/>
      <c r="D17" s="2578">
        <f>ROUND(D6*E17,0)</f>
        <v>0</v>
      </c>
      <c r="E17" s="2579"/>
      <c r="F17" s="2580" t="s">
        <v>2676</v>
      </c>
      <c r="G17" s="2540"/>
      <c r="H17" s="2515"/>
      <c r="I17" s="2516"/>
      <c r="J17" s="3534"/>
      <c r="K17" s="3536"/>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4"/>
      <c r="K18" s="3536"/>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4"/>
      <c r="K19" s="3537"/>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4">
        <v>3</v>
      </c>
      <c r="K20" s="3535"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4"/>
      <c r="K21" s="3536"/>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4"/>
      <c r="K22" s="3536"/>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4"/>
      <c r="K23" s="3536"/>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4"/>
      <c r="K24" s="3537"/>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8">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39"/>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40" t="s">
        <v>2608</v>
      </c>
      <c r="K32" s="3541"/>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2" t="s">
        <v>2618</v>
      </c>
      <c r="K33" s="3543"/>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2" t="s">
        <v>2620</v>
      </c>
      <c r="K34" s="3543"/>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4">
        <v>1</v>
      </c>
      <c r="K36" s="3535"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4"/>
      <c r="K37" s="3536"/>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4"/>
      <c r="K38" s="3536"/>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4"/>
      <c r="K39" s="3536"/>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4"/>
      <c r="K40" s="3537"/>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8">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39"/>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3" t="s">
        <v>1906</v>
      </c>
      <c r="C5" s="3554"/>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3" t="s">
        <v>1920</v>
      </c>
      <c r="D4" s="3574"/>
      <c r="E4" s="3575" t="s">
        <v>1921</v>
      </c>
      <c r="F4" s="3576"/>
      <c r="G4" s="3573" t="s">
        <v>1922</v>
      </c>
      <c r="H4" s="3574"/>
      <c r="I4" s="3573" t="s">
        <v>1923</v>
      </c>
      <c r="J4" s="3574"/>
      <c r="K4" s="1829" t="s">
        <v>1924</v>
      </c>
      <c r="L4" s="2395"/>
      <c r="M4" s="2396"/>
      <c r="N4" s="2396"/>
      <c r="O4" s="2396"/>
      <c r="P4" s="3577" t="s">
        <v>1925</v>
      </c>
      <c r="Q4" s="3578"/>
      <c r="R4" s="3583" t="s">
        <v>1921</v>
      </c>
      <c r="S4" s="3584"/>
      <c r="T4" s="3583" t="s">
        <v>1922</v>
      </c>
      <c r="U4" s="3584"/>
      <c r="V4" s="3589" t="s">
        <v>1923</v>
      </c>
      <c r="W4" s="3589"/>
      <c r="X4" s="1294"/>
      <c r="Y4" s="3583" t="s">
        <v>1925</v>
      </c>
      <c r="Z4" s="3584"/>
      <c r="AA4" s="3570" t="s">
        <v>1921</v>
      </c>
      <c r="AB4" s="3570" t="s">
        <v>1922</v>
      </c>
      <c r="AC4" s="3570" t="s">
        <v>1923</v>
      </c>
    </row>
    <row r="5" spans="1:29" ht="15">
      <c r="A5" s="359"/>
      <c r="B5" s="360"/>
      <c r="C5" s="3592" t="s">
        <v>1926</v>
      </c>
      <c r="D5" s="3593"/>
      <c r="E5" s="3599" t="s">
        <v>1927</v>
      </c>
      <c r="F5" s="3600"/>
      <c r="G5" s="3592" t="s">
        <v>1928</v>
      </c>
      <c r="H5" s="3593"/>
      <c r="I5" s="3592" t="s">
        <v>1929</v>
      </c>
      <c r="J5" s="3593"/>
      <c r="K5" s="1830"/>
      <c r="L5" s="2395"/>
      <c r="M5" s="2396"/>
      <c r="N5" s="2396"/>
      <c r="O5" s="2396"/>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1830" t="s">
        <v>1931</v>
      </c>
      <c r="L6" s="2395"/>
      <c r="M6" s="2396"/>
      <c r="N6" s="2396"/>
      <c r="O6" s="2396"/>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44725</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4" t="s">
        <v>1933</v>
      </c>
      <c r="Q7" s="3596"/>
      <c r="R7" s="704" t="s">
        <v>23</v>
      </c>
      <c r="S7" s="705">
        <f t="shared" ref="S7:S15" si="0">F7</f>
        <v>0</v>
      </c>
      <c r="T7" s="704" t="s">
        <v>23</v>
      </c>
      <c r="U7" s="705">
        <f t="shared" ref="U7:U15" si="1">H7</f>
        <v>0</v>
      </c>
      <c r="V7" s="704" t="s">
        <v>23</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4" t="s">
        <v>1936</v>
      </c>
      <c r="Q8" s="3595"/>
      <c r="R8" s="704" t="s">
        <v>23</v>
      </c>
      <c r="S8" s="705">
        <f t="shared" si="0"/>
        <v>0</v>
      </c>
      <c r="T8" s="704" t="s">
        <v>23</v>
      </c>
      <c r="U8" s="705">
        <f t="shared" si="1"/>
        <v>0</v>
      </c>
      <c r="V8" s="704" t="s">
        <v>23</v>
      </c>
      <c r="W8" s="705">
        <f t="shared" si="2"/>
        <v>0</v>
      </c>
      <c r="X8" s="706"/>
      <c r="Y8" s="3594" t="s">
        <v>1936</v>
      </c>
      <c r="Z8" s="3595"/>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69"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69"/>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69"/>
      <c r="Q11" s="1284" t="str">
        <f t="shared" si="6"/>
        <v>容积率</v>
      </c>
      <c r="R11" s="704" t="s">
        <v>21</v>
      </c>
      <c r="S11" s="705" t="e">
        <f t="shared" si="0"/>
        <v>#N/A</v>
      </c>
      <c r="T11" s="704" t="s">
        <v>21</v>
      </c>
      <c r="U11" s="705" t="e">
        <f t="shared" si="1"/>
        <v>#N/A</v>
      </c>
      <c r="V11" s="704" t="s">
        <v>21</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69"/>
      <c r="Q12" s="1284">
        <f t="shared" si="6"/>
        <v>111</v>
      </c>
      <c r="R12" s="704" t="s">
        <v>21</v>
      </c>
      <c r="S12" s="705">
        <f t="shared" si="0"/>
        <v>100</v>
      </c>
      <c r="T12" s="704" t="s">
        <v>21</v>
      </c>
      <c r="U12" s="705">
        <f t="shared" si="1"/>
        <v>100</v>
      </c>
      <c r="V12" s="704" t="s">
        <v>21</v>
      </c>
      <c r="W12" s="705">
        <f t="shared" si="2"/>
        <v>100</v>
      </c>
      <c r="X12" s="706"/>
      <c r="Y12" s="3430"/>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69"/>
      <c r="Q13" s="1284">
        <f t="shared" si="6"/>
        <v>111</v>
      </c>
      <c r="R13" s="704" t="s">
        <v>21</v>
      </c>
      <c r="S13" s="705">
        <f t="shared" si="0"/>
        <v>100</v>
      </c>
      <c r="T13" s="704" t="s">
        <v>21</v>
      </c>
      <c r="U13" s="705">
        <f t="shared" si="1"/>
        <v>100</v>
      </c>
      <c r="V13" s="704" t="s">
        <v>21</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69"/>
      <c r="Q14" s="1284">
        <f t="shared" si="6"/>
        <v>111</v>
      </c>
      <c r="R14" s="704" t="s">
        <v>21</v>
      </c>
      <c r="S14" s="705">
        <f t="shared" si="0"/>
        <v>100</v>
      </c>
      <c r="T14" s="704" t="s">
        <v>21</v>
      </c>
      <c r="U14" s="705">
        <f t="shared" si="1"/>
        <v>100</v>
      </c>
      <c r="V14" s="704" t="s">
        <v>21</v>
      </c>
      <c r="W14" s="705">
        <f t="shared" si="2"/>
        <v>100</v>
      </c>
      <c r="X14" s="706"/>
      <c r="Y14" s="3430"/>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7" t="s">
        <v>1944</v>
      </c>
      <c r="Q15" s="1291" t="str">
        <f t="shared" si="6"/>
        <v>居住社区成熟度</v>
      </c>
      <c r="R15" s="708" t="s">
        <v>21</v>
      </c>
      <c r="S15" s="709">
        <f t="shared" si="0"/>
        <v>100</v>
      </c>
      <c r="T15" s="708" t="s">
        <v>21</v>
      </c>
      <c r="U15" s="709">
        <f t="shared" si="1"/>
        <v>100</v>
      </c>
      <c r="V15" s="708" t="s">
        <v>21</v>
      </c>
      <c r="W15" s="709">
        <f t="shared" si="2"/>
        <v>100</v>
      </c>
      <c r="X15" s="1294"/>
      <c r="Y15" s="3560"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68"/>
      <c r="Q16" s="1291"/>
      <c r="R16" s="708"/>
      <c r="S16" s="709"/>
      <c r="T16" s="708"/>
      <c r="U16" s="709"/>
      <c r="V16" s="708"/>
      <c r="W16" s="709"/>
      <c r="X16" s="1294"/>
      <c r="Y16" s="3561"/>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8"/>
      <c r="Q17" s="1291" t="str">
        <f>B17</f>
        <v>交通便捷度</v>
      </c>
      <c r="R17" s="708" t="s">
        <v>21</v>
      </c>
      <c r="S17" s="709">
        <f>F17</f>
        <v>100</v>
      </c>
      <c r="T17" s="708" t="s">
        <v>21</v>
      </c>
      <c r="U17" s="709">
        <f>H17</f>
        <v>100</v>
      </c>
      <c r="V17" s="708" t="s">
        <v>21</v>
      </c>
      <c r="W17" s="709">
        <f>J17</f>
        <v>100</v>
      </c>
      <c r="X17" s="1294"/>
      <c r="Y17" s="3561"/>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68"/>
      <c r="Q18" s="1291"/>
      <c r="R18" s="708"/>
      <c r="S18" s="709"/>
      <c r="T18" s="708"/>
      <c r="U18" s="709"/>
      <c r="V18" s="708"/>
      <c r="W18" s="709"/>
      <c r="X18" s="1294"/>
      <c r="Y18" s="3561"/>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8"/>
      <c r="Q19" s="1291" t="str">
        <f>B19</f>
        <v>公共配套设施</v>
      </c>
      <c r="R19" s="708" t="s">
        <v>21</v>
      </c>
      <c r="S19" s="709">
        <f>F19</f>
        <v>100</v>
      </c>
      <c r="T19" s="708" t="s">
        <v>21</v>
      </c>
      <c r="U19" s="709">
        <f>H19</f>
        <v>100</v>
      </c>
      <c r="V19" s="708" t="s">
        <v>21</v>
      </c>
      <c r="W19" s="709">
        <f>J19</f>
        <v>100</v>
      </c>
      <c r="X19" s="1294"/>
      <c r="Y19" s="3561"/>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68"/>
      <c r="Q20" s="1291"/>
      <c r="R20" s="708"/>
      <c r="S20" s="709"/>
      <c r="T20" s="708"/>
      <c r="U20" s="709"/>
      <c r="V20" s="708"/>
      <c r="W20" s="709"/>
      <c r="X20" s="1294"/>
      <c r="Y20" s="3561"/>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8"/>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68"/>
      <c r="Q22" s="1291"/>
      <c r="R22" s="708"/>
      <c r="S22" s="709"/>
      <c r="T22" s="708"/>
      <c r="U22" s="709"/>
      <c r="V22" s="708"/>
      <c r="W22" s="709"/>
      <c r="X22" s="1294"/>
      <c r="Y22" s="3561"/>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8"/>
      <c r="Q23" s="1291" t="str">
        <f>B23</f>
        <v>自然及人文环境</v>
      </c>
      <c r="R23" s="708" t="s">
        <v>21</v>
      </c>
      <c r="S23" s="709">
        <f>F23</f>
        <v>100</v>
      </c>
      <c r="T23" s="708" t="s">
        <v>21</v>
      </c>
      <c r="U23" s="709">
        <f>H23</f>
        <v>100</v>
      </c>
      <c r="V23" s="708" t="s">
        <v>21</v>
      </c>
      <c r="W23" s="709">
        <f>J23</f>
        <v>100</v>
      </c>
      <c r="X23" s="1294"/>
      <c r="Y23" s="3561"/>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68"/>
      <c r="Q24" s="1291"/>
      <c r="R24" s="708"/>
      <c r="S24" s="709"/>
      <c r="T24" s="708"/>
      <c r="U24" s="709"/>
      <c r="V24" s="708"/>
      <c r="W24" s="709"/>
      <c r="X24" s="1294"/>
      <c r="Y24" s="3561"/>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8"/>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1"/>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8"/>
      <c r="Q26" s="1291" t="str">
        <f t="shared" si="11"/>
        <v>朝向</v>
      </c>
      <c r="R26" s="708" t="s">
        <v>21</v>
      </c>
      <c r="S26" s="709">
        <f t="shared" si="12"/>
        <v>100</v>
      </c>
      <c r="T26" s="708" t="s">
        <v>21</v>
      </c>
      <c r="U26" s="709">
        <f t="shared" si="13"/>
        <v>100</v>
      </c>
      <c r="V26" s="708" t="s">
        <v>21</v>
      </c>
      <c r="W26" s="709">
        <f t="shared" si="14"/>
        <v>100</v>
      </c>
      <c r="X26" s="1294"/>
      <c r="Y26" s="3561"/>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8"/>
      <c r="Q27" s="1284">
        <f t="shared" si="11"/>
        <v>111</v>
      </c>
      <c r="R27" s="704" t="s">
        <v>21</v>
      </c>
      <c r="S27" s="705">
        <f t="shared" si="12"/>
        <v>100</v>
      </c>
      <c r="T27" s="704" t="s">
        <v>21</v>
      </c>
      <c r="U27" s="705">
        <f t="shared" si="13"/>
        <v>100</v>
      </c>
      <c r="V27" s="704" t="s">
        <v>21</v>
      </c>
      <c r="W27" s="705">
        <f t="shared" si="14"/>
        <v>100</v>
      </c>
      <c r="X27" s="706"/>
      <c r="Y27" s="3561"/>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8"/>
      <c r="Q28" s="1291">
        <f t="shared" si="11"/>
        <v>111</v>
      </c>
      <c r="R28" s="708" t="s">
        <v>21</v>
      </c>
      <c r="S28" s="709">
        <f t="shared" si="12"/>
        <v>100</v>
      </c>
      <c r="T28" s="708" t="s">
        <v>21</v>
      </c>
      <c r="U28" s="709">
        <f t="shared" si="13"/>
        <v>100</v>
      </c>
      <c r="V28" s="708" t="s">
        <v>21</v>
      </c>
      <c r="W28" s="709">
        <f t="shared" si="14"/>
        <v>100</v>
      </c>
      <c r="X28" s="1294"/>
      <c r="Y28" s="3561"/>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8"/>
      <c r="Q29" s="1291">
        <f t="shared" si="11"/>
        <v>111</v>
      </c>
      <c r="R29" s="708" t="s">
        <v>21</v>
      </c>
      <c r="S29" s="709">
        <f t="shared" si="12"/>
        <v>100</v>
      </c>
      <c r="T29" s="708" t="s">
        <v>21</v>
      </c>
      <c r="U29" s="709">
        <f t="shared" si="13"/>
        <v>100</v>
      </c>
      <c r="V29" s="708" t="s">
        <v>21</v>
      </c>
      <c r="W29" s="709">
        <f t="shared" si="14"/>
        <v>100</v>
      </c>
      <c r="X29" s="1294"/>
      <c r="Y29" s="3561"/>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8"/>
      <c r="Q30" s="1291">
        <f t="shared" si="11"/>
        <v>111</v>
      </c>
      <c r="R30" s="708" t="s">
        <v>21</v>
      </c>
      <c r="S30" s="709">
        <f t="shared" si="12"/>
        <v>100</v>
      </c>
      <c r="T30" s="708" t="s">
        <v>21</v>
      </c>
      <c r="U30" s="709">
        <f t="shared" si="13"/>
        <v>100</v>
      </c>
      <c r="V30" s="708" t="s">
        <v>21</v>
      </c>
      <c r="W30" s="709">
        <f t="shared" si="14"/>
        <v>100</v>
      </c>
      <c r="X30" s="1294"/>
      <c r="Y30" s="3561"/>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8"/>
      <c r="Q31" s="1291">
        <f t="shared" si="11"/>
        <v>111</v>
      </c>
      <c r="R31" s="708" t="s">
        <v>21</v>
      </c>
      <c r="S31" s="709">
        <f t="shared" si="12"/>
        <v>100</v>
      </c>
      <c r="T31" s="708" t="s">
        <v>21</v>
      </c>
      <c r="U31" s="709">
        <f t="shared" si="13"/>
        <v>100</v>
      </c>
      <c r="V31" s="708" t="s">
        <v>21</v>
      </c>
      <c r="W31" s="709">
        <f t="shared" si="14"/>
        <v>100</v>
      </c>
      <c r="X31" s="1294"/>
      <c r="Y31" s="3561"/>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2" t="s">
        <v>1949</v>
      </c>
      <c r="Q32" s="1291" t="str">
        <f t="shared" si="11"/>
        <v>建筑类型</v>
      </c>
      <c r="R32" s="708" t="s">
        <v>21</v>
      </c>
      <c r="S32" s="709">
        <f t="shared" si="12"/>
        <v>100</v>
      </c>
      <c r="T32" s="708" t="s">
        <v>21</v>
      </c>
      <c r="U32" s="709">
        <f t="shared" si="13"/>
        <v>100</v>
      </c>
      <c r="V32" s="708" t="s">
        <v>21</v>
      </c>
      <c r="W32" s="709">
        <f t="shared" si="14"/>
        <v>100</v>
      </c>
      <c r="X32" s="1294"/>
      <c r="Y32" s="3565"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3"/>
      <c r="Q33" s="710" t="str">
        <f t="shared" si="11"/>
        <v>项目建筑规模</v>
      </c>
      <c r="R33" s="711" t="s">
        <v>21</v>
      </c>
      <c r="S33" s="712" t="e">
        <f t="shared" si="12"/>
        <v>#N/A</v>
      </c>
      <c r="T33" s="711" t="s">
        <v>21</v>
      </c>
      <c r="U33" s="712" t="e">
        <f t="shared" si="13"/>
        <v>#N/A</v>
      </c>
      <c r="V33" s="711" t="s">
        <v>21</v>
      </c>
      <c r="W33" s="712" t="e">
        <f t="shared" si="14"/>
        <v>#N/A</v>
      </c>
      <c r="X33" s="713"/>
      <c r="Y33" s="3565"/>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3"/>
      <c r="Q34" s="1291" t="str">
        <f t="shared" si="11"/>
        <v>建筑结构</v>
      </c>
      <c r="R34" s="708" t="s">
        <v>21</v>
      </c>
      <c r="S34" s="709">
        <f t="shared" si="12"/>
        <v>100</v>
      </c>
      <c r="T34" s="708" t="s">
        <v>21</v>
      </c>
      <c r="U34" s="709">
        <f t="shared" si="13"/>
        <v>100</v>
      </c>
      <c r="V34" s="708" t="s">
        <v>21</v>
      </c>
      <c r="W34" s="709">
        <f t="shared" si="14"/>
        <v>100</v>
      </c>
      <c r="X34" s="1294"/>
      <c r="Y34" s="3565"/>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3"/>
      <c r="Q35" s="1291" t="str">
        <f t="shared" si="11"/>
        <v>建筑品质</v>
      </c>
      <c r="R35" s="708" t="s">
        <v>21</v>
      </c>
      <c r="S35" s="709">
        <f t="shared" si="12"/>
        <v>100</v>
      </c>
      <c r="T35" s="708" t="s">
        <v>21</v>
      </c>
      <c r="U35" s="709">
        <f t="shared" si="13"/>
        <v>100</v>
      </c>
      <c r="V35" s="708" t="s">
        <v>21</v>
      </c>
      <c r="W35" s="709">
        <f t="shared" si="14"/>
        <v>100</v>
      </c>
      <c r="X35" s="1294"/>
      <c r="Y35" s="3565"/>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3"/>
      <c r="Q36" s="1291" t="str">
        <f t="shared" si="11"/>
        <v>公共部分装修</v>
      </c>
      <c r="R36" s="708" t="s">
        <v>21</v>
      </c>
      <c r="S36" s="709">
        <f t="shared" si="12"/>
        <v>100</v>
      </c>
      <c r="T36" s="708" t="s">
        <v>21</v>
      </c>
      <c r="U36" s="709">
        <f t="shared" si="13"/>
        <v>100</v>
      </c>
      <c r="V36" s="708" t="s">
        <v>21</v>
      </c>
      <c r="W36" s="709">
        <f t="shared" si="14"/>
        <v>100</v>
      </c>
      <c r="X36" s="1294"/>
      <c r="Y36" s="3565"/>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3"/>
      <c r="Q37" s="1284" t="str">
        <f t="shared" si="11"/>
        <v>成新度</v>
      </c>
      <c r="R37" s="704" t="s">
        <v>21</v>
      </c>
      <c r="S37" s="705" t="e">
        <f t="shared" si="12"/>
        <v>#N/A</v>
      </c>
      <c r="T37" s="704" t="s">
        <v>21</v>
      </c>
      <c r="U37" s="705" t="e">
        <f t="shared" si="13"/>
        <v>#N/A</v>
      </c>
      <c r="V37" s="704" t="s">
        <v>21</v>
      </c>
      <c r="W37" s="705" t="e">
        <f t="shared" si="14"/>
        <v>#N/A</v>
      </c>
      <c r="X37" s="706"/>
      <c r="Y37" s="3565"/>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3" t="s">
        <v>1949</v>
      </c>
      <c r="Q38" s="1291" t="str">
        <f t="shared" si="11"/>
        <v>物业管理</v>
      </c>
      <c r="R38" s="708" t="s">
        <v>21</v>
      </c>
      <c r="S38" s="709">
        <f t="shared" si="12"/>
        <v>100</v>
      </c>
      <c r="T38" s="708" t="s">
        <v>21</v>
      </c>
      <c r="U38" s="709">
        <f t="shared" si="13"/>
        <v>100</v>
      </c>
      <c r="V38" s="708" t="s">
        <v>21</v>
      </c>
      <c r="W38" s="709">
        <f t="shared" si="14"/>
        <v>100</v>
      </c>
      <c r="X38" s="1294"/>
      <c r="Y38" s="3565"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3"/>
      <c r="Q39" s="1291" t="str">
        <f t="shared" si="11"/>
        <v>市政基础设施</v>
      </c>
      <c r="R39" s="708" t="s">
        <v>21</v>
      </c>
      <c r="S39" s="709">
        <f t="shared" si="12"/>
        <v>100</v>
      </c>
      <c r="T39" s="708" t="s">
        <v>21</v>
      </c>
      <c r="U39" s="709">
        <f t="shared" si="13"/>
        <v>100</v>
      </c>
      <c r="V39" s="708" t="s">
        <v>21</v>
      </c>
      <c r="W39" s="709">
        <f t="shared" si="14"/>
        <v>100</v>
      </c>
      <c r="X39" s="1294"/>
      <c r="Y39" s="3565"/>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3"/>
      <c r="Q40" s="1291" t="str">
        <f t="shared" si="11"/>
        <v>房型</v>
      </c>
      <c r="R40" s="708" t="s">
        <v>21</v>
      </c>
      <c r="S40" s="709">
        <f t="shared" si="12"/>
        <v>100</v>
      </c>
      <c r="T40" s="708" t="s">
        <v>21</v>
      </c>
      <c r="U40" s="709">
        <f t="shared" si="13"/>
        <v>100</v>
      </c>
      <c r="V40" s="708" t="s">
        <v>21</v>
      </c>
      <c r="W40" s="709">
        <f t="shared" si="14"/>
        <v>100</v>
      </c>
      <c r="X40" s="1294"/>
      <c r="Y40" s="3565"/>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3"/>
      <c r="Q41" s="710" t="str">
        <f t="shared" si="11"/>
        <v>单套/主力户型建筑面积</v>
      </c>
      <c r="R41" s="711" t="s">
        <v>21</v>
      </c>
      <c r="S41" s="712">
        <f t="shared" si="12"/>
        <v>100</v>
      </c>
      <c r="T41" s="711" t="s">
        <v>21</v>
      </c>
      <c r="U41" s="712">
        <f t="shared" si="13"/>
        <v>100</v>
      </c>
      <c r="V41" s="711" t="s">
        <v>21</v>
      </c>
      <c r="W41" s="712">
        <f t="shared" si="14"/>
        <v>100</v>
      </c>
      <c r="X41" s="713"/>
      <c r="Y41" s="3565"/>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3"/>
      <c r="Q42" s="1291" t="str">
        <f t="shared" si="11"/>
        <v>内部装修</v>
      </c>
      <c r="R42" s="708" t="s">
        <v>21</v>
      </c>
      <c r="S42" s="709">
        <f t="shared" si="12"/>
        <v>100</v>
      </c>
      <c r="T42" s="708" t="s">
        <v>21</v>
      </c>
      <c r="U42" s="709">
        <f t="shared" si="13"/>
        <v>100</v>
      </c>
      <c r="V42" s="708" t="s">
        <v>21</v>
      </c>
      <c r="W42" s="709">
        <f t="shared" si="14"/>
        <v>100</v>
      </c>
      <c r="X42" s="1294"/>
      <c r="Y42" s="3565"/>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3"/>
      <c r="Q43" s="1291" t="str">
        <f t="shared" si="11"/>
        <v>内部装修维护情况</v>
      </c>
      <c r="R43" s="708" t="s">
        <v>21</v>
      </c>
      <c r="S43" s="709">
        <f t="shared" si="12"/>
        <v>100</v>
      </c>
      <c r="T43" s="708" t="s">
        <v>21</v>
      </c>
      <c r="U43" s="709">
        <f t="shared" si="13"/>
        <v>100</v>
      </c>
      <c r="V43" s="708" t="s">
        <v>21</v>
      </c>
      <c r="W43" s="709">
        <f t="shared" si="14"/>
        <v>100</v>
      </c>
      <c r="X43" s="1294"/>
      <c r="Y43" s="3565"/>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3"/>
      <c r="Q44" s="1284">
        <f t="shared" si="11"/>
        <v>111</v>
      </c>
      <c r="R44" s="704" t="s">
        <v>21</v>
      </c>
      <c r="S44" s="705">
        <f t="shared" si="12"/>
        <v>100</v>
      </c>
      <c r="T44" s="704" t="s">
        <v>21</v>
      </c>
      <c r="U44" s="705">
        <f t="shared" si="13"/>
        <v>100</v>
      </c>
      <c r="V44" s="704" t="s">
        <v>21</v>
      </c>
      <c r="W44" s="705">
        <f t="shared" si="14"/>
        <v>100</v>
      </c>
      <c r="X44" s="706"/>
      <c r="Y44" s="3565"/>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3"/>
      <c r="Q45" s="1291">
        <f t="shared" si="11"/>
        <v>111</v>
      </c>
      <c r="R45" s="708" t="s">
        <v>21</v>
      </c>
      <c r="S45" s="709">
        <f t="shared" si="12"/>
        <v>100</v>
      </c>
      <c r="T45" s="708" t="s">
        <v>21</v>
      </c>
      <c r="U45" s="709">
        <f t="shared" si="13"/>
        <v>100</v>
      </c>
      <c r="V45" s="708" t="s">
        <v>21</v>
      </c>
      <c r="W45" s="709">
        <f t="shared" si="14"/>
        <v>100</v>
      </c>
      <c r="X45" s="1294"/>
      <c r="Y45" s="3565"/>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4"/>
      <c r="Q46" s="1291">
        <f t="shared" si="11"/>
        <v>111</v>
      </c>
      <c r="R46" s="708" t="s">
        <v>20</v>
      </c>
      <c r="S46" s="709">
        <f t="shared" si="12"/>
        <v>100</v>
      </c>
      <c r="T46" s="708" t="s">
        <v>20</v>
      </c>
      <c r="U46" s="709">
        <f t="shared" si="13"/>
        <v>100</v>
      </c>
      <c r="V46" s="708" t="s">
        <v>20</v>
      </c>
      <c r="W46" s="709">
        <f t="shared" si="14"/>
        <v>100</v>
      </c>
      <c r="X46" s="1294"/>
      <c r="Y46" s="3566"/>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58" t="str">
        <f>A47</f>
        <v>成交单价（元/平方米）</v>
      </c>
      <c r="Q47" s="3558"/>
      <c r="R47" s="3559">
        <f>E47</f>
        <v>0</v>
      </c>
      <c r="S47" s="3559"/>
      <c r="T47" s="3559">
        <f>G47</f>
        <v>0</v>
      </c>
      <c r="U47" s="3559"/>
      <c r="V47" s="3559">
        <f>I47</f>
        <v>0</v>
      </c>
      <c r="W47" s="3559"/>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89" t="s">
        <v>2032</v>
      </c>
      <c r="AC4" s="3570" t="s">
        <v>2033</v>
      </c>
    </row>
    <row r="5" spans="1:29"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89"/>
      <c r="AC5" s="3571"/>
    </row>
    <row r="6" spans="1:29" ht="15.75" thickBot="1">
      <c r="A6" s="361"/>
      <c r="B6" s="362"/>
      <c r="C6" s="3590" t="s">
        <v>1930</v>
      </c>
      <c r="D6" s="3591"/>
      <c r="E6" s="3597" t="s">
        <v>1930</v>
      </c>
      <c r="F6" s="3598"/>
      <c r="G6" s="3590" t="s">
        <v>1930</v>
      </c>
      <c r="H6" s="3591"/>
      <c r="I6" s="3590" t="s">
        <v>1930</v>
      </c>
      <c r="J6" s="3591"/>
      <c r="K6" s="562" t="s">
        <v>1931</v>
      </c>
      <c r="L6" s="2395"/>
      <c r="M6" s="2396"/>
      <c r="N6" s="2396"/>
      <c r="O6" s="2396"/>
      <c r="P6" s="3581"/>
      <c r="Q6" s="3582"/>
      <c r="R6" s="3585"/>
      <c r="S6" s="3586"/>
      <c r="T6" s="3587"/>
      <c r="U6" s="3588"/>
      <c r="V6" s="3589"/>
      <c r="W6" s="3589"/>
      <c r="X6" s="1294"/>
      <c r="Y6" s="3587"/>
      <c r="Z6" s="3588"/>
      <c r="AA6" s="3572"/>
      <c r="AB6" s="3589"/>
      <c r="AC6" s="3572"/>
    </row>
    <row r="7" spans="1:29" s="112" customFormat="1" ht="15.75" thickBot="1">
      <c r="A7" s="363" t="s">
        <v>1932</v>
      </c>
      <c r="B7" s="364"/>
      <c r="C7" s="365">
        <f>'数据-取费表'!B2</f>
        <v>44725</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69"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69"/>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69"/>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69"/>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69"/>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69"/>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7" t="s">
        <v>1944</v>
      </c>
      <c r="Q15" s="1291" t="str">
        <f t="shared" si="6"/>
        <v>商业繁华度</v>
      </c>
      <c r="R15" s="708" t="s">
        <v>17</v>
      </c>
      <c r="S15" s="709">
        <f t="shared" si="0"/>
        <v>100</v>
      </c>
      <c r="T15" s="708" t="s">
        <v>17</v>
      </c>
      <c r="U15" s="709">
        <f t="shared" si="1"/>
        <v>100</v>
      </c>
      <c r="V15" s="708" t="s">
        <v>17</v>
      </c>
      <c r="W15" s="709">
        <f t="shared" si="2"/>
        <v>100</v>
      </c>
      <c r="X15" s="1294"/>
      <c r="Y15" s="3560"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68"/>
      <c r="Q16" s="1291"/>
      <c r="R16" s="708"/>
      <c r="S16" s="709"/>
      <c r="T16" s="708"/>
      <c r="U16" s="709"/>
      <c r="V16" s="708"/>
      <c r="W16" s="709"/>
      <c r="X16" s="1294"/>
      <c r="Y16" s="3561"/>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8"/>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68"/>
      <c r="Q18" s="1291"/>
      <c r="R18" s="708"/>
      <c r="S18" s="709"/>
      <c r="T18" s="708"/>
      <c r="U18" s="709"/>
      <c r="V18" s="708"/>
      <c r="W18" s="709"/>
      <c r="X18" s="1294"/>
      <c r="Y18" s="3561"/>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8"/>
      <c r="Q19" s="1291" t="str">
        <f>B19</f>
        <v>公共配套设施</v>
      </c>
      <c r="R19" s="708" t="s">
        <v>17</v>
      </c>
      <c r="S19" s="709">
        <f>F19</f>
        <v>100</v>
      </c>
      <c r="T19" s="708" t="s">
        <v>17</v>
      </c>
      <c r="U19" s="709">
        <f>H19</f>
        <v>100</v>
      </c>
      <c r="V19" s="708" t="s">
        <v>17</v>
      </c>
      <c r="W19" s="709">
        <f>J19</f>
        <v>100</v>
      </c>
      <c r="X19" s="1294"/>
      <c r="Y19" s="3561"/>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68"/>
      <c r="Q20" s="1291"/>
      <c r="R20" s="708"/>
      <c r="S20" s="709"/>
      <c r="T20" s="708"/>
      <c r="U20" s="709"/>
      <c r="V20" s="708"/>
      <c r="W20" s="709"/>
      <c r="X20" s="1294"/>
      <c r="Y20" s="3561"/>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8"/>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68"/>
      <c r="Q22" s="1291"/>
      <c r="R22" s="708"/>
      <c r="S22" s="709"/>
      <c r="T22" s="708"/>
      <c r="U22" s="709"/>
      <c r="V22" s="708"/>
      <c r="W22" s="709"/>
      <c r="X22" s="1294"/>
      <c r="Y22" s="3561"/>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8"/>
      <c r="Q23" s="1291" t="str">
        <f>B23</f>
        <v>自然及人文环境</v>
      </c>
      <c r="R23" s="708" t="s">
        <v>17</v>
      </c>
      <c r="S23" s="709">
        <f>F23</f>
        <v>100</v>
      </c>
      <c r="T23" s="708" t="s">
        <v>17</v>
      </c>
      <c r="U23" s="709">
        <f>H23</f>
        <v>100</v>
      </c>
      <c r="V23" s="708" t="s">
        <v>17</v>
      </c>
      <c r="W23" s="709">
        <f>J23</f>
        <v>100</v>
      </c>
      <c r="X23" s="1294"/>
      <c r="Y23" s="3561"/>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68"/>
      <c r="Q24" s="1291"/>
      <c r="R24" s="708"/>
      <c r="S24" s="709"/>
      <c r="T24" s="708"/>
      <c r="U24" s="709"/>
      <c r="V24" s="708"/>
      <c r="W24" s="709"/>
      <c r="X24" s="1294"/>
      <c r="Y24" s="3561"/>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8"/>
      <c r="Q25" s="1291" t="str">
        <f t="shared" ref="Q25:Q46" si="11">B25</f>
        <v>临街状况</v>
      </c>
      <c r="R25" s="708" t="s">
        <v>17</v>
      </c>
      <c r="S25" s="709">
        <f>F25</f>
        <v>100</v>
      </c>
      <c r="T25" s="708" t="s">
        <v>17</v>
      </c>
      <c r="U25" s="709">
        <f>H25</f>
        <v>100</v>
      </c>
      <c r="V25" s="708" t="s">
        <v>17</v>
      </c>
      <c r="W25" s="709">
        <f>J25</f>
        <v>100</v>
      </c>
      <c r="X25" s="1294"/>
      <c r="Y25" s="3561"/>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8"/>
      <c r="Q26" s="1291" t="str">
        <f t="shared" si="11"/>
        <v>平面位置/可视性</v>
      </c>
      <c r="R26" s="708" t="s">
        <v>17</v>
      </c>
      <c r="S26" s="709">
        <f>F26</f>
        <v>100</v>
      </c>
      <c r="T26" s="708" t="s">
        <v>17</v>
      </c>
      <c r="U26" s="709">
        <f>H26</f>
        <v>100</v>
      </c>
      <c r="V26" s="708" t="s">
        <v>17</v>
      </c>
      <c r="W26" s="709">
        <f>J26</f>
        <v>100</v>
      </c>
      <c r="X26" s="1294"/>
      <c r="Y26" s="3561"/>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8"/>
      <c r="Q27" s="1284" t="str">
        <f t="shared" si="11"/>
        <v>人流量</v>
      </c>
      <c r="R27" s="704" t="s">
        <v>17</v>
      </c>
      <c r="S27" s="705">
        <f>F27</f>
        <v>100</v>
      </c>
      <c r="T27" s="704" t="s">
        <v>17</v>
      </c>
      <c r="U27" s="705">
        <f>H27</f>
        <v>100</v>
      </c>
      <c r="V27" s="704" t="s">
        <v>17</v>
      </c>
      <c r="W27" s="705">
        <f>J27</f>
        <v>100</v>
      </c>
      <c r="X27" s="706"/>
      <c r="Y27" s="3561"/>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8"/>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1"/>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8"/>
      <c r="Q29" s="1291">
        <f t="shared" si="11"/>
        <v>111</v>
      </c>
      <c r="R29" s="708" t="s">
        <v>17</v>
      </c>
      <c r="S29" s="709">
        <f t="shared" si="12"/>
        <v>100</v>
      </c>
      <c r="T29" s="708" t="s">
        <v>17</v>
      </c>
      <c r="U29" s="709">
        <f t="shared" si="13"/>
        <v>100</v>
      </c>
      <c r="V29" s="708" t="s">
        <v>17</v>
      </c>
      <c r="W29" s="709">
        <f t="shared" si="14"/>
        <v>100</v>
      </c>
      <c r="X29" s="1294"/>
      <c r="Y29" s="3561"/>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8"/>
      <c r="Q30" s="1291">
        <f t="shared" si="11"/>
        <v>111</v>
      </c>
      <c r="R30" s="708" t="s">
        <v>17</v>
      </c>
      <c r="S30" s="709">
        <f t="shared" si="12"/>
        <v>100</v>
      </c>
      <c r="T30" s="708" t="s">
        <v>17</v>
      </c>
      <c r="U30" s="709">
        <f t="shared" si="13"/>
        <v>100</v>
      </c>
      <c r="V30" s="708" t="s">
        <v>17</v>
      </c>
      <c r="W30" s="709">
        <f t="shared" si="14"/>
        <v>100</v>
      </c>
      <c r="X30" s="1294"/>
      <c r="Y30" s="3561"/>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8"/>
      <c r="Q31" s="1291">
        <f t="shared" si="11"/>
        <v>111</v>
      </c>
      <c r="R31" s="708" t="s">
        <v>17</v>
      </c>
      <c r="S31" s="709">
        <f t="shared" si="12"/>
        <v>100</v>
      </c>
      <c r="T31" s="708" t="s">
        <v>17</v>
      </c>
      <c r="U31" s="709">
        <f t="shared" si="13"/>
        <v>100</v>
      </c>
      <c r="V31" s="708" t="s">
        <v>17</v>
      </c>
      <c r="W31" s="709">
        <f t="shared" si="14"/>
        <v>100</v>
      </c>
      <c r="X31" s="1294"/>
      <c r="Y31" s="3561"/>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2" t="s">
        <v>1949</v>
      </c>
      <c r="Q32" s="1291" t="str">
        <f t="shared" si="11"/>
        <v>商业类型</v>
      </c>
      <c r="R32" s="708" t="s">
        <v>17</v>
      </c>
      <c r="S32" s="709">
        <f t="shared" si="12"/>
        <v>100</v>
      </c>
      <c r="T32" s="708" t="s">
        <v>17</v>
      </c>
      <c r="U32" s="709">
        <f t="shared" si="13"/>
        <v>100</v>
      </c>
      <c r="V32" s="708" t="s">
        <v>17</v>
      </c>
      <c r="W32" s="709">
        <f t="shared" si="14"/>
        <v>100</v>
      </c>
      <c r="X32" s="1294"/>
      <c r="Y32" s="3565"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3"/>
      <c r="Q33" s="710" t="str">
        <f t="shared" si="11"/>
        <v>项目建筑规模</v>
      </c>
      <c r="R33" s="711" t="s">
        <v>17</v>
      </c>
      <c r="S33" s="712" t="e">
        <f t="shared" si="12"/>
        <v>#N/A</v>
      </c>
      <c r="T33" s="711" t="s">
        <v>17</v>
      </c>
      <c r="U33" s="712" t="e">
        <f t="shared" si="13"/>
        <v>#N/A</v>
      </c>
      <c r="V33" s="711" t="s">
        <v>17</v>
      </c>
      <c r="W33" s="712" t="e">
        <f t="shared" si="14"/>
        <v>#N/A</v>
      </c>
      <c r="X33" s="713"/>
      <c r="Y33" s="3565"/>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3"/>
      <c r="Q34" s="1291" t="str">
        <f t="shared" si="11"/>
        <v>建筑结构</v>
      </c>
      <c r="R34" s="708" t="s">
        <v>17</v>
      </c>
      <c r="S34" s="709">
        <f t="shared" si="12"/>
        <v>100</v>
      </c>
      <c r="T34" s="708" t="s">
        <v>17</v>
      </c>
      <c r="U34" s="709">
        <f t="shared" si="13"/>
        <v>100</v>
      </c>
      <c r="V34" s="708" t="s">
        <v>17</v>
      </c>
      <c r="W34" s="709">
        <f t="shared" si="14"/>
        <v>100</v>
      </c>
      <c r="X34" s="1294"/>
      <c r="Y34" s="3565"/>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3"/>
      <c r="Q35" s="1291" t="str">
        <f t="shared" si="11"/>
        <v>公共部分装修</v>
      </c>
      <c r="R35" s="708" t="s">
        <v>17</v>
      </c>
      <c r="S35" s="709">
        <f t="shared" si="12"/>
        <v>100</v>
      </c>
      <c r="T35" s="708" t="s">
        <v>17</v>
      </c>
      <c r="U35" s="709">
        <f t="shared" si="13"/>
        <v>100</v>
      </c>
      <c r="V35" s="708" t="s">
        <v>17</v>
      </c>
      <c r="W35" s="709">
        <f t="shared" si="14"/>
        <v>100</v>
      </c>
      <c r="X35" s="1294"/>
      <c r="Y35" s="3565"/>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3"/>
      <c r="Q36" s="1291" t="str">
        <f t="shared" si="11"/>
        <v>成新度</v>
      </c>
      <c r="R36" s="708" t="s">
        <v>17</v>
      </c>
      <c r="S36" s="709" t="e">
        <f t="shared" si="12"/>
        <v>#N/A</v>
      </c>
      <c r="T36" s="708" t="s">
        <v>17</v>
      </c>
      <c r="U36" s="709" t="e">
        <f t="shared" si="13"/>
        <v>#N/A</v>
      </c>
      <c r="V36" s="708" t="s">
        <v>17</v>
      </c>
      <c r="W36" s="709" t="e">
        <f t="shared" si="14"/>
        <v>#N/A</v>
      </c>
      <c r="X36" s="1294"/>
      <c r="Y36" s="3565"/>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3"/>
      <c r="Q37" s="1284" t="str">
        <f t="shared" si="11"/>
        <v>市政基础设施</v>
      </c>
      <c r="R37" s="704" t="s">
        <v>17</v>
      </c>
      <c r="S37" s="705">
        <f t="shared" si="12"/>
        <v>100</v>
      </c>
      <c r="T37" s="704" t="s">
        <v>17</v>
      </c>
      <c r="U37" s="705">
        <f t="shared" si="13"/>
        <v>100</v>
      </c>
      <c r="V37" s="704" t="s">
        <v>17</v>
      </c>
      <c r="W37" s="705">
        <f t="shared" si="14"/>
        <v>100</v>
      </c>
      <c r="X37" s="706"/>
      <c r="Y37" s="3565"/>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3" t="s">
        <v>1949</v>
      </c>
      <c r="Q38" s="1291" t="str">
        <f t="shared" si="11"/>
        <v>业态</v>
      </c>
      <c r="R38" s="708" t="s">
        <v>17</v>
      </c>
      <c r="S38" s="709">
        <f t="shared" si="12"/>
        <v>100</v>
      </c>
      <c r="T38" s="708" t="s">
        <v>17</v>
      </c>
      <c r="U38" s="709">
        <f t="shared" si="13"/>
        <v>100</v>
      </c>
      <c r="V38" s="708" t="s">
        <v>17</v>
      </c>
      <c r="W38" s="709">
        <f t="shared" si="14"/>
        <v>100</v>
      </c>
      <c r="X38" s="1294"/>
      <c r="Y38" s="3565"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3"/>
      <c r="Q39" s="1291" t="str">
        <f t="shared" si="11"/>
        <v>层高</v>
      </c>
      <c r="R39" s="708" t="s">
        <v>17</v>
      </c>
      <c r="S39" s="709">
        <f t="shared" si="12"/>
        <v>100</v>
      </c>
      <c r="T39" s="708" t="s">
        <v>17</v>
      </c>
      <c r="U39" s="709">
        <f t="shared" si="13"/>
        <v>100</v>
      </c>
      <c r="V39" s="708" t="s">
        <v>17</v>
      </c>
      <c r="W39" s="709">
        <f t="shared" si="14"/>
        <v>100</v>
      </c>
      <c r="X39" s="1294"/>
      <c r="Y39" s="3565"/>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3"/>
      <c r="Q40" s="1291" t="str">
        <f t="shared" si="11"/>
        <v>单套建筑面积</v>
      </c>
      <c r="R40" s="708" t="s">
        <v>17</v>
      </c>
      <c r="S40" s="709">
        <f t="shared" si="12"/>
        <v>100</v>
      </c>
      <c r="T40" s="708" t="s">
        <v>17</v>
      </c>
      <c r="U40" s="709">
        <f t="shared" si="13"/>
        <v>100</v>
      </c>
      <c r="V40" s="708" t="s">
        <v>17</v>
      </c>
      <c r="W40" s="709">
        <f t="shared" si="14"/>
        <v>100</v>
      </c>
      <c r="X40" s="1294"/>
      <c r="Y40" s="3565"/>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3"/>
      <c r="Q41" s="710" t="str">
        <f t="shared" si="11"/>
        <v>进深比</v>
      </c>
      <c r="R41" s="711" t="s">
        <v>17</v>
      </c>
      <c r="S41" s="712">
        <f t="shared" si="12"/>
        <v>100</v>
      </c>
      <c r="T41" s="711" t="s">
        <v>17</v>
      </c>
      <c r="U41" s="712">
        <f t="shared" si="13"/>
        <v>100</v>
      </c>
      <c r="V41" s="711" t="s">
        <v>17</v>
      </c>
      <c r="W41" s="712">
        <f t="shared" si="14"/>
        <v>100</v>
      </c>
      <c r="X41" s="713"/>
      <c r="Y41" s="3565"/>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3"/>
      <c r="Q42" s="1291" t="str">
        <f t="shared" si="11"/>
        <v>内部装修</v>
      </c>
      <c r="R42" s="708" t="s">
        <v>17</v>
      </c>
      <c r="S42" s="709">
        <f t="shared" si="12"/>
        <v>100</v>
      </c>
      <c r="T42" s="708" t="s">
        <v>17</v>
      </c>
      <c r="U42" s="709">
        <f t="shared" si="13"/>
        <v>100</v>
      </c>
      <c r="V42" s="708" t="s">
        <v>17</v>
      </c>
      <c r="W42" s="709">
        <f t="shared" si="14"/>
        <v>100</v>
      </c>
      <c r="X42" s="1294"/>
      <c r="Y42" s="3565"/>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3"/>
      <c r="Q43" s="1291" t="str">
        <f t="shared" si="11"/>
        <v>内部装修维护情况</v>
      </c>
      <c r="R43" s="708" t="s">
        <v>17</v>
      </c>
      <c r="S43" s="709">
        <f t="shared" si="12"/>
        <v>100</v>
      </c>
      <c r="T43" s="708" t="s">
        <v>17</v>
      </c>
      <c r="U43" s="709">
        <f t="shared" si="13"/>
        <v>100</v>
      </c>
      <c r="V43" s="708" t="s">
        <v>17</v>
      </c>
      <c r="W43" s="709">
        <f t="shared" si="14"/>
        <v>100</v>
      </c>
      <c r="X43" s="1294"/>
      <c r="Y43" s="3565"/>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3"/>
      <c r="Q44" s="1284">
        <f t="shared" si="11"/>
        <v>111</v>
      </c>
      <c r="R44" s="704" t="s">
        <v>17</v>
      </c>
      <c r="S44" s="705">
        <f t="shared" si="12"/>
        <v>100</v>
      </c>
      <c r="T44" s="704" t="s">
        <v>17</v>
      </c>
      <c r="U44" s="705">
        <f t="shared" si="13"/>
        <v>100</v>
      </c>
      <c r="V44" s="704" t="s">
        <v>17</v>
      </c>
      <c r="W44" s="705">
        <f t="shared" si="14"/>
        <v>100</v>
      </c>
      <c r="X44" s="706"/>
      <c r="Y44" s="3565"/>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3"/>
      <c r="Q45" s="1291">
        <f t="shared" si="11"/>
        <v>111</v>
      </c>
      <c r="R45" s="708" t="s">
        <v>17</v>
      </c>
      <c r="S45" s="709">
        <f t="shared" si="12"/>
        <v>100</v>
      </c>
      <c r="T45" s="708" t="s">
        <v>17</v>
      </c>
      <c r="U45" s="709">
        <f t="shared" si="13"/>
        <v>100</v>
      </c>
      <c r="V45" s="708" t="s">
        <v>17</v>
      </c>
      <c r="W45" s="709">
        <f t="shared" si="14"/>
        <v>100</v>
      </c>
      <c r="X45" s="1294"/>
      <c r="Y45" s="3565"/>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4"/>
      <c r="Q46" s="1291">
        <f t="shared" si="11"/>
        <v>111</v>
      </c>
      <c r="R46" s="708" t="s">
        <v>17</v>
      </c>
      <c r="S46" s="709">
        <f t="shared" si="12"/>
        <v>100</v>
      </c>
      <c r="T46" s="708" t="s">
        <v>17</v>
      </c>
      <c r="U46" s="709">
        <f t="shared" si="13"/>
        <v>100</v>
      </c>
      <c r="V46" s="708" t="s">
        <v>17</v>
      </c>
      <c r="W46" s="709">
        <f t="shared" si="14"/>
        <v>100</v>
      </c>
      <c r="X46" s="1294"/>
      <c r="Y46" s="3566"/>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58" t="str">
        <f>A47</f>
        <v>成交单价（元/平方米）</v>
      </c>
      <c r="Q47" s="3558"/>
      <c r="R47" s="3589">
        <f>E47</f>
        <v>0</v>
      </c>
      <c r="S47" s="3589"/>
      <c r="T47" s="3589">
        <f>G47</f>
        <v>0</v>
      </c>
      <c r="U47" s="3589"/>
      <c r="V47" s="3589">
        <f>I47</f>
        <v>0</v>
      </c>
      <c r="W47" s="3589"/>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607" t="s">
        <v>2035</v>
      </c>
      <c r="Q4" s="3608"/>
      <c r="R4" s="3611" t="s">
        <v>2031</v>
      </c>
      <c r="S4" s="3612"/>
      <c r="T4" s="3611" t="s">
        <v>2032</v>
      </c>
      <c r="U4" s="3612"/>
      <c r="V4" s="3613" t="s">
        <v>2033</v>
      </c>
      <c r="W4" s="3613"/>
      <c r="X4" s="1898"/>
      <c r="Y4" s="3611" t="s">
        <v>2035</v>
      </c>
      <c r="Z4" s="3612"/>
      <c r="AA4" s="3615" t="s">
        <v>2031</v>
      </c>
      <c r="AB4" s="3615" t="s">
        <v>2032</v>
      </c>
      <c r="AC4" s="3604" t="s">
        <v>2033</v>
      </c>
    </row>
    <row r="5" spans="1:29" ht="15">
      <c r="A5" s="359"/>
      <c r="B5" s="360"/>
      <c r="C5" s="3592" t="s">
        <v>1926</v>
      </c>
      <c r="D5" s="3593"/>
      <c r="E5" s="3599" t="s">
        <v>1927</v>
      </c>
      <c r="F5" s="3600"/>
      <c r="G5" s="3592" t="s">
        <v>1928</v>
      </c>
      <c r="H5" s="3593"/>
      <c r="I5" s="3592" t="s">
        <v>1929</v>
      </c>
      <c r="J5" s="3593"/>
      <c r="K5" s="562"/>
      <c r="L5" s="2395"/>
      <c r="M5" s="2396"/>
      <c r="N5" s="2396"/>
      <c r="O5" s="2396"/>
      <c r="P5" s="3609"/>
      <c r="Q5" s="3580"/>
      <c r="R5" s="3585"/>
      <c r="S5" s="3586"/>
      <c r="T5" s="3585"/>
      <c r="U5" s="3586"/>
      <c r="V5" s="3589"/>
      <c r="W5" s="3589"/>
      <c r="X5" s="1294"/>
      <c r="Y5" s="3585"/>
      <c r="Z5" s="3586"/>
      <c r="AA5" s="3571"/>
      <c r="AB5" s="3571"/>
      <c r="AC5" s="3605"/>
    </row>
    <row r="6" spans="1:29" ht="15.75" thickBot="1">
      <c r="A6" s="361"/>
      <c r="B6" s="362"/>
      <c r="C6" s="3590" t="s">
        <v>1930</v>
      </c>
      <c r="D6" s="3591"/>
      <c r="E6" s="3597" t="s">
        <v>1930</v>
      </c>
      <c r="F6" s="3598"/>
      <c r="G6" s="3590" t="s">
        <v>1930</v>
      </c>
      <c r="H6" s="3591"/>
      <c r="I6" s="3590" t="s">
        <v>1930</v>
      </c>
      <c r="J6" s="3591"/>
      <c r="K6" s="562" t="s">
        <v>1931</v>
      </c>
      <c r="L6" s="2395"/>
      <c r="M6" s="2396"/>
      <c r="N6" s="2396"/>
      <c r="O6" s="2396"/>
      <c r="P6" s="3610"/>
      <c r="Q6" s="3582"/>
      <c r="R6" s="3585"/>
      <c r="S6" s="3586"/>
      <c r="T6" s="3587"/>
      <c r="U6" s="3588"/>
      <c r="V6" s="3589"/>
      <c r="W6" s="3589"/>
      <c r="X6" s="1294"/>
      <c r="Y6" s="3587"/>
      <c r="Z6" s="3588"/>
      <c r="AA6" s="3572"/>
      <c r="AB6" s="3572"/>
      <c r="AC6" s="3606"/>
    </row>
    <row r="7" spans="1:29" s="112" customFormat="1" ht="15.75" thickBot="1">
      <c r="A7" s="363" t="s">
        <v>1932</v>
      </c>
      <c r="B7" s="364"/>
      <c r="C7" s="365">
        <f>'数据-取费表'!B2</f>
        <v>44725</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4" t="s">
        <v>1936</v>
      </c>
      <c r="Q8" s="3595"/>
      <c r="R8" s="704" t="s">
        <v>17</v>
      </c>
      <c r="S8" s="705">
        <f t="shared" si="0"/>
        <v>0</v>
      </c>
      <c r="T8" s="704" t="s">
        <v>17</v>
      </c>
      <c r="U8" s="705">
        <f t="shared" si="1"/>
        <v>0</v>
      </c>
      <c r="V8" s="704" t="s">
        <v>17</v>
      </c>
      <c r="W8" s="705">
        <f t="shared" si="2"/>
        <v>0</v>
      </c>
      <c r="X8" s="706"/>
      <c r="Y8" s="3594" t="s">
        <v>1936</v>
      </c>
      <c r="Z8" s="3595"/>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69"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69"/>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69"/>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69"/>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69"/>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69"/>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7" t="s">
        <v>1944</v>
      </c>
      <c r="Q15" s="1291" t="str">
        <f t="shared" si="6"/>
        <v>办公集聚程度</v>
      </c>
      <c r="R15" s="708" t="s">
        <v>17</v>
      </c>
      <c r="S15" s="709">
        <f t="shared" si="0"/>
        <v>100</v>
      </c>
      <c r="T15" s="708" t="s">
        <v>17</v>
      </c>
      <c r="U15" s="709">
        <f t="shared" si="1"/>
        <v>100</v>
      </c>
      <c r="V15" s="708" t="s">
        <v>17</v>
      </c>
      <c r="W15" s="709">
        <f t="shared" si="2"/>
        <v>100</v>
      </c>
      <c r="X15" s="1294"/>
      <c r="Y15" s="3560"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68"/>
      <c r="Q16" s="1291"/>
      <c r="R16" s="708"/>
      <c r="S16" s="709"/>
      <c r="T16" s="708"/>
      <c r="U16" s="709"/>
      <c r="V16" s="708"/>
      <c r="W16" s="709"/>
      <c r="X16" s="1294"/>
      <c r="Y16" s="3561"/>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8"/>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68"/>
      <c r="Q18" s="1291"/>
      <c r="R18" s="708"/>
      <c r="S18" s="709"/>
      <c r="T18" s="708"/>
      <c r="U18" s="709"/>
      <c r="V18" s="708"/>
      <c r="W18" s="709"/>
      <c r="X18" s="1294"/>
      <c r="Y18" s="3561"/>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8"/>
      <c r="Q19" s="1291" t="str">
        <f>B19</f>
        <v>公共配套设施</v>
      </c>
      <c r="R19" s="708" t="s">
        <v>17</v>
      </c>
      <c r="S19" s="709">
        <f>F19</f>
        <v>100</v>
      </c>
      <c r="T19" s="708" t="s">
        <v>17</v>
      </c>
      <c r="U19" s="709">
        <f>H19</f>
        <v>100</v>
      </c>
      <c r="V19" s="708" t="s">
        <v>17</v>
      </c>
      <c r="W19" s="709">
        <f>J19</f>
        <v>100</v>
      </c>
      <c r="X19" s="1294"/>
      <c r="Y19" s="3561"/>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68"/>
      <c r="Q20" s="1291"/>
      <c r="R20" s="708"/>
      <c r="S20" s="709"/>
      <c r="T20" s="708"/>
      <c r="U20" s="709"/>
      <c r="V20" s="708"/>
      <c r="W20" s="709"/>
      <c r="X20" s="1294"/>
      <c r="Y20" s="3561"/>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8"/>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68"/>
      <c r="Q22" s="1291"/>
      <c r="R22" s="708"/>
      <c r="S22" s="709"/>
      <c r="T22" s="708"/>
      <c r="U22" s="709"/>
      <c r="V22" s="708"/>
      <c r="W22" s="709"/>
      <c r="X22" s="1294"/>
      <c r="Y22" s="3561"/>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8"/>
      <c r="Q23" s="1291" t="str">
        <f>B23</f>
        <v>环境质量</v>
      </c>
      <c r="R23" s="708" t="s">
        <v>17</v>
      </c>
      <c r="S23" s="709">
        <f>F23</f>
        <v>100</v>
      </c>
      <c r="T23" s="708" t="s">
        <v>17</v>
      </c>
      <c r="U23" s="709">
        <f>H23</f>
        <v>100</v>
      </c>
      <c r="V23" s="708" t="s">
        <v>17</v>
      </c>
      <c r="W23" s="709">
        <f>J23</f>
        <v>100</v>
      </c>
      <c r="X23" s="1294"/>
      <c r="Y23" s="3561"/>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68"/>
      <c r="Q24" s="1291"/>
      <c r="R24" s="708"/>
      <c r="S24" s="709"/>
      <c r="T24" s="708"/>
      <c r="U24" s="709"/>
      <c r="V24" s="708"/>
      <c r="W24" s="709"/>
      <c r="X24" s="1294"/>
      <c r="Y24" s="3561"/>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8"/>
      <c r="Q25" s="1291" t="str">
        <f>B25</f>
        <v>毗邻道路的类型与等级</v>
      </c>
      <c r="R25" s="708" t="s">
        <v>17</v>
      </c>
      <c r="S25" s="709">
        <f>F25</f>
        <v>100</v>
      </c>
      <c r="T25" s="708" t="s">
        <v>17</v>
      </c>
      <c r="U25" s="709">
        <f>H25</f>
        <v>100</v>
      </c>
      <c r="V25" s="708" t="s">
        <v>17</v>
      </c>
      <c r="W25" s="709">
        <f>J25</f>
        <v>100</v>
      </c>
      <c r="X25" s="1294"/>
      <c r="Y25" s="3561"/>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68"/>
      <c r="Q26" s="1291"/>
      <c r="R26" s="708"/>
      <c r="S26" s="709"/>
      <c r="T26" s="708"/>
      <c r="U26" s="709"/>
      <c r="V26" s="708"/>
      <c r="W26" s="709"/>
      <c r="X26" s="1294"/>
      <c r="Y26" s="3561"/>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8"/>
      <c r="Q27" s="1291" t="str">
        <f t="shared" ref="Q27:Q47" si="11">B27</f>
        <v>楼层</v>
      </c>
      <c r="R27" s="708" t="s">
        <v>17</v>
      </c>
      <c r="S27" s="709">
        <f>F27</f>
        <v>100</v>
      </c>
      <c r="T27" s="708" t="s">
        <v>17</v>
      </c>
      <c r="U27" s="709">
        <f>H27</f>
        <v>100</v>
      </c>
      <c r="V27" s="708" t="s">
        <v>17</v>
      </c>
      <c r="W27" s="709">
        <f>J27</f>
        <v>100</v>
      </c>
      <c r="X27" s="1294"/>
      <c r="Y27" s="3561"/>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8"/>
      <c r="Q28" s="1284" t="str">
        <f t="shared" si="11"/>
        <v>朝向</v>
      </c>
      <c r="R28" s="704" t="s">
        <v>17</v>
      </c>
      <c r="S28" s="705">
        <f>F28</f>
        <v>100</v>
      </c>
      <c r="T28" s="704" t="s">
        <v>17</v>
      </c>
      <c r="U28" s="705">
        <f>H28</f>
        <v>100</v>
      </c>
      <c r="V28" s="704" t="s">
        <v>17</v>
      </c>
      <c r="W28" s="705">
        <f>J28</f>
        <v>100</v>
      </c>
      <c r="X28" s="706"/>
      <c r="Y28" s="3561"/>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8"/>
      <c r="Q29" s="1291">
        <f t="shared" si="11"/>
        <v>111</v>
      </c>
      <c r="R29" s="708" t="s">
        <v>17</v>
      </c>
      <c r="S29" s="709">
        <f t="shared" ref="S29:S47" si="12">F29</f>
        <v>100</v>
      </c>
      <c r="T29" s="708" t="s">
        <v>17</v>
      </c>
      <c r="U29" s="709">
        <f t="shared" ref="U29:U47" si="13">H29</f>
        <v>100</v>
      </c>
      <c r="V29" s="708" t="s">
        <v>17</v>
      </c>
      <c r="W29" s="709">
        <f t="shared" ref="W29:W47" si="14">J29</f>
        <v>100</v>
      </c>
      <c r="X29" s="1294"/>
      <c r="Y29" s="3561"/>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8"/>
      <c r="Q30" s="1291">
        <f t="shared" si="11"/>
        <v>111</v>
      </c>
      <c r="R30" s="708" t="s">
        <v>17</v>
      </c>
      <c r="S30" s="709">
        <f t="shared" si="12"/>
        <v>100</v>
      </c>
      <c r="T30" s="708" t="s">
        <v>17</v>
      </c>
      <c r="U30" s="709">
        <f t="shared" si="13"/>
        <v>100</v>
      </c>
      <c r="V30" s="708" t="s">
        <v>17</v>
      </c>
      <c r="W30" s="709">
        <f t="shared" si="14"/>
        <v>100</v>
      </c>
      <c r="X30" s="1294"/>
      <c r="Y30" s="3561"/>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8"/>
      <c r="Q31" s="1291">
        <f t="shared" si="11"/>
        <v>111</v>
      </c>
      <c r="R31" s="708" t="s">
        <v>17</v>
      </c>
      <c r="S31" s="709">
        <f t="shared" si="12"/>
        <v>100</v>
      </c>
      <c r="T31" s="708" t="s">
        <v>17</v>
      </c>
      <c r="U31" s="709">
        <f t="shared" si="13"/>
        <v>100</v>
      </c>
      <c r="V31" s="708" t="s">
        <v>17</v>
      </c>
      <c r="W31" s="709">
        <f t="shared" si="14"/>
        <v>100</v>
      </c>
      <c r="X31" s="1294"/>
      <c r="Y31" s="3561"/>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8"/>
      <c r="Q32" s="1291">
        <f t="shared" si="11"/>
        <v>111</v>
      </c>
      <c r="R32" s="708" t="s">
        <v>17</v>
      </c>
      <c r="S32" s="709">
        <f t="shared" si="12"/>
        <v>100</v>
      </c>
      <c r="T32" s="708" t="s">
        <v>17</v>
      </c>
      <c r="U32" s="709">
        <f t="shared" si="13"/>
        <v>100</v>
      </c>
      <c r="V32" s="708" t="s">
        <v>17</v>
      </c>
      <c r="W32" s="709">
        <f t="shared" si="14"/>
        <v>100</v>
      </c>
      <c r="X32" s="1294"/>
      <c r="Y32" s="3561"/>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2" t="s">
        <v>1949</v>
      </c>
      <c r="Q33" s="1291" t="str">
        <f t="shared" si="11"/>
        <v>建筑类型</v>
      </c>
      <c r="R33" s="708" t="s">
        <v>17</v>
      </c>
      <c r="S33" s="709">
        <f t="shared" si="12"/>
        <v>100</v>
      </c>
      <c r="T33" s="708" t="s">
        <v>17</v>
      </c>
      <c r="U33" s="709">
        <f t="shared" si="13"/>
        <v>100</v>
      </c>
      <c r="V33" s="708" t="s">
        <v>17</v>
      </c>
      <c r="W33" s="709">
        <f t="shared" si="14"/>
        <v>100</v>
      </c>
      <c r="X33" s="1294"/>
      <c r="Y33" s="3565"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3"/>
      <c r="Q34" s="710" t="str">
        <f t="shared" si="11"/>
        <v>项目建筑规模</v>
      </c>
      <c r="R34" s="711" t="s">
        <v>17</v>
      </c>
      <c r="S34" s="712" t="e">
        <f t="shared" si="12"/>
        <v>#N/A</v>
      </c>
      <c r="T34" s="711" t="s">
        <v>17</v>
      </c>
      <c r="U34" s="712" t="e">
        <f t="shared" si="13"/>
        <v>#N/A</v>
      </c>
      <c r="V34" s="711" t="s">
        <v>17</v>
      </c>
      <c r="W34" s="712" t="e">
        <f t="shared" si="14"/>
        <v>#N/A</v>
      </c>
      <c r="X34" s="713"/>
      <c r="Y34" s="3565"/>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3"/>
      <c r="Q35" s="1291" t="str">
        <f t="shared" si="11"/>
        <v>建筑结构</v>
      </c>
      <c r="R35" s="708" t="s">
        <v>17</v>
      </c>
      <c r="S35" s="709">
        <f t="shared" si="12"/>
        <v>100</v>
      </c>
      <c r="T35" s="708" t="s">
        <v>17</v>
      </c>
      <c r="U35" s="709">
        <f t="shared" si="13"/>
        <v>100</v>
      </c>
      <c r="V35" s="708" t="s">
        <v>17</v>
      </c>
      <c r="W35" s="709">
        <f t="shared" si="14"/>
        <v>100</v>
      </c>
      <c r="X35" s="1294"/>
      <c r="Y35" s="3565"/>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3"/>
      <c r="Q36" s="1291" t="str">
        <f t="shared" si="11"/>
        <v>公共部分装修</v>
      </c>
      <c r="R36" s="708" t="s">
        <v>17</v>
      </c>
      <c r="S36" s="709">
        <f t="shared" si="12"/>
        <v>100</v>
      </c>
      <c r="T36" s="708" t="s">
        <v>17</v>
      </c>
      <c r="U36" s="709">
        <f t="shared" si="13"/>
        <v>100</v>
      </c>
      <c r="V36" s="708" t="s">
        <v>17</v>
      </c>
      <c r="W36" s="709">
        <f t="shared" si="14"/>
        <v>100</v>
      </c>
      <c r="X36" s="1294"/>
      <c r="Y36" s="3565"/>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3"/>
      <c r="Q37" s="1291" t="str">
        <f t="shared" si="11"/>
        <v>成新度</v>
      </c>
      <c r="R37" s="708" t="s">
        <v>17</v>
      </c>
      <c r="S37" s="709" t="e">
        <f t="shared" si="12"/>
        <v>#N/A</v>
      </c>
      <c r="T37" s="708" t="s">
        <v>17</v>
      </c>
      <c r="U37" s="709" t="e">
        <f t="shared" si="13"/>
        <v>#N/A</v>
      </c>
      <c r="V37" s="708" t="s">
        <v>17</v>
      </c>
      <c r="W37" s="709" t="e">
        <f t="shared" si="14"/>
        <v>#N/A</v>
      </c>
      <c r="X37" s="1294"/>
      <c r="Y37" s="3565"/>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3"/>
      <c r="Q38" s="1284" t="str">
        <f t="shared" si="11"/>
        <v>写字楼等级</v>
      </c>
      <c r="R38" s="704" t="s">
        <v>17</v>
      </c>
      <c r="S38" s="705">
        <f t="shared" si="12"/>
        <v>100</v>
      </c>
      <c r="T38" s="704" t="s">
        <v>17</v>
      </c>
      <c r="U38" s="705">
        <f t="shared" si="13"/>
        <v>100</v>
      </c>
      <c r="V38" s="704" t="s">
        <v>17</v>
      </c>
      <c r="W38" s="705">
        <f t="shared" si="14"/>
        <v>100</v>
      </c>
      <c r="X38" s="706"/>
      <c r="Y38" s="3565"/>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3" t="s">
        <v>1949</v>
      </c>
      <c r="Q39" s="1291" t="str">
        <f t="shared" si="11"/>
        <v>物业管理</v>
      </c>
      <c r="R39" s="708" t="s">
        <v>17</v>
      </c>
      <c r="S39" s="709">
        <f t="shared" si="12"/>
        <v>100</v>
      </c>
      <c r="T39" s="708" t="s">
        <v>17</v>
      </c>
      <c r="U39" s="709">
        <f t="shared" si="13"/>
        <v>100</v>
      </c>
      <c r="V39" s="708" t="s">
        <v>17</v>
      </c>
      <c r="W39" s="709">
        <f t="shared" si="14"/>
        <v>100</v>
      </c>
      <c r="X39" s="1294"/>
      <c r="Y39" s="3565"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3"/>
      <c r="Q40" s="1291" t="str">
        <f t="shared" si="11"/>
        <v>市政基础设施</v>
      </c>
      <c r="R40" s="708" t="s">
        <v>17</v>
      </c>
      <c r="S40" s="709">
        <f t="shared" si="12"/>
        <v>100</v>
      </c>
      <c r="T40" s="708" t="s">
        <v>17</v>
      </c>
      <c r="U40" s="709">
        <f t="shared" si="13"/>
        <v>100</v>
      </c>
      <c r="V40" s="708" t="s">
        <v>17</v>
      </c>
      <c r="W40" s="709">
        <f t="shared" si="14"/>
        <v>100</v>
      </c>
      <c r="X40" s="1294"/>
      <c r="Y40" s="3565"/>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3"/>
      <c r="Q41" s="1291" t="str">
        <f t="shared" si="11"/>
        <v>层高</v>
      </c>
      <c r="R41" s="708" t="s">
        <v>17</v>
      </c>
      <c r="S41" s="709">
        <f t="shared" si="12"/>
        <v>100</v>
      </c>
      <c r="T41" s="708" t="s">
        <v>17</v>
      </c>
      <c r="U41" s="709">
        <f t="shared" si="13"/>
        <v>100</v>
      </c>
      <c r="V41" s="708" t="s">
        <v>17</v>
      </c>
      <c r="W41" s="709">
        <f t="shared" si="14"/>
        <v>100</v>
      </c>
      <c r="X41" s="1294"/>
      <c r="Y41" s="3565"/>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3"/>
      <c r="Q42" s="710" t="str">
        <f t="shared" si="11"/>
        <v>单套建筑面积</v>
      </c>
      <c r="R42" s="711" t="s">
        <v>17</v>
      </c>
      <c r="S42" s="712">
        <f t="shared" si="12"/>
        <v>100</v>
      </c>
      <c r="T42" s="711" t="s">
        <v>17</v>
      </c>
      <c r="U42" s="712">
        <f t="shared" si="13"/>
        <v>100</v>
      </c>
      <c r="V42" s="711" t="s">
        <v>17</v>
      </c>
      <c r="W42" s="712">
        <f t="shared" si="14"/>
        <v>100</v>
      </c>
      <c r="X42" s="713"/>
      <c r="Y42" s="3565"/>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3"/>
      <c r="Q43" s="1291" t="str">
        <f t="shared" si="11"/>
        <v>内部装修</v>
      </c>
      <c r="R43" s="708" t="s">
        <v>17</v>
      </c>
      <c r="S43" s="709">
        <f t="shared" si="12"/>
        <v>100</v>
      </c>
      <c r="T43" s="708" t="s">
        <v>17</v>
      </c>
      <c r="U43" s="709">
        <f t="shared" si="13"/>
        <v>100</v>
      </c>
      <c r="V43" s="708" t="s">
        <v>17</v>
      </c>
      <c r="W43" s="709">
        <f t="shared" si="14"/>
        <v>100</v>
      </c>
      <c r="X43" s="1294"/>
      <c r="Y43" s="3565"/>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3"/>
      <c r="Q44" s="1291" t="str">
        <f t="shared" si="11"/>
        <v>内部装修维护情况</v>
      </c>
      <c r="R44" s="708" t="s">
        <v>17</v>
      </c>
      <c r="S44" s="709">
        <f t="shared" si="12"/>
        <v>100</v>
      </c>
      <c r="T44" s="708" t="s">
        <v>17</v>
      </c>
      <c r="U44" s="709">
        <f t="shared" si="13"/>
        <v>100</v>
      </c>
      <c r="V44" s="708" t="s">
        <v>17</v>
      </c>
      <c r="W44" s="709">
        <f t="shared" si="14"/>
        <v>100</v>
      </c>
      <c r="X44" s="1294"/>
      <c r="Y44" s="3565"/>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3"/>
      <c r="Q45" s="1284">
        <f t="shared" si="11"/>
        <v>111</v>
      </c>
      <c r="R45" s="704" t="s">
        <v>17</v>
      </c>
      <c r="S45" s="705">
        <f t="shared" si="12"/>
        <v>100</v>
      </c>
      <c r="T45" s="704" t="s">
        <v>17</v>
      </c>
      <c r="U45" s="705">
        <f t="shared" si="13"/>
        <v>100</v>
      </c>
      <c r="V45" s="704" t="s">
        <v>17</v>
      </c>
      <c r="W45" s="705">
        <f t="shared" si="14"/>
        <v>100</v>
      </c>
      <c r="X45" s="706"/>
      <c r="Y45" s="3565"/>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3"/>
      <c r="Q46" s="1291">
        <f t="shared" si="11"/>
        <v>111</v>
      </c>
      <c r="R46" s="708" t="s">
        <v>17</v>
      </c>
      <c r="S46" s="709">
        <f t="shared" si="12"/>
        <v>100</v>
      </c>
      <c r="T46" s="708" t="s">
        <v>17</v>
      </c>
      <c r="U46" s="709">
        <f t="shared" si="13"/>
        <v>100</v>
      </c>
      <c r="V46" s="708" t="s">
        <v>17</v>
      </c>
      <c r="W46" s="709">
        <f t="shared" si="14"/>
        <v>100</v>
      </c>
      <c r="X46" s="1294"/>
      <c r="Y46" s="3565"/>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4"/>
      <c r="Q47" s="1291">
        <f t="shared" si="11"/>
        <v>111</v>
      </c>
      <c r="R47" s="708" t="s">
        <v>17</v>
      </c>
      <c r="S47" s="709">
        <f t="shared" si="12"/>
        <v>100</v>
      </c>
      <c r="T47" s="708" t="s">
        <v>17</v>
      </c>
      <c r="U47" s="709">
        <f t="shared" si="13"/>
        <v>100</v>
      </c>
      <c r="V47" s="708" t="s">
        <v>17</v>
      </c>
      <c r="W47" s="709">
        <f t="shared" si="14"/>
        <v>100</v>
      </c>
      <c r="X47" s="1294"/>
      <c r="Y47" s="3566"/>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69" t="str">
        <f>A48</f>
        <v>成交单价（元/平方米）</v>
      </c>
      <c r="Q48" s="3558"/>
      <c r="R48" s="3559">
        <f>E48</f>
        <v>0</v>
      </c>
      <c r="S48" s="3559"/>
      <c r="T48" s="3559">
        <f>G48</f>
        <v>0</v>
      </c>
      <c r="U48" s="3559"/>
      <c r="V48" s="3559">
        <f>I48</f>
        <v>0</v>
      </c>
      <c r="W48" s="3559"/>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69" t="str">
        <f>A49</f>
        <v>比较价值（元/平方米）</v>
      </c>
      <c r="Q49" s="3558"/>
      <c r="R49" s="3559" t="e">
        <f>IF(F1="售价",ROUND(PRODUCT(R48,AA7:AA47),0),ROUND(PRODUCT(R48,AA7:AA47),1))</f>
        <v>#DIV/0!</v>
      </c>
      <c r="S49" s="3559"/>
      <c r="T49" s="3559" t="e">
        <f>IF(F1="售价",ROUND(PRODUCT(T48,AB7:AB47),0),ROUND(PRODUCT(T48,AB7:AB47),1))</f>
        <v>#DIV/0!</v>
      </c>
      <c r="U49" s="3559"/>
      <c r="V49" s="3559" t="e">
        <f>IF(F1="售价",ROUND(PRODUCT(V48,AC7:AC47),0),ROUND(PRODUCT(V48,AC7:AC47),1))</f>
        <v>#DIV/0!</v>
      </c>
      <c r="W49" s="3559"/>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01" t="str">
        <f>A50</f>
        <v>估价对象XX用房的比较价值（楼面单价，元/平方米）</v>
      </c>
      <c r="Q50" s="3602"/>
      <c r="R50" s="3603" t="e">
        <f>IF(F1="售价",ROUND(IF(D49="简单平均",AVERAGE(R49:V49),R49*F49+T49*H49+V49*J49),0),ROUND(IF(D49="简单平均",AVERAGE(R49:V49),R49*F49+T49*H49+V49*J49),1))</f>
        <v>#DIV/0!</v>
      </c>
      <c r="S50" s="3603"/>
      <c r="T50" s="3603"/>
      <c r="U50" s="3603"/>
      <c r="V50" s="3603"/>
      <c r="W50" s="3603"/>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882"/>
      <c r="M4" s="883"/>
      <c r="N4" s="883"/>
      <c r="O4" s="883"/>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882"/>
      <c r="M5" s="883"/>
      <c r="N5" s="883"/>
      <c r="O5" s="883"/>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562" t="s">
        <v>1931</v>
      </c>
      <c r="L6" s="882"/>
      <c r="M6" s="883"/>
      <c r="N6" s="883"/>
      <c r="O6" s="883"/>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44725</v>
      </c>
      <c r="D7" s="366">
        <v>100</v>
      </c>
      <c r="E7" s="367"/>
      <c r="F7" s="368">
        <f>SUMIF(52:52,YEAR(E7)&amp;"-"&amp;MONTH(E7),53:53)</f>
        <v>0</v>
      </c>
      <c r="G7" s="367"/>
      <c r="H7" s="366">
        <f>SUMIF(52:52,YEAR(G7)&amp;"-"&amp;MONTH(G7),53:53)</f>
        <v>0</v>
      </c>
      <c r="I7" s="367"/>
      <c r="J7" s="366">
        <f>SUMIF(52:52,YEAR(I7)&amp;"-"&amp;MONTH(I7),53:53)</f>
        <v>0</v>
      </c>
      <c r="K7" s="563"/>
      <c r="L7" s="884"/>
      <c r="M7" s="885"/>
      <c r="N7" s="885"/>
      <c r="O7" s="885"/>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4" t="s">
        <v>1936</v>
      </c>
      <c r="Q8" s="3595"/>
      <c r="R8" s="704" t="s">
        <v>17</v>
      </c>
      <c r="S8" s="705">
        <f t="shared" si="0"/>
        <v>0</v>
      </c>
      <c r="T8" s="704" t="s">
        <v>17</v>
      </c>
      <c r="U8" s="705">
        <f t="shared" si="1"/>
        <v>0</v>
      </c>
      <c r="V8" s="704" t="s">
        <v>17</v>
      </c>
      <c r="W8" s="705">
        <f t="shared" si="2"/>
        <v>0</v>
      </c>
      <c r="X8" s="706"/>
      <c r="Y8" s="3594" t="s">
        <v>1936</v>
      </c>
      <c r="Z8" s="3595"/>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8"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8"/>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8"/>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8"/>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60" t="s">
        <v>1944</v>
      </c>
      <c r="Q15" s="1291" t="str">
        <f t="shared" si="6"/>
        <v>产业集聚程度</v>
      </c>
      <c r="R15" s="708" t="s">
        <v>17</v>
      </c>
      <c r="S15" s="709">
        <f t="shared" si="0"/>
        <v>100</v>
      </c>
      <c r="T15" s="708" t="s">
        <v>17</v>
      </c>
      <c r="U15" s="709">
        <f t="shared" si="1"/>
        <v>100</v>
      </c>
      <c r="V15" s="708" t="s">
        <v>17</v>
      </c>
      <c r="W15" s="709">
        <f t="shared" si="2"/>
        <v>100</v>
      </c>
      <c r="X15" s="1294"/>
      <c r="Y15" s="3560"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1"/>
      <c r="Q16" s="1291"/>
      <c r="R16" s="708"/>
      <c r="S16" s="709"/>
      <c r="T16" s="708"/>
      <c r="U16" s="709"/>
      <c r="V16" s="708"/>
      <c r="W16" s="709"/>
      <c r="X16" s="1294"/>
      <c r="Y16" s="3561"/>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1"/>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1"/>
      <c r="Q18" s="1291"/>
      <c r="R18" s="708"/>
      <c r="S18" s="709"/>
      <c r="T18" s="708"/>
      <c r="U18" s="709"/>
      <c r="V18" s="708"/>
      <c r="W18" s="709"/>
      <c r="X18" s="1294"/>
      <c r="Y18" s="3561"/>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1"/>
      <c r="Q19" s="1291" t="str">
        <f>B19</f>
        <v>公共配套设施</v>
      </c>
      <c r="R19" s="708" t="s">
        <v>17</v>
      </c>
      <c r="S19" s="709">
        <f>F19</f>
        <v>100</v>
      </c>
      <c r="T19" s="708" t="s">
        <v>17</v>
      </c>
      <c r="U19" s="709">
        <f>H19</f>
        <v>100</v>
      </c>
      <c r="V19" s="708" t="s">
        <v>17</v>
      </c>
      <c r="W19" s="709">
        <f>J19</f>
        <v>100</v>
      </c>
      <c r="X19" s="1294"/>
      <c r="Y19" s="3561"/>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1"/>
      <c r="Q20" s="1291"/>
      <c r="R20" s="708"/>
      <c r="S20" s="709"/>
      <c r="T20" s="708"/>
      <c r="U20" s="709"/>
      <c r="V20" s="708"/>
      <c r="W20" s="709"/>
      <c r="X20" s="1294"/>
      <c r="Y20" s="3561"/>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1"/>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1"/>
      <c r="Q22" s="1291"/>
      <c r="R22" s="708"/>
      <c r="S22" s="709"/>
      <c r="T22" s="708"/>
      <c r="U22" s="709"/>
      <c r="V22" s="708"/>
      <c r="W22" s="709"/>
      <c r="X22" s="1294"/>
      <c r="Y22" s="3561"/>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1"/>
      <c r="Q23" s="1291" t="str">
        <f>B23</f>
        <v>环境质量</v>
      </c>
      <c r="R23" s="708" t="s">
        <v>17</v>
      </c>
      <c r="S23" s="709">
        <f>F23</f>
        <v>100</v>
      </c>
      <c r="T23" s="708" t="s">
        <v>17</v>
      </c>
      <c r="U23" s="709">
        <f>H23</f>
        <v>100</v>
      </c>
      <c r="V23" s="708" t="s">
        <v>17</v>
      </c>
      <c r="W23" s="709">
        <f>J23</f>
        <v>100</v>
      </c>
      <c r="X23" s="1294"/>
      <c r="Y23" s="3561"/>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1"/>
      <c r="Q24" s="1291"/>
      <c r="R24" s="708"/>
      <c r="S24" s="709"/>
      <c r="T24" s="708"/>
      <c r="U24" s="709"/>
      <c r="V24" s="708"/>
      <c r="W24" s="709"/>
      <c r="X24" s="1294"/>
      <c r="Y24" s="3561"/>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1"/>
      <c r="Q25" s="1291">
        <f>B25</f>
        <v>111</v>
      </c>
      <c r="R25" s="708" t="s">
        <v>17</v>
      </c>
      <c r="S25" s="709">
        <f>F25</f>
        <v>100</v>
      </c>
      <c r="T25" s="708" t="s">
        <v>17</v>
      </c>
      <c r="U25" s="709">
        <f>H25</f>
        <v>100</v>
      </c>
      <c r="V25" s="708" t="s">
        <v>17</v>
      </c>
      <c r="W25" s="709">
        <f>J25</f>
        <v>100</v>
      </c>
      <c r="X25" s="1294"/>
      <c r="Y25" s="3561"/>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1"/>
      <c r="Q26" s="1291">
        <f t="shared" ref="Q26:Q40" si="11">B26</f>
        <v>111</v>
      </c>
      <c r="R26" s="708" t="s">
        <v>17</v>
      </c>
      <c r="S26" s="709">
        <f>F26</f>
        <v>100</v>
      </c>
      <c r="T26" s="708" t="s">
        <v>17</v>
      </c>
      <c r="U26" s="709">
        <f>H26</f>
        <v>100</v>
      </c>
      <c r="V26" s="708" t="s">
        <v>17</v>
      </c>
      <c r="W26" s="709">
        <f>J26</f>
        <v>100</v>
      </c>
      <c r="X26" s="1294"/>
      <c r="Y26" s="3561"/>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1"/>
      <c r="Q27" s="1284">
        <f t="shared" si="11"/>
        <v>111</v>
      </c>
      <c r="R27" s="704" t="s">
        <v>17</v>
      </c>
      <c r="S27" s="705">
        <f>F27</f>
        <v>100</v>
      </c>
      <c r="T27" s="704" t="s">
        <v>17</v>
      </c>
      <c r="U27" s="705">
        <f>H27</f>
        <v>100</v>
      </c>
      <c r="V27" s="704" t="s">
        <v>17</v>
      </c>
      <c r="W27" s="705">
        <f>J27</f>
        <v>100</v>
      </c>
      <c r="X27" s="706"/>
      <c r="Y27" s="3561"/>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1"/>
      <c r="Q28" s="1291">
        <f t="shared" si="11"/>
        <v>111</v>
      </c>
      <c r="R28" s="708" t="s">
        <v>17</v>
      </c>
      <c r="S28" s="709">
        <f t="shared" ref="S28:S40" si="12">F28</f>
        <v>100</v>
      </c>
      <c r="T28" s="708" t="s">
        <v>17</v>
      </c>
      <c r="U28" s="709">
        <f t="shared" ref="U28:U40" si="13">H28</f>
        <v>100</v>
      </c>
      <c r="V28" s="708" t="s">
        <v>17</v>
      </c>
      <c r="W28" s="709">
        <f t="shared" ref="W28:W40" si="14">J28</f>
        <v>100</v>
      </c>
      <c r="X28" s="1294"/>
      <c r="Y28" s="3561"/>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6" t="s">
        <v>1949</v>
      </c>
      <c r="Q29" s="1291" t="str">
        <f t="shared" si="11"/>
        <v>建筑类型</v>
      </c>
      <c r="R29" s="708" t="s">
        <v>17</v>
      </c>
      <c r="S29" s="709">
        <f t="shared" si="12"/>
        <v>100</v>
      </c>
      <c r="T29" s="708" t="s">
        <v>17</v>
      </c>
      <c r="U29" s="709">
        <f t="shared" si="13"/>
        <v>100</v>
      </c>
      <c r="V29" s="708" t="s">
        <v>17</v>
      </c>
      <c r="W29" s="709">
        <f t="shared" si="14"/>
        <v>100</v>
      </c>
      <c r="X29" s="1294"/>
      <c r="Y29" s="3565"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5"/>
      <c r="Q30" s="710" t="str">
        <f t="shared" si="11"/>
        <v>项目建筑规模</v>
      </c>
      <c r="R30" s="711" t="s">
        <v>17</v>
      </c>
      <c r="S30" s="712" t="e">
        <f t="shared" si="12"/>
        <v>#N/A</v>
      </c>
      <c r="T30" s="711" t="s">
        <v>17</v>
      </c>
      <c r="U30" s="712" t="e">
        <f t="shared" si="13"/>
        <v>#N/A</v>
      </c>
      <c r="V30" s="711" t="s">
        <v>17</v>
      </c>
      <c r="W30" s="712" t="e">
        <f t="shared" si="14"/>
        <v>#N/A</v>
      </c>
      <c r="X30" s="713"/>
      <c r="Y30" s="3565"/>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5"/>
      <c r="Q31" s="1291" t="str">
        <f t="shared" si="11"/>
        <v>建筑结构</v>
      </c>
      <c r="R31" s="708" t="s">
        <v>17</v>
      </c>
      <c r="S31" s="709">
        <f t="shared" si="12"/>
        <v>100</v>
      </c>
      <c r="T31" s="708" t="s">
        <v>17</v>
      </c>
      <c r="U31" s="709">
        <f t="shared" si="13"/>
        <v>100</v>
      </c>
      <c r="V31" s="708" t="s">
        <v>17</v>
      </c>
      <c r="W31" s="709">
        <f t="shared" si="14"/>
        <v>100</v>
      </c>
      <c r="X31" s="1294"/>
      <c r="Y31" s="3565"/>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5"/>
      <c r="Q32" s="1291" t="str">
        <f t="shared" si="11"/>
        <v>公共部分装修</v>
      </c>
      <c r="R32" s="708" t="s">
        <v>17</v>
      </c>
      <c r="S32" s="709">
        <f t="shared" si="12"/>
        <v>100</v>
      </c>
      <c r="T32" s="708" t="s">
        <v>17</v>
      </c>
      <c r="U32" s="709">
        <f t="shared" si="13"/>
        <v>100</v>
      </c>
      <c r="V32" s="708" t="s">
        <v>17</v>
      </c>
      <c r="W32" s="709">
        <f t="shared" si="14"/>
        <v>100</v>
      </c>
      <c r="X32" s="1294"/>
      <c r="Y32" s="3565"/>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5"/>
      <c r="Q33" s="1291" t="str">
        <f t="shared" si="11"/>
        <v>成新度</v>
      </c>
      <c r="R33" s="708" t="s">
        <v>17</v>
      </c>
      <c r="S33" s="709" t="e">
        <f t="shared" si="12"/>
        <v>#N/A</v>
      </c>
      <c r="T33" s="708" t="s">
        <v>17</v>
      </c>
      <c r="U33" s="709" t="e">
        <f t="shared" si="13"/>
        <v>#N/A</v>
      </c>
      <c r="V33" s="708" t="s">
        <v>17</v>
      </c>
      <c r="W33" s="709" t="e">
        <f t="shared" si="14"/>
        <v>#N/A</v>
      </c>
      <c r="X33" s="1294"/>
      <c r="Y33" s="3565"/>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5"/>
      <c r="Q34" s="1284" t="str">
        <f t="shared" si="11"/>
        <v>物业管理</v>
      </c>
      <c r="R34" s="704" t="s">
        <v>17</v>
      </c>
      <c r="S34" s="705">
        <f t="shared" si="12"/>
        <v>100</v>
      </c>
      <c r="T34" s="704" t="s">
        <v>17</v>
      </c>
      <c r="U34" s="705">
        <f t="shared" si="13"/>
        <v>100</v>
      </c>
      <c r="V34" s="704" t="s">
        <v>17</v>
      </c>
      <c r="W34" s="705">
        <f t="shared" si="14"/>
        <v>100</v>
      </c>
      <c r="X34" s="706"/>
      <c r="Y34" s="3565"/>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5" t="s">
        <v>1949</v>
      </c>
      <c r="Q35" s="1291" t="str">
        <f t="shared" si="11"/>
        <v>市政基础设施</v>
      </c>
      <c r="R35" s="708" t="s">
        <v>17</v>
      </c>
      <c r="S35" s="709">
        <f t="shared" si="12"/>
        <v>100</v>
      </c>
      <c r="T35" s="708" t="s">
        <v>17</v>
      </c>
      <c r="U35" s="709">
        <f t="shared" si="13"/>
        <v>100</v>
      </c>
      <c r="V35" s="708" t="s">
        <v>17</v>
      </c>
      <c r="W35" s="709">
        <f t="shared" si="14"/>
        <v>100</v>
      </c>
      <c r="X35" s="1294"/>
      <c r="Y35" s="3565"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5"/>
      <c r="Q36" s="1291" t="str">
        <f t="shared" si="11"/>
        <v>内部装修</v>
      </c>
      <c r="R36" s="708" t="s">
        <v>17</v>
      </c>
      <c r="S36" s="709">
        <f t="shared" si="12"/>
        <v>100</v>
      </c>
      <c r="T36" s="708" t="s">
        <v>17</v>
      </c>
      <c r="U36" s="709">
        <f t="shared" si="13"/>
        <v>100</v>
      </c>
      <c r="V36" s="708" t="s">
        <v>17</v>
      </c>
      <c r="W36" s="709">
        <f t="shared" si="14"/>
        <v>100</v>
      </c>
      <c r="X36" s="1294"/>
      <c r="Y36" s="3565"/>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5"/>
      <c r="Q37" s="1291" t="str">
        <f t="shared" si="11"/>
        <v>内部装修状况</v>
      </c>
      <c r="R37" s="708" t="s">
        <v>17</v>
      </c>
      <c r="S37" s="709">
        <f t="shared" si="12"/>
        <v>100</v>
      </c>
      <c r="T37" s="708" t="s">
        <v>17</v>
      </c>
      <c r="U37" s="709">
        <f t="shared" si="13"/>
        <v>100</v>
      </c>
      <c r="V37" s="708" t="s">
        <v>17</v>
      </c>
      <c r="W37" s="709">
        <f t="shared" si="14"/>
        <v>100</v>
      </c>
      <c r="X37" s="1294"/>
      <c r="Y37" s="3565"/>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5"/>
      <c r="Q38" s="710">
        <f t="shared" si="11"/>
        <v>111</v>
      </c>
      <c r="R38" s="711" t="s">
        <v>17</v>
      </c>
      <c r="S38" s="712">
        <f t="shared" si="12"/>
        <v>100</v>
      </c>
      <c r="T38" s="711" t="s">
        <v>17</v>
      </c>
      <c r="U38" s="712">
        <f t="shared" si="13"/>
        <v>100</v>
      </c>
      <c r="V38" s="711" t="s">
        <v>17</v>
      </c>
      <c r="W38" s="712">
        <f t="shared" si="14"/>
        <v>100</v>
      </c>
      <c r="X38" s="713"/>
      <c r="Y38" s="3565"/>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5"/>
      <c r="Q39" s="1291">
        <f t="shared" si="11"/>
        <v>111</v>
      </c>
      <c r="R39" s="708" t="s">
        <v>17</v>
      </c>
      <c r="S39" s="709">
        <f t="shared" si="12"/>
        <v>100</v>
      </c>
      <c r="T39" s="708" t="s">
        <v>17</v>
      </c>
      <c r="U39" s="709">
        <f t="shared" si="13"/>
        <v>100</v>
      </c>
      <c r="V39" s="708" t="s">
        <v>17</v>
      </c>
      <c r="W39" s="709">
        <f t="shared" si="14"/>
        <v>100</v>
      </c>
      <c r="X39" s="1294"/>
      <c r="Y39" s="3565"/>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6"/>
      <c r="Q40" s="1291">
        <f t="shared" si="11"/>
        <v>111</v>
      </c>
      <c r="R40" s="708" t="s">
        <v>17</v>
      </c>
      <c r="S40" s="709">
        <f t="shared" si="12"/>
        <v>100</v>
      </c>
      <c r="T40" s="708" t="s">
        <v>17</v>
      </c>
      <c r="U40" s="709">
        <f t="shared" si="13"/>
        <v>100</v>
      </c>
      <c r="V40" s="708" t="s">
        <v>17</v>
      </c>
      <c r="W40" s="709">
        <f t="shared" si="14"/>
        <v>100</v>
      </c>
      <c r="X40" s="1294"/>
      <c r="Y40" s="3566"/>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8" t="str">
        <f>A41</f>
        <v>成交单价（元/平方米）</v>
      </c>
      <c r="Q41" s="3558"/>
      <c r="R41" s="3559">
        <f>E41</f>
        <v>0</v>
      </c>
      <c r="S41" s="3559"/>
      <c r="T41" s="3559">
        <f>G41</f>
        <v>0</v>
      </c>
      <c r="U41" s="3559"/>
      <c r="V41" s="3559">
        <f>I41</f>
        <v>0</v>
      </c>
      <c r="W41" s="3559"/>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8" t="str">
        <f>A42</f>
        <v>比较价值（元/平方米）</v>
      </c>
      <c r="Q42" s="3558"/>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5" t="str">
        <f>A43</f>
        <v>估价对象XX用房的比较价值（楼面单价，元/平方米）</v>
      </c>
      <c r="Q43" s="3556"/>
      <c r="R43" s="3557" t="e">
        <f>IF(F1="售价",ROUND(IF(D42="简单平均",AVERAGE(R42:V42),R42*F42+T42*H42+V42*J42),0),ROUND(IF(D42="简单平均",AVERAGE(R42:V42),R42*F42+T42*H42+V42*J42),1))</f>
        <v>#DIV/0!</v>
      </c>
      <c r="S43" s="3557"/>
      <c r="T43" s="3557"/>
      <c r="U43" s="3557"/>
      <c r="V43" s="3557"/>
      <c r="W43" s="3557"/>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2022年6月13日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562" t="s">
        <v>1931</v>
      </c>
      <c r="L6" s="2395"/>
      <c r="M6" s="2396"/>
      <c r="N6" s="2396"/>
      <c r="O6" s="2396"/>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44725</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4" t="s">
        <v>1933</v>
      </c>
      <c r="Q7" s="3596"/>
      <c r="R7" s="704" t="s">
        <v>17</v>
      </c>
      <c r="S7" s="705">
        <f t="shared" ref="S7:S14" si="0">F7</f>
        <v>0</v>
      </c>
      <c r="T7" s="704" t="s">
        <v>17</v>
      </c>
      <c r="U7" s="705">
        <f t="shared" ref="U7:U14" si="1">H7</f>
        <v>0</v>
      </c>
      <c r="V7" s="704" t="s">
        <v>17</v>
      </c>
      <c r="W7" s="705">
        <f t="shared" ref="W7:W14" si="2">J7</f>
        <v>0</v>
      </c>
      <c r="X7" s="706"/>
      <c r="Y7" s="3594" t="s">
        <v>1933</v>
      </c>
      <c r="Z7" s="3595"/>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8" t="s">
        <v>1939</v>
      </c>
      <c r="Q9" s="1284" t="str">
        <f t="shared" ref="Q9:Q14" si="6">B9</f>
        <v>用途</v>
      </c>
      <c r="R9" s="704" t="s">
        <v>17</v>
      </c>
      <c r="S9" s="705">
        <f t="shared" si="0"/>
        <v>100</v>
      </c>
      <c r="T9" s="704" t="s">
        <v>17</v>
      </c>
      <c r="U9" s="705">
        <f t="shared" si="1"/>
        <v>100</v>
      </c>
      <c r="V9" s="704" t="s">
        <v>17</v>
      </c>
      <c r="W9" s="705">
        <f t="shared" si="2"/>
        <v>100</v>
      </c>
      <c r="X9" s="706"/>
      <c r="Y9" s="3430"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8"/>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8"/>
      <c r="Q11" s="1284">
        <f t="shared" si="6"/>
        <v>111</v>
      </c>
      <c r="R11" s="704" t="s">
        <v>17</v>
      </c>
      <c r="S11" s="705">
        <f t="shared" si="0"/>
        <v>100</v>
      </c>
      <c r="T11" s="704" t="s">
        <v>17</v>
      </c>
      <c r="U11" s="705">
        <f t="shared" si="1"/>
        <v>100</v>
      </c>
      <c r="V11" s="704" t="s">
        <v>17</v>
      </c>
      <c r="W11" s="705">
        <f t="shared" si="2"/>
        <v>100</v>
      </c>
      <c r="X11" s="706"/>
      <c r="Y11" s="3430"/>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60" t="s">
        <v>1944</v>
      </c>
      <c r="Q14" s="1291" t="str">
        <f t="shared" si="6"/>
        <v>交通便捷度</v>
      </c>
      <c r="R14" s="708" t="s">
        <v>17</v>
      </c>
      <c r="S14" s="709">
        <f t="shared" si="0"/>
        <v>100</v>
      </c>
      <c r="T14" s="708" t="s">
        <v>17</v>
      </c>
      <c r="U14" s="709">
        <f t="shared" si="1"/>
        <v>100</v>
      </c>
      <c r="V14" s="708" t="s">
        <v>17</v>
      </c>
      <c r="W14" s="709">
        <f t="shared" si="2"/>
        <v>100</v>
      </c>
      <c r="X14" s="1294"/>
      <c r="Y14" s="3560"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61"/>
      <c r="Q15" s="1291"/>
      <c r="R15" s="708"/>
      <c r="S15" s="709"/>
      <c r="T15" s="708"/>
      <c r="U15" s="709"/>
      <c r="V15" s="708"/>
      <c r="W15" s="709"/>
      <c r="X15" s="1294"/>
      <c r="Y15" s="3561"/>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61"/>
      <c r="Q16" s="1291" t="str">
        <f>B16</f>
        <v>公共配套设施</v>
      </c>
      <c r="R16" s="708" t="s">
        <v>17</v>
      </c>
      <c r="S16" s="709">
        <f>F16</f>
        <v>100</v>
      </c>
      <c r="T16" s="708" t="s">
        <v>17</v>
      </c>
      <c r="U16" s="709">
        <f>H16</f>
        <v>100</v>
      </c>
      <c r="V16" s="708" t="s">
        <v>17</v>
      </c>
      <c r="W16" s="709">
        <f>J16</f>
        <v>100</v>
      </c>
      <c r="X16" s="1294"/>
      <c r="Y16" s="3561"/>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61"/>
      <c r="Q17" s="1291"/>
      <c r="R17" s="708"/>
      <c r="S17" s="709"/>
      <c r="T17" s="708"/>
      <c r="U17" s="709"/>
      <c r="V17" s="708"/>
      <c r="W17" s="709"/>
      <c r="X17" s="1294"/>
      <c r="Y17" s="3561"/>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61"/>
      <c r="Q18" s="1291" t="str">
        <f>B18</f>
        <v>基础设施水平</v>
      </c>
      <c r="R18" s="708" t="s">
        <v>17</v>
      </c>
      <c r="S18" s="709">
        <f>F18</f>
        <v>100</v>
      </c>
      <c r="T18" s="708" t="s">
        <v>17</v>
      </c>
      <c r="U18" s="709">
        <f>H18</f>
        <v>100</v>
      </c>
      <c r="V18" s="708" t="s">
        <v>17</v>
      </c>
      <c r="W18" s="709">
        <f>J18</f>
        <v>100</v>
      </c>
      <c r="X18" s="1294"/>
      <c r="Y18" s="3561"/>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61"/>
      <c r="Q19" s="1291"/>
      <c r="R19" s="708"/>
      <c r="S19" s="709"/>
      <c r="T19" s="708"/>
      <c r="U19" s="709"/>
      <c r="V19" s="708"/>
      <c r="W19" s="709"/>
      <c r="X19" s="1294"/>
      <c r="Y19" s="3561"/>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61"/>
      <c r="Q20" s="1291" t="str">
        <f>B20</f>
        <v>自然及人文环境</v>
      </c>
      <c r="R20" s="708" t="s">
        <v>17</v>
      </c>
      <c r="S20" s="709">
        <f>F20</f>
        <v>100</v>
      </c>
      <c r="T20" s="708" t="s">
        <v>17</v>
      </c>
      <c r="U20" s="709">
        <f>H20</f>
        <v>100</v>
      </c>
      <c r="V20" s="708" t="s">
        <v>17</v>
      </c>
      <c r="W20" s="709">
        <f>J20</f>
        <v>100</v>
      </c>
      <c r="X20" s="1294"/>
      <c r="Y20" s="3561"/>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61"/>
      <c r="Q21" s="1291"/>
      <c r="R21" s="708"/>
      <c r="S21" s="709"/>
      <c r="T21" s="708"/>
      <c r="U21" s="709"/>
      <c r="V21" s="708"/>
      <c r="W21" s="709"/>
      <c r="X21" s="1294"/>
      <c r="Y21" s="3561"/>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61"/>
      <c r="Q22" s="1291" t="str">
        <f>B22</f>
        <v>楼层</v>
      </c>
      <c r="R22" s="708" t="s">
        <v>17</v>
      </c>
      <c r="S22" s="709">
        <f>F22</f>
        <v>100</v>
      </c>
      <c r="T22" s="708" t="s">
        <v>17</v>
      </c>
      <c r="U22" s="709">
        <f>H22</f>
        <v>100</v>
      </c>
      <c r="V22" s="708" t="s">
        <v>17</v>
      </c>
      <c r="W22" s="709">
        <f>J22</f>
        <v>100</v>
      </c>
      <c r="X22" s="1294"/>
      <c r="Y22" s="3561"/>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61"/>
      <c r="Q23" s="1291">
        <f>B23</f>
        <v>111</v>
      </c>
      <c r="R23" s="708" t="s">
        <v>17</v>
      </c>
      <c r="S23" s="709">
        <f>F23</f>
        <v>100</v>
      </c>
      <c r="T23" s="708" t="s">
        <v>17</v>
      </c>
      <c r="U23" s="709">
        <f>H23</f>
        <v>100</v>
      </c>
      <c r="V23" s="708" t="s">
        <v>17</v>
      </c>
      <c r="W23" s="709">
        <f>J23</f>
        <v>100</v>
      </c>
      <c r="X23" s="1294"/>
      <c r="Y23" s="3561"/>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61"/>
      <c r="Q24" s="1291">
        <f t="shared" ref="Q24:Q36" si="11">B24</f>
        <v>111</v>
      </c>
      <c r="R24" s="708" t="s">
        <v>17</v>
      </c>
      <c r="S24" s="709">
        <f>F24</f>
        <v>100</v>
      </c>
      <c r="T24" s="708" t="s">
        <v>17</v>
      </c>
      <c r="U24" s="709">
        <f>H24</f>
        <v>100</v>
      </c>
      <c r="V24" s="708" t="s">
        <v>17</v>
      </c>
      <c r="W24" s="709">
        <f>J24</f>
        <v>100</v>
      </c>
      <c r="X24" s="1294"/>
      <c r="Y24" s="3561"/>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61"/>
      <c r="Q25" s="1284">
        <f t="shared" si="11"/>
        <v>111</v>
      </c>
      <c r="R25" s="704" t="s">
        <v>17</v>
      </c>
      <c r="S25" s="705">
        <f>F25</f>
        <v>100</v>
      </c>
      <c r="T25" s="704" t="s">
        <v>17</v>
      </c>
      <c r="U25" s="705">
        <f>H25</f>
        <v>100</v>
      </c>
      <c r="V25" s="704" t="s">
        <v>17</v>
      </c>
      <c r="W25" s="705">
        <f>J25</f>
        <v>100</v>
      </c>
      <c r="X25" s="706"/>
      <c r="Y25" s="3561"/>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6"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5"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5"/>
      <c r="Q27" s="710" t="str">
        <f t="shared" si="11"/>
        <v>项目停车位配比</v>
      </c>
      <c r="R27" s="711" t="s">
        <v>17</v>
      </c>
      <c r="S27" s="712">
        <f t="shared" si="12"/>
        <v>100</v>
      </c>
      <c r="T27" s="711" t="s">
        <v>17</v>
      </c>
      <c r="U27" s="712">
        <f t="shared" si="13"/>
        <v>100</v>
      </c>
      <c r="V27" s="711" t="s">
        <v>17</v>
      </c>
      <c r="W27" s="712">
        <f t="shared" si="14"/>
        <v>100</v>
      </c>
      <c r="X27" s="713"/>
      <c r="Y27" s="3565"/>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5"/>
      <c r="Q28" s="1291" t="str">
        <f t="shared" si="11"/>
        <v>公共部分装修</v>
      </c>
      <c r="R28" s="708" t="s">
        <v>17</v>
      </c>
      <c r="S28" s="709">
        <f t="shared" si="12"/>
        <v>100</v>
      </c>
      <c r="T28" s="708" t="s">
        <v>17</v>
      </c>
      <c r="U28" s="709">
        <f t="shared" si="13"/>
        <v>100</v>
      </c>
      <c r="V28" s="708" t="s">
        <v>17</v>
      </c>
      <c r="W28" s="709">
        <f t="shared" si="14"/>
        <v>100</v>
      </c>
      <c r="X28" s="1294"/>
      <c r="Y28" s="3565"/>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5"/>
      <c r="Q29" s="1291" t="str">
        <f t="shared" si="11"/>
        <v>成新率</v>
      </c>
      <c r="R29" s="708" t="s">
        <v>17</v>
      </c>
      <c r="S29" s="709" t="e">
        <f t="shared" si="12"/>
        <v>#N/A</v>
      </c>
      <c r="T29" s="708" t="s">
        <v>17</v>
      </c>
      <c r="U29" s="709" t="e">
        <f t="shared" si="13"/>
        <v>#N/A</v>
      </c>
      <c r="V29" s="708" t="s">
        <v>17</v>
      </c>
      <c r="W29" s="709" t="e">
        <f t="shared" si="14"/>
        <v>#N/A</v>
      </c>
      <c r="X29" s="1294"/>
      <c r="Y29" s="3565"/>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5"/>
      <c r="Q30" s="1291" t="str">
        <f t="shared" si="11"/>
        <v>物业等级</v>
      </c>
      <c r="R30" s="708" t="s">
        <v>17</v>
      </c>
      <c r="S30" s="709">
        <f t="shared" si="12"/>
        <v>100</v>
      </c>
      <c r="T30" s="708" t="s">
        <v>17</v>
      </c>
      <c r="U30" s="709">
        <f t="shared" si="13"/>
        <v>100</v>
      </c>
      <c r="V30" s="708" t="s">
        <v>17</v>
      </c>
      <c r="W30" s="709">
        <f t="shared" si="14"/>
        <v>100</v>
      </c>
      <c r="X30" s="1294"/>
      <c r="Y30" s="3565"/>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5"/>
      <c r="Q31" s="1284" t="str">
        <f t="shared" si="11"/>
        <v>停车位面积</v>
      </c>
      <c r="R31" s="704" t="s">
        <v>17</v>
      </c>
      <c r="S31" s="705" t="e">
        <f t="shared" si="12"/>
        <v>#N/A</v>
      </c>
      <c r="T31" s="704" t="s">
        <v>17</v>
      </c>
      <c r="U31" s="705" t="e">
        <f t="shared" si="13"/>
        <v>#N/A</v>
      </c>
      <c r="V31" s="704" t="s">
        <v>17</v>
      </c>
      <c r="W31" s="705" t="e">
        <f t="shared" si="14"/>
        <v>#N/A</v>
      </c>
      <c r="X31" s="706"/>
      <c r="Y31" s="3565"/>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5" t="s">
        <v>1949</v>
      </c>
      <c r="Q32" s="1291" t="str">
        <f t="shared" si="11"/>
        <v>车位类型</v>
      </c>
      <c r="R32" s="708" t="s">
        <v>17</v>
      </c>
      <c r="S32" s="709">
        <f t="shared" si="12"/>
        <v>100</v>
      </c>
      <c r="T32" s="708" t="s">
        <v>17</v>
      </c>
      <c r="U32" s="709">
        <f t="shared" si="13"/>
        <v>100</v>
      </c>
      <c r="V32" s="708" t="s">
        <v>17</v>
      </c>
      <c r="W32" s="709">
        <f t="shared" si="14"/>
        <v>100</v>
      </c>
      <c r="X32" s="1294"/>
      <c r="Y32" s="3565"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5"/>
      <c r="Q33" s="1291" t="str">
        <f t="shared" si="11"/>
        <v>是否直接入户</v>
      </c>
      <c r="R33" s="708" t="s">
        <v>17</v>
      </c>
      <c r="S33" s="709">
        <f t="shared" si="12"/>
        <v>100</v>
      </c>
      <c r="T33" s="708" t="s">
        <v>17</v>
      </c>
      <c r="U33" s="709">
        <f t="shared" si="13"/>
        <v>100</v>
      </c>
      <c r="V33" s="708" t="s">
        <v>17</v>
      </c>
      <c r="W33" s="709">
        <f t="shared" si="14"/>
        <v>100</v>
      </c>
      <c r="X33" s="1294"/>
      <c r="Y33" s="3565"/>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5"/>
      <c r="Q34" s="1291">
        <f t="shared" si="11"/>
        <v>111</v>
      </c>
      <c r="R34" s="708" t="s">
        <v>17</v>
      </c>
      <c r="S34" s="709">
        <f t="shared" si="12"/>
        <v>100</v>
      </c>
      <c r="T34" s="708" t="s">
        <v>17</v>
      </c>
      <c r="U34" s="709">
        <f t="shared" si="13"/>
        <v>100</v>
      </c>
      <c r="V34" s="708" t="s">
        <v>17</v>
      </c>
      <c r="W34" s="709">
        <f t="shared" si="14"/>
        <v>100</v>
      </c>
      <c r="X34" s="1294"/>
      <c r="Y34" s="3565"/>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5"/>
      <c r="Q35" s="710">
        <f t="shared" si="11"/>
        <v>111</v>
      </c>
      <c r="R35" s="711" t="s">
        <v>17</v>
      </c>
      <c r="S35" s="712">
        <f t="shared" si="12"/>
        <v>100</v>
      </c>
      <c r="T35" s="711" t="s">
        <v>17</v>
      </c>
      <c r="U35" s="712">
        <f t="shared" si="13"/>
        <v>100</v>
      </c>
      <c r="V35" s="711" t="s">
        <v>17</v>
      </c>
      <c r="W35" s="712">
        <f t="shared" si="14"/>
        <v>100</v>
      </c>
      <c r="X35" s="713"/>
      <c r="Y35" s="3565"/>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5"/>
      <c r="Q36" s="1291">
        <f t="shared" si="11"/>
        <v>111</v>
      </c>
      <c r="R36" s="708" t="s">
        <v>17</v>
      </c>
      <c r="S36" s="709">
        <f t="shared" si="12"/>
        <v>100</v>
      </c>
      <c r="T36" s="708" t="s">
        <v>17</v>
      </c>
      <c r="U36" s="709">
        <f t="shared" si="13"/>
        <v>100</v>
      </c>
      <c r="V36" s="708" t="s">
        <v>17</v>
      </c>
      <c r="W36" s="709">
        <f t="shared" si="14"/>
        <v>100</v>
      </c>
      <c r="X36" s="1294"/>
      <c r="Y36" s="3565"/>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58" t="str">
        <f>A37</f>
        <v>成交单价</v>
      </c>
      <c r="Q37" s="3558"/>
      <c r="R37" s="3559">
        <f>E37</f>
        <v>0</v>
      </c>
      <c r="S37" s="3559"/>
      <c r="T37" s="3559">
        <f>G37</f>
        <v>0</v>
      </c>
      <c r="U37" s="3559"/>
      <c r="V37" s="3559">
        <f>I37</f>
        <v>0</v>
      </c>
      <c r="W37" s="3559"/>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8" t="str">
        <f>A38</f>
        <v>比较价值（元/平方米）</v>
      </c>
      <c r="Q38" s="3558"/>
      <c r="R38" s="3559" t="e">
        <f>IF(F1="售价",ROUND(PRODUCT(R37,AA7:AA36),0),ROUND(PRODUCT(R37,AA7:AA36),1))</f>
        <v>#DIV/0!</v>
      </c>
      <c r="S38" s="3559"/>
      <c r="T38" s="3559" t="e">
        <f>IF(F1="售价",ROUND(PRODUCT(T37,AB7:AB36),0),ROUND(PRODUCT(T37,AB7:AB36),1))</f>
        <v>#DIV/0!</v>
      </c>
      <c r="U38" s="3559"/>
      <c r="V38" s="3559" t="e">
        <f>IF(F1="售价",ROUND(PRODUCT(V37,AC7:AC36),0),ROUND(PRODUCT(V37,AC7:AC36),1))</f>
        <v>#DIV/0!</v>
      </c>
      <c r="W38" s="3559"/>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55" t="str">
        <f>A39</f>
        <v>估价对象XX用房的比较价值（楼面单价，元/平方米）</v>
      </c>
      <c r="Q39" s="3556"/>
      <c r="R39" s="3617" t="e">
        <f>IF(F1="售价",ROUND(IF(D38="简单平均",AVERAGE(R38:W38),R38*F38+T38*H38+V38*J38),0),ROUND(IF(D38="简单平均",AVERAGE(R38:V38),R38*F38+T38*H38+V38*J38),1))</f>
        <v>#DIV/0!</v>
      </c>
      <c r="S39" s="3617"/>
      <c r="T39" s="3617"/>
      <c r="U39" s="3617"/>
      <c r="V39" s="3617"/>
      <c r="W39" s="3617"/>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562" t="s">
        <v>1931</v>
      </c>
      <c r="L6" s="2395"/>
      <c r="M6" s="2396"/>
      <c r="N6" s="2396"/>
      <c r="O6" s="2396"/>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44725</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4" t="s">
        <v>1933</v>
      </c>
      <c r="Q7" s="3596"/>
      <c r="R7" s="704" t="s">
        <v>17</v>
      </c>
      <c r="S7" s="705">
        <f t="shared" ref="S7:S14" si="0">F7</f>
        <v>0</v>
      </c>
      <c r="T7" s="704" t="s">
        <v>17</v>
      </c>
      <c r="U7" s="705">
        <f t="shared" ref="U7:U14" si="1">H7</f>
        <v>0</v>
      </c>
      <c r="V7" s="704" t="s">
        <v>17</v>
      </c>
      <c r="W7" s="705">
        <f t="shared" ref="W7:W14" si="2">J7</f>
        <v>0</v>
      </c>
      <c r="X7" s="706"/>
      <c r="Y7" s="3594" t="s">
        <v>1933</v>
      </c>
      <c r="Z7" s="3595"/>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8" t="s">
        <v>1939</v>
      </c>
      <c r="Q9" s="1284" t="str">
        <f t="shared" ref="Q9:Q14" si="6">B9</f>
        <v>用途</v>
      </c>
      <c r="R9" s="704" t="s">
        <v>17</v>
      </c>
      <c r="S9" s="705">
        <f t="shared" si="0"/>
        <v>100</v>
      </c>
      <c r="T9" s="704" t="s">
        <v>17</v>
      </c>
      <c r="U9" s="705">
        <f t="shared" si="1"/>
        <v>100</v>
      </c>
      <c r="V9" s="704" t="s">
        <v>17</v>
      </c>
      <c r="W9" s="705">
        <f t="shared" si="2"/>
        <v>100</v>
      </c>
      <c r="X9" s="706"/>
      <c r="Y9" s="3430"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8"/>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8"/>
      <c r="Q11" s="1284">
        <f t="shared" si="6"/>
        <v>111</v>
      </c>
      <c r="R11" s="704" t="s">
        <v>17</v>
      </c>
      <c r="S11" s="705">
        <f t="shared" si="0"/>
        <v>100</v>
      </c>
      <c r="T11" s="704" t="s">
        <v>17</v>
      </c>
      <c r="U11" s="705">
        <f t="shared" si="1"/>
        <v>100</v>
      </c>
      <c r="V11" s="704" t="s">
        <v>17</v>
      </c>
      <c r="W11" s="705">
        <f t="shared" si="2"/>
        <v>100</v>
      </c>
      <c r="X11" s="706"/>
      <c r="Y11" s="3430"/>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60" t="s">
        <v>1944</v>
      </c>
      <c r="Q14" s="1291" t="str">
        <f t="shared" si="6"/>
        <v>交通便捷度</v>
      </c>
      <c r="R14" s="708" t="s">
        <v>17</v>
      </c>
      <c r="S14" s="709">
        <f t="shared" si="0"/>
        <v>100</v>
      </c>
      <c r="T14" s="708" t="s">
        <v>17</v>
      </c>
      <c r="U14" s="709">
        <f t="shared" si="1"/>
        <v>100</v>
      </c>
      <c r="V14" s="708" t="s">
        <v>17</v>
      </c>
      <c r="W14" s="709">
        <f t="shared" si="2"/>
        <v>100</v>
      </c>
      <c r="X14" s="1294"/>
      <c r="Y14" s="3560"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61"/>
      <c r="Q15" s="1291"/>
      <c r="R15" s="708"/>
      <c r="S15" s="709"/>
      <c r="T15" s="708"/>
      <c r="U15" s="709"/>
      <c r="V15" s="708"/>
      <c r="W15" s="709"/>
      <c r="X15" s="1294"/>
      <c r="Y15" s="3561"/>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61"/>
      <c r="Q16" s="1291" t="str">
        <f>B16</f>
        <v>公共配套设施</v>
      </c>
      <c r="R16" s="708" t="s">
        <v>17</v>
      </c>
      <c r="S16" s="709">
        <f>F16</f>
        <v>100</v>
      </c>
      <c r="T16" s="708" t="s">
        <v>17</v>
      </c>
      <c r="U16" s="709">
        <f>H16</f>
        <v>100</v>
      </c>
      <c r="V16" s="708" t="s">
        <v>17</v>
      </c>
      <c r="W16" s="709">
        <f>J16</f>
        <v>100</v>
      </c>
      <c r="X16" s="1294"/>
      <c r="Y16" s="3561"/>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61"/>
      <c r="Q17" s="1291"/>
      <c r="R17" s="708"/>
      <c r="S17" s="709"/>
      <c r="T17" s="708"/>
      <c r="U17" s="709"/>
      <c r="V17" s="708"/>
      <c r="W17" s="709"/>
      <c r="X17" s="1294"/>
      <c r="Y17" s="3561"/>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61"/>
      <c r="Q18" s="1291" t="str">
        <f>B18</f>
        <v>基础设施水平</v>
      </c>
      <c r="R18" s="708" t="s">
        <v>17</v>
      </c>
      <c r="S18" s="709">
        <f>F18</f>
        <v>100</v>
      </c>
      <c r="T18" s="708" t="s">
        <v>17</v>
      </c>
      <c r="U18" s="709">
        <f>H18</f>
        <v>100</v>
      </c>
      <c r="V18" s="708" t="s">
        <v>17</v>
      </c>
      <c r="W18" s="709">
        <f>J18</f>
        <v>100</v>
      </c>
      <c r="X18" s="1294"/>
      <c r="Y18" s="3561"/>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61"/>
      <c r="Q19" s="1291"/>
      <c r="R19" s="708"/>
      <c r="S19" s="709"/>
      <c r="T19" s="708"/>
      <c r="U19" s="709"/>
      <c r="V19" s="708"/>
      <c r="W19" s="709"/>
      <c r="X19" s="1294"/>
      <c r="Y19" s="3561"/>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61"/>
      <c r="Q20" s="1291" t="str">
        <f>B20</f>
        <v>自然及人文环境</v>
      </c>
      <c r="R20" s="708" t="s">
        <v>17</v>
      </c>
      <c r="S20" s="709">
        <f>F20</f>
        <v>100</v>
      </c>
      <c r="T20" s="708" t="s">
        <v>17</v>
      </c>
      <c r="U20" s="709">
        <f>H20</f>
        <v>100</v>
      </c>
      <c r="V20" s="708" t="s">
        <v>17</v>
      </c>
      <c r="W20" s="709">
        <f>J20</f>
        <v>100</v>
      </c>
      <c r="X20" s="1294"/>
      <c r="Y20" s="3561"/>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61"/>
      <c r="Q21" s="1291"/>
      <c r="R21" s="708"/>
      <c r="S21" s="709"/>
      <c r="T21" s="708"/>
      <c r="U21" s="709"/>
      <c r="V21" s="708"/>
      <c r="W21" s="709"/>
      <c r="X21" s="1294"/>
      <c r="Y21" s="3561"/>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61"/>
      <c r="Q22" s="1291" t="str">
        <f>B22</f>
        <v>楼层</v>
      </c>
      <c r="R22" s="708" t="s">
        <v>17</v>
      </c>
      <c r="S22" s="709">
        <f>F22</f>
        <v>100</v>
      </c>
      <c r="T22" s="708" t="s">
        <v>17</v>
      </c>
      <c r="U22" s="709">
        <f>H22</f>
        <v>100</v>
      </c>
      <c r="V22" s="708" t="s">
        <v>17</v>
      </c>
      <c r="W22" s="709">
        <f>J22</f>
        <v>100</v>
      </c>
      <c r="X22" s="1294"/>
      <c r="Y22" s="3561"/>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61"/>
      <c r="Q23" s="1291">
        <f>B23</f>
        <v>111</v>
      </c>
      <c r="R23" s="708" t="s">
        <v>17</v>
      </c>
      <c r="S23" s="709">
        <f>F23</f>
        <v>100</v>
      </c>
      <c r="T23" s="708" t="s">
        <v>17</v>
      </c>
      <c r="U23" s="709">
        <f>H23</f>
        <v>100</v>
      </c>
      <c r="V23" s="708" t="s">
        <v>17</v>
      </c>
      <c r="W23" s="709">
        <f>J23</f>
        <v>100</v>
      </c>
      <c r="X23" s="1294"/>
      <c r="Y23" s="3561"/>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61"/>
      <c r="Q24" s="1291">
        <f t="shared" ref="Q24:Q34" si="11">B24</f>
        <v>111</v>
      </c>
      <c r="R24" s="708" t="s">
        <v>17</v>
      </c>
      <c r="S24" s="709">
        <f>F24</f>
        <v>100</v>
      </c>
      <c r="T24" s="708" t="s">
        <v>17</v>
      </c>
      <c r="U24" s="709">
        <f>H24</f>
        <v>100</v>
      </c>
      <c r="V24" s="708" t="s">
        <v>17</v>
      </c>
      <c r="W24" s="709">
        <f>J24</f>
        <v>100</v>
      </c>
      <c r="X24" s="1294"/>
      <c r="Y24" s="3561"/>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61"/>
      <c r="Q25" s="1284">
        <f t="shared" si="11"/>
        <v>111</v>
      </c>
      <c r="R25" s="704" t="s">
        <v>17</v>
      </c>
      <c r="S25" s="705">
        <f>F25</f>
        <v>100</v>
      </c>
      <c r="T25" s="704" t="s">
        <v>17</v>
      </c>
      <c r="U25" s="705">
        <f>H25</f>
        <v>100</v>
      </c>
      <c r="V25" s="704" t="s">
        <v>17</v>
      </c>
      <c r="W25" s="705">
        <f>J25</f>
        <v>100</v>
      </c>
      <c r="X25" s="706"/>
      <c r="Y25" s="3561"/>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6"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5"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5"/>
      <c r="Q27" s="710" t="str">
        <f t="shared" si="11"/>
        <v>成新率</v>
      </c>
      <c r="R27" s="711" t="s">
        <v>17</v>
      </c>
      <c r="S27" s="712" t="e">
        <f t="shared" si="12"/>
        <v>#N/A</v>
      </c>
      <c r="T27" s="711" t="s">
        <v>17</v>
      </c>
      <c r="U27" s="712" t="e">
        <f t="shared" si="13"/>
        <v>#N/A</v>
      </c>
      <c r="V27" s="711" t="s">
        <v>17</v>
      </c>
      <c r="W27" s="712" t="e">
        <f t="shared" si="14"/>
        <v>#N/A</v>
      </c>
      <c r="X27" s="713"/>
      <c r="Y27" s="3565"/>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5"/>
      <c r="Q28" s="1291" t="str">
        <f t="shared" si="11"/>
        <v>物业等级</v>
      </c>
      <c r="R28" s="708" t="s">
        <v>17</v>
      </c>
      <c r="S28" s="709">
        <f t="shared" si="12"/>
        <v>100</v>
      </c>
      <c r="T28" s="708" t="s">
        <v>17</v>
      </c>
      <c r="U28" s="709">
        <f t="shared" si="13"/>
        <v>100</v>
      </c>
      <c r="V28" s="708" t="s">
        <v>17</v>
      </c>
      <c r="W28" s="709">
        <f t="shared" si="14"/>
        <v>100</v>
      </c>
      <c r="X28" s="1294"/>
      <c r="Y28" s="3565"/>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5"/>
      <c r="Q29" s="1291" t="str">
        <f t="shared" si="11"/>
        <v>有无电梯</v>
      </c>
      <c r="R29" s="708" t="s">
        <v>17</v>
      </c>
      <c r="S29" s="709">
        <f t="shared" si="12"/>
        <v>100</v>
      </c>
      <c r="T29" s="708" t="s">
        <v>17</v>
      </c>
      <c r="U29" s="709">
        <f t="shared" si="13"/>
        <v>100</v>
      </c>
      <c r="V29" s="708" t="s">
        <v>17</v>
      </c>
      <c r="W29" s="709">
        <f t="shared" si="14"/>
        <v>100</v>
      </c>
      <c r="X29" s="1294"/>
      <c r="Y29" s="3565"/>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5"/>
      <c r="Q30" s="1291" t="str">
        <f t="shared" si="11"/>
        <v>建筑面积</v>
      </c>
      <c r="R30" s="708" t="s">
        <v>17</v>
      </c>
      <c r="S30" s="709" t="e">
        <f t="shared" si="12"/>
        <v>#N/A</v>
      </c>
      <c r="T30" s="708" t="s">
        <v>17</v>
      </c>
      <c r="U30" s="709" t="e">
        <f t="shared" si="13"/>
        <v>#N/A</v>
      </c>
      <c r="V30" s="708" t="s">
        <v>17</v>
      </c>
      <c r="W30" s="709" t="e">
        <f t="shared" si="14"/>
        <v>#N/A</v>
      </c>
      <c r="X30" s="1294"/>
      <c r="Y30" s="3565"/>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5"/>
      <c r="Q31" s="1284" t="str">
        <f t="shared" si="11"/>
        <v>是否封闭</v>
      </c>
      <c r="R31" s="704" t="s">
        <v>17</v>
      </c>
      <c r="S31" s="705">
        <f t="shared" si="12"/>
        <v>100</v>
      </c>
      <c r="T31" s="704" t="s">
        <v>17</v>
      </c>
      <c r="U31" s="705">
        <f t="shared" si="13"/>
        <v>100</v>
      </c>
      <c r="V31" s="704" t="s">
        <v>17</v>
      </c>
      <c r="W31" s="705">
        <f t="shared" si="14"/>
        <v>100</v>
      </c>
      <c r="X31" s="706"/>
      <c r="Y31" s="3565"/>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5" t="s">
        <v>1949</v>
      </c>
      <c r="Q32" s="1291">
        <f t="shared" si="11"/>
        <v>111</v>
      </c>
      <c r="R32" s="708" t="s">
        <v>17</v>
      </c>
      <c r="S32" s="709">
        <f t="shared" si="12"/>
        <v>100</v>
      </c>
      <c r="T32" s="708" t="s">
        <v>17</v>
      </c>
      <c r="U32" s="709">
        <f t="shared" si="13"/>
        <v>100</v>
      </c>
      <c r="V32" s="708" t="s">
        <v>17</v>
      </c>
      <c r="W32" s="709">
        <f t="shared" si="14"/>
        <v>100</v>
      </c>
      <c r="X32" s="1294"/>
      <c r="Y32" s="3565"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5"/>
      <c r="Q33" s="1291">
        <f t="shared" si="11"/>
        <v>111</v>
      </c>
      <c r="R33" s="708" t="s">
        <v>17</v>
      </c>
      <c r="S33" s="709">
        <f t="shared" si="12"/>
        <v>100</v>
      </c>
      <c r="T33" s="708" t="s">
        <v>17</v>
      </c>
      <c r="U33" s="709">
        <f t="shared" si="13"/>
        <v>100</v>
      </c>
      <c r="V33" s="708" t="s">
        <v>17</v>
      </c>
      <c r="W33" s="709">
        <f t="shared" si="14"/>
        <v>100</v>
      </c>
      <c r="X33" s="1294"/>
      <c r="Y33" s="3565"/>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5"/>
      <c r="Q34" s="1291">
        <f t="shared" si="11"/>
        <v>111</v>
      </c>
      <c r="R34" s="708" t="s">
        <v>17</v>
      </c>
      <c r="S34" s="709">
        <f t="shared" si="12"/>
        <v>100</v>
      </c>
      <c r="T34" s="708" t="s">
        <v>17</v>
      </c>
      <c r="U34" s="709">
        <f t="shared" si="13"/>
        <v>100</v>
      </c>
      <c r="V34" s="708" t="s">
        <v>17</v>
      </c>
      <c r="W34" s="709">
        <f t="shared" si="14"/>
        <v>100</v>
      </c>
      <c r="X34" s="1294"/>
      <c r="Y34" s="3565"/>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58" t="str">
        <f>A35</f>
        <v>成交单价（元/平方米）</v>
      </c>
      <c r="Q35" s="3558"/>
      <c r="R35" s="3559">
        <f>E35</f>
        <v>0</v>
      </c>
      <c r="S35" s="3559"/>
      <c r="T35" s="3559">
        <f>G35</f>
        <v>0</v>
      </c>
      <c r="U35" s="3559"/>
      <c r="V35" s="3559">
        <f>I35</f>
        <v>0</v>
      </c>
      <c r="W35" s="3559"/>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8" t="str">
        <f>A36</f>
        <v>比较价值（元/平方米）</v>
      </c>
      <c r="Q36" s="3558"/>
      <c r="R36" s="3559" t="e">
        <f>IF(F1="售价",ROUND(PRODUCT(R35,AA7:AA34),0),ROUND(PRODUCT(R35,AA7:AA34),1))</f>
        <v>#DIV/0!</v>
      </c>
      <c r="S36" s="3559"/>
      <c r="T36" s="3559" t="e">
        <f>IF(F1="售价",ROUND(PRODUCT(T35,AB7:AB34),0),ROUND(PRODUCT(T35,AB7:AB34),1))</f>
        <v>#DIV/0!</v>
      </c>
      <c r="U36" s="3559"/>
      <c r="V36" s="3559" t="e">
        <f>IF(F1="售价",ROUND(PRODUCT(V35,AC7:AC34),0),ROUND(PRODUCT(V35,AC7:AC34),1))</f>
        <v>#DIV/0!</v>
      </c>
      <c r="W36" s="3559"/>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55" t="str">
        <f>A37</f>
        <v>估价对象XX用房的比较价值（楼面单价，元/平方米）</v>
      </c>
      <c r="Q37" s="3556"/>
      <c r="R37" s="3617" t="e">
        <f>IF(F1="售价",ROUND(IF(D36="简单平均",AVERAGE(R36:W36),R36*F36+T36*H36+V36*J36),0),ROUND(IF(D36="简单平均",AVERAGE(R36:V36),R36*F36+T36*H36+V36*J36),1))</f>
        <v>#DIV/0!</v>
      </c>
      <c r="S37" s="3617"/>
      <c r="T37" s="3617"/>
      <c r="U37" s="3617"/>
      <c r="V37" s="3617"/>
      <c r="W37" s="3617"/>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30"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71"/>
      <c r="AC5" s="3571"/>
    </row>
    <row r="6" spans="1:30" ht="15.75" thickBot="1">
      <c r="A6" s="361"/>
      <c r="B6" s="362"/>
      <c r="C6" s="3590" t="s">
        <v>1930</v>
      </c>
      <c r="D6" s="3591"/>
      <c r="E6" s="3597" t="s">
        <v>1930</v>
      </c>
      <c r="F6" s="3598"/>
      <c r="G6" s="3590" t="s">
        <v>1930</v>
      </c>
      <c r="H6" s="3591"/>
      <c r="I6" s="3590" t="s">
        <v>1930</v>
      </c>
      <c r="J6" s="3591"/>
      <c r="K6" s="562" t="s">
        <v>1931</v>
      </c>
      <c r="L6" s="2395"/>
      <c r="M6" s="2396"/>
      <c r="N6" s="2396"/>
      <c r="O6" s="2396"/>
      <c r="P6" s="3581"/>
      <c r="Q6" s="3582"/>
      <c r="R6" s="3585"/>
      <c r="S6" s="3586"/>
      <c r="T6" s="3587"/>
      <c r="U6" s="3588"/>
      <c r="V6" s="3589"/>
      <c r="W6" s="3589"/>
      <c r="X6" s="1294"/>
      <c r="Y6" s="3587"/>
      <c r="Z6" s="3588"/>
      <c r="AA6" s="3572"/>
      <c r="AB6" s="3572"/>
      <c r="AC6" s="3572"/>
    </row>
    <row r="7" spans="1:30" s="112" customFormat="1" ht="15.75" thickBot="1">
      <c r="A7" s="363" t="s">
        <v>1932</v>
      </c>
      <c r="B7" s="364"/>
      <c r="C7" s="365">
        <f>'数据-取费表'!B2</f>
        <v>44725</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8"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8"/>
      <c r="Q10" s="1284" t="str">
        <f t="shared" si="6"/>
        <v>土地使用年限（年）</v>
      </c>
      <c r="R10" s="704" t="s">
        <v>17</v>
      </c>
      <c r="S10" s="705" t="e">
        <f t="shared" si="0"/>
        <v>#DIV/0!</v>
      </c>
      <c r="T10" s="704" t="s">
        <v>17</v>
      </c>
      <c r="U10" s="705" t="e">
        <f t="shared" si="1"/>
        <v>#DIV/0!</v>
      </c>
      <c r="V10" s="704" t="s">
        <v>17</v>
      </c>
      <c r="W10" s="705" t="e">
        <f t="shared" si="2"/>
        <v>#DIV/0!</v>
      </c>
      <c r="X10" s="706"/>
      <c r="Y10" s="3430"/>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8"/>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8"/>
      <c r="Q12" s="1284" t="str">
        <f t="shared" si="6"/>
        <v>配建</v>
      </c>
      <c r="R12" s="704" t="s">
        <v>17</v>
      </c>
      <c r="S12" s="705">
        <f t="shared" si="0"/>
        <v>100</v>
      </c>
      <c r="T12" s="704" t="s">
        <v>17</v>
      </c>
      <c r="U12" s="705">
        <f t="shared" si="1"/>
        <v>100</v>
      </c>
      <c r="V12" s="704" t="s">
        <v>17</v>
      </c>
      <c r="W12" s="705">
        <f t="shared" si="2"/>
        <v>100</v>
      </c>
      <c r="X12" s="706"/>
      <c r="Y12" s="3430"/>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8"/>
      <c r="Q14" s="1284">
        <f t="shared" si="6"/>
        <v>111</v>
      </c>
      <c r="R14" s="704" t="s">
        <v>17</v>
      </c>
      <c r="S14" s="705">
        <f t="shared" si="0"/>
        <v>100</v>
      </c>
      <c r="T14" s="704" t="s">
        <v>17</v>
      </c>
      <c r="U14" s="705">
        <f t="shared" si="1"/>
        <v>100</v>
      </c>
      <c r="V14" s="704" t="s">
        <v>17</v>
      </c>
      <c r="W14" s="705">
        <f t="shared" si="2"/>
        <v>100</v>
      </c>
      <c r="X14" s="706"/>
      <c r="Y14" s="3430"/>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60" t="s">
        <v>1944</v>
      </c>
      <c r="Q15" s="1291" t="str">
        <f t="shared" si="6"/>
        <v>居住社区成熟度</v>
      </c>
      <c r="R15" s="708" t="s">
        <v>17</v>
      </c>
      <c r="S15" s="709">
        <f t="shared" si="0"/>
        <v>100</v>
      </c>
      <c r="T15" s="708" t="s">
        <v>17</v>
      </c>
      <c r="U15" s="709">
        <f t="shared" si="1"/>
        <v>100</v>
      </c>
      <c r="V15" s="708" t="s">
        <v>17</v>
      </c>
      <c r="W15" s="709">
        <f t="shared" si="2"/>
        <v>100</v>
      </c>
      <c r="X15" s="1294"/>
      <c r="Y15" s="3560"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61"/>
      <c r="Q16" s="1291"/>
      <c r="R16" s="708"/>
      <c r="S16" s="709"/>
      <c r="T16" s="708"/>
      <c r="U16" s="709"/>
      <c r="V16" s="708"/>
      <c r="W16" s="709"/>
      <c r="X16" s="1294"/>
      <c r="Y16" s="3561"/>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61"/>
      <c r="Q17" s="1291" t="str">
        <f>B17</f>
        <v>商业繁华度</v>
      </c>
      <c r="R17" s="708" t="s">
        <v>17</v>
      </c>
      <c r="S17" s="709">
        <f>F17</f>
        <v>100</v>
      </c>
      <c r="T17" s="708" t="s">
        <v>17</v>
      </c>
      <c r="U17" s="709">
        <f>H17</f>
        <v>100</v>
      </c>
      <c r="V17" s="708" t="s">
        <v>17</v>
      </c>
      <c r="W17" s="709">
        <f>J17</f>
        <v>100</v>
      </c>
      <c r="X17" s="1294"/>
      <c r="Y17" s="3561"/>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61"/>
      <c r="Q18" s="1291"/>
      <c r="R18" s="708"/>
      <c r="S18" s="709"/>
      <c r="T18" s="708"/>
      <c r="U18" s="709"/>
      <c r="V18" s="708"/>
      <c r="W18" s="709"/>
      <c r="X18" s="1294"/>
      <c r="Y18" s="3561"/>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61"/>
      <c r="Q19" s="1291" t="str">
        <f>B19</f>
        <v>办公集聚程度</v>
      </c>
      <c r="R19" s="708" t="s">
        <v>17</v>
      </c>
      <c r="S19" s="709">
        <f>F19</f>
        <v>100</v>
      </c>
      <c r="T19" s="708" t="s">
        <v>17</v>
      </c>
      <c r="U19" s="709">
        <f>H19</f>
        <v>100</v>
      </c>
      <c r="V19" s="708" t="s">
        <v>17</v>
      </c>
      <c r="W19" s="709">
        <f>J19</f>
        <v>100</v>
      </c>
      <c r="X19" s="1294"/>
      <c r="Y19" s="3561"/>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61"/>
      <c r="Q20" s="1291"/>
      <c r="R20" s="708"/>
      <c r="S20" s="709"/>
      <c r="T20" s="708"/>
      <c r="U20" s="709"/>
      <c r="V20" s="708"/>
      <c r="W20" s="709"/>
      <c r="X20" s="1294"/>
      <c r="Y20" s="3561"/>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61"/>
      <c r="Q21" s="1291" t="str">
        <f>B21</f>
        <v>交通便捷度</v>
      </c>
      <c r="R21" s="708" t="s">
        <v>17</v>
      </c>
      <c r="S21" s="709">
        <f>F21</f>
        <v>100</v>
      </c>
      <c r="T21" s="708" t="s">
        <v>17</v>
      </c>
      <c r="U21" s="709">
        <f>H21</f>
        <v>100</v>
      </c>
      <c r="V21" s="708" t="s">
        <v>17</v>
      </c>
      <c r="W21" s="709">
        <f>J21</f>
        <v>100</v>
      </c>
      <c r="X21" s="1294"/>
      <c r="Y21" s="3561"/>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61"/>
      <c r="Q22" s="1291"/>
      <c r="R22" s="708"/>
      <c r="S22" s="709"/>
      <c r="T22" s="708"/>
      <c r="U22" s="709"/>
      <c r="V22" s="708"/>
      <c r="W22" s="709"/>
      <c r="X22" s="1294"/>
      <c r="Y22" s="3561"/>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61"/>
      <c r="Q23" s="1291" t="str">
        <f t="shared" ref="Q23:Q37" si="8">B23</f>
        <v>区域土地利用方向</v>
      </c>
      <c r="R23" s="708" t="s">
        <v>17</v>
      </c>
      <c r="S23" s="709">
        <f>F23</f>
        <v>100</v>
      </c>
      <c r="T23" s="708" t="s">
        <v>17</v>
      </c>
      <c r="U23" s="709">
        <f>H23</f>
        <v>100</v>
      </c>
      <c r="V23" s="708" t="s">
        <v>17</v>
      </c>
      <c r="W23" s="709">
        <f>J23</f>
        <v>100</v>
      </c>
      <c r="X23" s="1294"/>
      <c r="Y23" s="3561"/>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61"/>
      <c r="Q24" s="1291"/>
      <c r="R24" s="708"/>
      <c r="S24" s="709"/>
      <c r="T24" s="708"/>
      <c r="U24" s="709"/>
      <c r="V24" s="708"/>
      <c r="W24" s="709"/>
      <c r="X24" s="1294"/>
      <c r="Y24" s="3561"/>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61"/>
      <c r="Q25" s="1291" t="str">
        <f t="shared" si="8"/>
        <v>自然及人文环境状况</v>
      </c>
      <c r="R25" s="708" t="s">
        <v>17</v>
      </c>
      <c r="S25" s="709">
        <f>F25</f>
        <v>100</v>
      </c>
      <c r="T25" s="708" t="s">
        <v>17</v>
      </c>
      <c r="U25" s="709">
        <f>H25</f>
        <v>100</v>
      </c>
      <c r="V25" s="708" t="s">
        <v>17</v>
      </c>
      <c r="W25" s="709">
        <f>J25</f>
        <v>100</v>
      </c>
      <c r="X25" s="1294"/>
      <c r="Y25" s="3561"/>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61"/>
      <c r="Q26" s="1291"/>
      <c r="R26" s="708"/>
      <c r="S26" s="709"/>
      <c r="T26" s="708"/>
      <c r="U26" s="709"/>
      <c r="V26" s="708"/>
      <c r="W26" s="709"/>
      <c r="X26" s="1294"/>
      <c r="Y26" s="3561"/>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61"/>
      <c r="Q27" s="1284" t="str">
        <f t="shared" si="8"/>
        <v>公共配套设施</v>
      </c>
      <c r="R27" s="704" t="s">
        <v>17</v>
      </c>
      <c r="S27" s="705">
        <f>F27</f>
        <v>100</v>
      </c>
      <c r="T27" s="704" t="s">
        <v>17</v>
      </c>
      <c r="U27" s="705">
        <f>H27</f>
        <v>100</v>
      </c>
      <c r="V27" s="704" t="s">
        <v>17</v>
      </c>
      <c r="W27" s="705">
        <f>J27</f>
        <v>100</v>
      </c>
      <c r="X27" s="706"/>
      <c r="Y27" s="3561"/>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61"/>
      <c r="Q28" s="1284"/>
      <c r="R28" s="704"/>
      <c r="S28" s="705"/>
      <c r="T28" s="704"/>
      <c r="U28" s="705"/>
      <c r="V28" s="704"/>
      <c r="W28" s="705"/>
      <c r="X28" s="706"/>
      <c r="Y28" s="3561"/>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61"/>
      <c r="Q29" s="1284" t="str">
        <f t="shared" ref="Q29" si="9">B29</f>
        <v>基础设施水平</v>
      </c>
      <c r="R29" s="704" t="s">
        <v>17</v>
      </c>
      <c r="S29" s="705">
        <f>F29</f>
        <v>100</v>
      </c>
      <c r="T29" s="704" t="s">
        <v>17</v>
      </c>
      <c r="U29" s="705">
        <f>H29</f>
        <v>100</v>
      </c>
      <c r="V29" s="704" t="s">
        <v>17</v>
      </c>
      <c r="W29" s="705">
        <f>J29</f>
        <v>100</v>
      </c>
      <c r="X29" s="706"/>
      <c r="Y29" s="3561"/>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61"/>
      <c r="Q30" s="1284"/>
      <c r="R30" s="704"/>
      <c r="S30" s="705"/>
      <c r="T30" s="704"/>
      <c r="U30" s="705"/>
      <c r="V30" s="704"/>
      <c r="W30" s="705"/>
      <c r="X30" s="706"/>
      <c r="Y30" s="3561"/>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61"/>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1"/>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61"/>
      <c r="Q32" s="1291" t="str">
        <f t="shared" si="8"/>
        <v>毗邻道路的类型与等级</v>
      </c>
      <c r="R32" s="708" t="s">
        <v>17</v>
      </c>
      <c r="S32" s="709">
        <f t="shared" si="10"/>
        <v>100</v>
      </c>
      <c r="T32" s="708" t="s">
        <v>17</v>
      </c>
      <c r="U32" s="709">
        <f t="shared" si="11"/>
        <v>100</v>
      </c>
      <c r="V32" s="708" t="s">
        <v>17</v>
      </c>
      <c r="W32" s="709">
        <f t="shared" si="12"/>
        <v>100</v>
      </c>
      <c r="X32" s="1294"/>
      <c r="Y32" s="3561"/>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61"/>
      <c r="Q33" s="1291"/>
      <c r="R33" s="708"/>
      <c r="S33" s="709"/>
      <c r="T33" s="708"/>
      <c r="U33" s="709"/>
      <c r="V33" s="708"/>
      <c r="W33" s="709"/>
      <c r="X33" s="1294"/>
      <c r="Y33" s="3561"/>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61"/>
      <c r="Q34" s="1291" t="str">
        <f t="shared" si="8"/>
        <v>土地级别</v>
      </c>
      <c r="R34" s="708" t="s">
        <v>17</v>
      </c>
      <c r="S34" s="709">
        <f t="shared" si="10"/>
        <v>100</v>
      </c>
      <c r="T34" s="708" t="s">
        <v>17</v>
      </c>
      <c r="U34" s="709">
        <f t="shared" si="11"/>
        <v>100</v>
      </c>
      <c r="V34" s="708" t="s">
        <v>17</v>
      </c>
      <c r="W34" s="709">
        <f t="shared" si="12"/>
        <v>100</v>
      </c>
      <c r="X34" s="1294"/>
      <c r="Y34" s="3561"/>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61"/>
      <c r="Q35" s="1291">
        <f t="shared" si="8"/>
        <v>111</v>
      </c>
      <c r="R35" s="708" t="s">
        <v>17</v>
      </c>
      <c r="S35" s="709">
        <f t="shared" si="10"/>
        <v>100</v>
      </c>
      <c r="T35" s="708" t="s">
        <v>17</v>
      </c>
      <c r="U35" s="709">
        <f t="shared" si="11"/>
        <v>100</v>
      </c>
      <c r="V35" s="708" t="s">
        <v>17</v>
      </c>
      <c r="W35" s="709">
        <f t="shared" si="12"/>
        <v>100</v>
      </c>
      <c r="X35" s="1294"/>
      <c r="Y35" s="3561"/>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6" t="s">
        <v>1949</v>
      </c>
      <c r="Q36" s="1291">
        <f t="shared" si="8"/>
        <v>111</v>
      </c>
      <c r="R36" s="708" t="s">
        <v>17</v>
      </c>
      <c r="S36" s="709">
        <f t="shared" si="10"/>
        <v>100</v>
      </c>
      <c r="T36" s="708" t="s">
        <v>17</v>
      </c>
      <c r="U36" s="709">
        <f t="shared" si="11"/>
        <v>100</v>
      </c>
      <c r="V36" s="708" t="s">
        <v>17</v>
      </c>
      <c r="W36" s="709">
        <f t="shared" si="12"/>
        <v>100</v>
      </c>
      <c r="X36" s="1294"/>
      <c r="Y36" s="3565"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5"/>
      <c r="Q37" s="1291">
        <f t="shared" si="8"/>
        <v>111</v>
      </c>
      <c r="R37" s="711" t="s">
        <v>17</v>
      </c>
      <c r="S37" s="712">
        <f t="shared" si="10"/>
        <v>100</v>
      </c>
      <c r="T37" s="711" t="s">
        <v>17</v>
      </c>
      <c r="U37" s="712">
        <f t="shared" si="11"/>
        <v>100</v>
      </c>
      <c r="V37" s="711" t="s">
        <v>17</v>
      </c>
      <c r="W37" s="712">
        <f t="shared" si="12"/>
        <v>100</v>
      </c>
      <c r="X37" s="713"/>
      <c r="Y37" s="3565"/>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5"/>
      <c r="Q38" s="1291" t="str">
        <f>B38</f>
        <v>宗地面积</v>
      </c>
      <c r="R38" s="708" t="s">
        <v>17</v>
      </c>
      <c r="S38" s="709" t="e">
        <f t="shared" si="10"/>
        <v>#N/A</v>
      </c>
      <c r="T38" s="708" t="s">
        <v>17</v>
      </c>
      <c r="U38" s="709" t="e">
        <f t="shared" si="11"/>
        <v>#N/A</v>
      </c>
      <c r="V38" s="708" t="s">
        <v>17</v>
      </c>
      <c r="W38" s="709" t="e">
        <f t="shared" si="12"/>
        <v>#N/A</v>
      </c>
      <c r="X38" s="1294"/>
      <c r="Y38" s="3565"/>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5"/>
      <c r="Q39" s="1291" t="str">
        <f t="shared" ref="Q39:Q45" si="14">B39</f>
        <v>宗地形状</v>
      </c>
      <c r="R39" s="708" t="s">
        <v>17</v>
      </c>
      <c r="S39" s="709">
        <f t="shared" si="10"/>
        <v>100</v>
      </c>
      <c r="T39" s="708" t="s">
        <v>17</v>
      </c>
      <c r="U39" s="709">
        <f t="shared" si="11"/>
        <v>100</v>
      </c>
      <c r="V39" s="708" t="s">
        <v>17</v>
      </c>
      <c r="W39" s="709">
        <f t="shared" si="12"/>
        <v>100</v>
      </c>
      <c r="X39" s="1294"/>
      <c r="Y39" s="3565"/>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5"/>
      <c r="Q40" s="1291" t="str">
        <f t="shared" si="14"/>
        <v>临街宽度及深度</v>
      </c>
      <c r="R40" s="708" t="s">
        <v>17</v>
      </c>
      <c r="S40" s="709">
        <f t="shared" si="10"/>
        <v>100</v>
      </c>
      <c r="T40" s="708" t="s">
        <v>17</v>
      </c>
      <c r="U40" s="709">
        <f t="shared" si="11"/>
        <v>100</v>
      </c>
      <c r="V40" s="708" t="s">
        <v>17</v>
      </c>
      <c r="W40" s="709">
        <f t="shared" si="12"/>
        <v>100</v>
      </c>
      <c r="X40" s="1294"/>
      <c r="Y40" s="3565"/>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5"/>
      <c r="Q41" s="1291" t="str">
        <f t="shared" si="14"/>
        <v>宗地开发程度</v>
      </c>
      <c r="R41" s="704" t="s">
        <v>17</v>
      </c>
      <c r="S41" s="705">
        <f t="shared" si="10"/>
        <v>100</v>
      </c>
      <c r="T41" s="704" t="s">
        <v>17</v>
      </c>
      <c r="U41" s="705">
        <f t="shared" si="11"/>
        <v>100</v>
      </c>
      <c r="V41" s="704" t="s">
        <v>17</v>
      </c>
      <c r="W41" s="705">
        <f t="shared" si="12"/>
        <v>100</v>
      </c>
      <c r="X41" s="706"/>
      <c r="Y41" s="3565"/>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5" t="s">
        <v>1949</v>
      </c>
      <c r="Q42" s="1291" t="str">
        <f t="shared" si="14"/>
        <v>工程地质条件</v>
      </c>
      <c r="R42" s="708" t="s">
        <v>17</v>
      </c>
      <c r="S42" s="709">
        <f t="shared" si="10"/>
        <v>100</v>
      </c>
      <c r="T42" s="708" t="s">
        <v>17</v>
      </c>
      <c r="U42" s="709">
        <f t="shared" si="11"/>
        <v>100</v>
      </c>
      <c r="V42" s="708" t="s">
        <v>17</v>
      </c>
      <c r="W42" s="709">
        <f t="shared" si="12"/>
        <v>100</v>
      </c>
      <c r="X42" s="1294"/>
      <c r="Y42" s="3565"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5"/>
      <c r="Q43" s="1291">
        <f t="shared" si="14"/>
        <v>111</v>
      </c>
      <c r="R43" s="708" t="s">
        <v>17</v>
      </c>
      <c r="S43" s="709">
        <f t="shared" si="10"/>
        <v>100</v>
      </c>
      <c r="T43" s="708" t="s">
        <v>17</v>
      </c>
      <c r="U43" s="709">
        <f t="shared" si="11"/>
        <v>100</v>
      </c>
      <c r="V43" s="708" t="s">
        <v>17</v>
      </c>
      <c r="W43" s="709">
        <f t="shared" si="12"/>
        <v>100</v>
      </c>
      <c r="X43" s="1294"/>
      <c r="Y43" s="3565"/>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5"/>
      <c r="Q44" s="1291">
        <f t="shared" si="14"/>
        <v>111</v>
      </c>
      <c r="R44" s="708" t="s">
        <v>17</v>
      </c>
      <c r="S44" s="709">
        <f t="shared" si="10"/>
        <v>100</v>
      </c>
      <c r="T44" s="708" t="s">
        <v>17</v>
      </c>
      <c r="U44" s="709">
        <f t="shared" si="11"/>
        <v>100</v>
      </c>
      <c r="V44" s="708" t="s">
        <v>17</v>
      </c>
      <c r="W44" s="709">
        <f t="shared" si="12"/>
        <v>100</v>
      </c>
      <c r="X44" s="1294"/>
      <c r="Y44" s="3565"/>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5"/>
      <c r="Q45" s="1291">
        <f t="shared" si="14"/>
        <v>111</v>
      </c>
      <c r="R45" s="711" t="s">
        <v>17</v>
      </c>
      <c r="S45" s="712">
        <f t="shared" si="10"/>
        <v>100</v>
      </c>
      <c r="T45" s="711" t="s">
        <v>17</v>
      </c>
      <c r="U45" s="712">
        <f t="shared" si="11"/>
        <v>100</v>
      </c>
      <c r="V45" s="711" t="s">
        <v>17</v>
      </c>
      <c r="W45" s="712">
        <f t="shared" si="12"/>
        <v>100</v>
      </c>
      <c r="X45" s="713"/>
      <c r="Y45" s="3565"/>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58" t="str">
        <f>A46</f>
        <v>成交单价</v>
      </c>
      <c r="Q46" s="3558"/>
      <c r="R46" s="3589">
        <f>E46</f>
        <v>0</v>
      </c>
      <c r="S46" s="3589"/>
      <c r="T46" s="3589">
        <f>G46</f>
        <v>0</v>
      </c>
      <c r="U46" s="3589"/>
      <c r="V46" s="3589">
        <f>I46</f>
        <v>0</v>
      </c>
      <c r="W46" s="3589"/>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8" t="str">
        <f>A47</f>
        <v>比较价值（元/平方米）</v>
      </c>
      <c r="Q47" s="3558"/>
      <c r="R47" s="3618" t="e">
        <f>ROUND(PRODUCT(R46,AA7:AA45),0)</f>
        <v>#DIV/0!</v>
      </c>
      <c r="S47" s="3618"/>
      <c r="T47" s="3618" t="e">
        <f>ROUND(PRODUCT(T46,AB7:AB45),0)</f>
        <v>#DIV/0!</v>
      </c>
      <c r="U47" s="3618"/>
      <c r="V47" s="3618" t="e">
        <f>ROUND(PRODUCT(V46,AC7:AC45),0)</f>
        <v>#DIV/0!</v>
      </c>
      <c r="W47" s="3618"/>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55" t="str">
        <f>A48</f>
        <v>估价对象XX用房的比较价值（楼面单价，元/平方米）</v>
      </c>
      <c r="Q48" s="3556"/>
      <c r="R48" s="3619" t="e">
        <f>ROUND(IF(D47="简单平均",AVERAGE(R47:W47),R47*F47+T47*H47+V47*J47),0)</f>
        <v>#DIV/0!</v>
      </c>
      <c r="S48" s="3619"/>
      <c r="T48" s="3619"/>
      <c r="U48" s="3619"/>
      <c r="V48" s="3619"/>
      <c r="W48" s="3619"/>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3" t="s">
        <v>2148</v>
      </c>
      <c r="H55" s="3620"/>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69"/>
      <c r="H56" s="3558"/>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1"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1"/>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1"/>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1"/>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2395"/>
      <c r="M5" s="2396"/>
      <c r="N5" s="2396"/>
      <c r="O5" s="2396"/>
      <c r="P5" s="3579"/>
      <c r="Q5" s="3580"/>
      <c r="R5" s="3585"/>
      <c r="S5" s="3586"/>
      <c r="T5" s="3585"/>
      <c r="U5" s="3586"/>
      <c r="V5" s="3589"/>
      <c r="W5" s="3589"/>
      <c r="X5" s="1294"/>
      <c r="Y5" s="3585"/>
      <c r="Z5" s="3586"/>
      <c r="AA5" s="3571"/>
      <c r="AB5" s="3571"/>
      <c r="AC5" s="3571"/>
    </row>
    <row r="6" spans="1:29" ht="15.75" thickBot="1">
      <c r="A6" s="361"/>
      <c r="B6" s="362"/>
      <c r="C6" s="3622" t="s">
        <v>2181</v>
      </c>
      <c r="D6" s="3623"/>
      <c r="E6" s="3624" t="s">
        <v>2181</v>
      </c>
      <c r="F6" s="3625"/>
      <c r="G6" s="3622" t="s">
        <v>2181</v>
      </c>
      <c r="H6" s="3623"/>
      <c r="I6" s="3622" t="s">
        <v>2181</v>
      </c>
      <c r="J6" s="3623"/>
      <c r="K6" s="562" t="s">
        <v>1931</v>
      </c>
      <c r="L6" s="2395"/>
      <c r="M6" s="2396"/>
      <c r="N6" s="2396"/>
      <c r="O6" s="2396"/>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44725</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4" t="s">
        <v>1936</v>
      </c>
      <c r="Q8" s="3595"/>
      <c r="R8" s="704" t="s">
        <v>17</v>
      </c>
      <c r="S8" s="705">
        <f t="shared" si="0"/>
        <v>0</v>
      </c>
      <c r="T8" s="704" t="s">
        <v>17</v>
      </c>
      <c r="U8" s="705">
        <f t="shared" si="1"/>
        <v>0</v>
      </c>
      <c r="V8" s="704" t="s">
        <v>17</v>
      </c>
      <c r="W8" s="705">
        <f t="shared" si="2"/>
        <v>0</v>
      </c>
      <c r="X8" s="706"/>
      <c r="Y8" s="3594" t="s">
        <v>1936</v>
      </c>
      <c r="Z8" s="3595"/>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8"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8"/>
      <c r="Q10" s="1284" t="str">
        <f t="shared" si="6"/>
        <v>土地使用年限（年）</v>
      </c>
      <c r="R10" s="704" t="s">
        <v>17</v>
      </c>
      <c r="S10" s="705" t="e">
        <f t="shared" si="0"/>
        <v>#DIV/0!</v>
      </c>
      <c r="T10" s="704" t="s">
        <v>17</v>
      </c>
      <c r="U10" s="705" t="e">
        <f t="shared" si="1"/>
        <v>#DIV/0!</v>
      </c>
      <c r="V10" s="704" t="s">
        <v>17</v>
      </c>
      <c r="W10" s="705" t="e">
        <f t="shared" si="2"/>
        <v>#DIV/0!</v>
      </c>
      <c r="X10" s="706"/>
      <c r="Y10" s="3430"/>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8"/>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8"/>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60" t="s">
        <v>1944</v>
      </c>
      <c r="Q15" s="1291" t="str">
        <f t="shared" si="6"/>
        <v>产业集聚程度</v>
      </c>
      <c r="R15" s="708" t="s">
        <v>17</v>
      </c>
      <c r="S15" s="709">
        <f t="shared" si="0"/>
        <v>100</v>
      </c>
      <c r="T15" s="708" t="s">
        <v>17</v>
      </c>
      <c r="U15" s="709">
        <f t="shared" si="1"/>
        <v>100</v>
      </c>
      <c r="V15" s="708" t="s">
        <v>17</v>
      </c>
      <c r="W15" s="709">
        <f t="shared" si="2"/>
        <v>100</v>
      </c>
      <c r="X15" s="1294"/>
      <c r="Y15" s="3560"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61"/>
      <c r="Q16" s="1291"/>
      <c r="R16" s="708"/>
      <c r="S16" s="709"/>
      <c r="T16" s="708"/>
      <c r="U16" s="709"/>
      <c r="V16" s="708"/>
      <c r="W16" s="709"/>
      <c r="X16" s="1294"/>
      <c r="Y16" s="3561"/>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61"/>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61"/>
      <c r="Q18" s="1291"/>
      <c r="R18" s="708"/>
      <c r="S18" s="709"/>
      <c r="T18" s="708"/>
      <c r="U18" s="709"/>
      <c r="V18" s="708"/>
      <c r="W18" s="709"/>
      <c r="X18" s="1294"/>
      <c r="Y18" s="3561"/>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61"/>
      <c r="Q19" s="1291" t="str">
        <f t="shared" ref="Q19:Q33" si="8">B19</f>
        <v>区域土地利用方向</v>
      </c>
      <c r="R19" s="708" t="s">
        <v>17</v>
      </c>
      <c r="S19" s="709">
        <f>F19</f>
        <v>100</v>
      </c>
      <c r="T19" s="708" t="s">
        <v>17</v>
      </c>
      <c r="U19" s="709">
        <f>H19</f>
        <v>100</v>
      </c>
      <c r="V19" s="708" t="s">
        <v>17</v>
      </c>
      <c r="W19" s="709">
        <f>J19</f>
        <v>100</v>
      </c>
      <c r="X19" s="1294"/>
      <c r="Y19" s="3561"/>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61"/>
      <c r="Q20" s="1291"/>
      <c r="R20" s="708"/>
      <c r="S20" s="709"/>
      <c r="T20" s="708"/>
      <c r="U20" s="709"/>
      <c r="V20" s="708"/>
      <c r="W20" s="709"/>
      <c r="X20" s="1294"/>
      <c r="Y20" s="3561"/>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61"/>
      <c r="Q21" s="1291" t="str">
        <f t="shared" si="8"/>
        <v>环境状况</v>
      </c>
      <c r="R21" s="708" t="s">
        <v>17</v>
      </c>
      <c r="S21" s="709">
        <f>F21</f>
        <v>100</v>
      </c>
      <c r="T21" s="708" t="s">
        <v>17</v>
      </c>
      <c r="U21" s="709">
        <f>H21</f>
        <v>100</v>
      </c>
      <c r="V21" s="708" t="s">
        <v>17</v>
      </c>
      <c r="W21" s="709">
        <f>J21</f>
        <v>100</v>
      </c>
      <c r="X21" s="1294"/>
      <c r="Y21" s="3561"/>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61"/>
      <c r="Q22" s="1291"/>
      <c r="R22" s="708"/>
      <c r="S22" s="709"/>
      <c r="T22" s="708"/>
      <c r="U22" s="709"/>
      <c r="V22" s="708"/>
      <c r="W22" s="709"/>
      <c r="X22" s="1294"/>
      <c r="Y22" s="3561"/>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61"/>
      <c r="Q23" s="1284" t="str">
        <f t="shared" si="8"/>
        <v>公共配套设施</v>
      </c>
      <c r="R23" s="704" t="s">
        <v>17</v>
      </c>
      <c r="S23" s="705">
        <f>F23</f>
        <v>100</v>
      </c>
      <c r="T23" s="704" t="s">
        <v>17</v>
      </c>
      <c r="U23" s="705">
        <f>H23</f>
        <v>100</v>
      </c>
      <c r="V23" s="704" t="s">
        <v>17</v>
      </c>
      <c r="W23" s="705">
        <f>J23</f>
        <v>100</v>
      </c>
      <c r="X23" s="706"/>
      <c r="Y23" s="3561"/>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61"/>
      <c r="Q24" s="1284"/>
      <c r="R24" s="704"/>
      <c r="S24" s="705"/>
      <c r="T24" s="704"/>
      <c r="U24" s="705"/>
      <c r="V24" s="704"/>
      <c r="W24" s="705"/>
      <c r="X24" s="706"/>
      <c r="Y24" s="3561"/>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61"/>
      <c r="Q25" s="1284" t="str">
        <f t="shared" ref="Q25" si="9">B25</f>
        <v>基础设施水平</v>
      </c>
      <c r="R25" s="704" t="s">
        <v>17</v>
      </c>
      <c r="S25" s="705">
        <f>F25</f>
        <v>100</v>
      </c>
      <c r="T25" s="704" t="s">
        <v>17</v>
      </c>
      <c r="U25" s="705">
        <f>H25</f>
        <v>100</v>
      </c>
      <c r="V25" s="704" t="s">
        <v>17</v>
      </c>
      <c r="W25" s="705">
        <f>J25</f>
        <v>100</v>
      </c>
      <c r="X25" s="706"/>
      <c r="Y25" s="3561"/>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61"/>
      <c r="Q26" s="1284"/>
      <c r="R26" s="704"/>
      <c r="S26" s="705"/>
      <c r="T26" s="704"/>
      <c r="U26" s="705"/>
      <c r="V26" s="704"/>
      <c r="W26" s="705"/>
      <c r="X26" s="706"/>
      <c r="Y26" s="3561"/>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61"/>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1"/>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61"/>
      <c r="Q28" s="1291" t="str">
        <f t="shared" si="8"/>
        <v>毗邻道路的类型与等级</v>
      </c>
      <c r="R28" s="708" t="s">
        <v>17</v>
      </c>
      <c r="S28" s="709">
        <f t="shared" si="10"/>
        <v>100</v>
      </c>
      <c r="T28" s="708" t="s">
        <v>17</v>
      </c>
      <c r="U28" s="709">
        <f t="shared" si="11"/>
        <v>100</v>
      </c>
      <c r="V28" s="708" t="s">
        <v>17</v>
      </c>
      <c r="W28" s="709">
        <f t="shared" si="12"/>
        <v>100</v>
      </c>
      <c r="X28" s="1294"/>
      <c r="Y28" s="3561"/>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61"/>
      <c r="Q29" s="1291"/>
      <c r="R29" s="708"/>
      <c r="S29" s="709"/>
      <c r="T29" s="708"/>
      <c r="U29" s="709"/>
      <c r="V29" s="708"/>
      <c r="W29" s="709"/>
      <c r="X29" s="1294"/>
      <c r="Y29" s="3561"/>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61"/>
      <c r="Q30" s="1291" t="str">
        <f t="shared" si="8"/>
        <v>土地级别</v>
      </c>
      <c r="R30" s="708" t="s">
        <v>17</v>
      </c>
      <c r="S30" s="709">
        <f t="shared" si="10"/>
        <v>100</v>
      </c>
      <c r="T30" s="708" t="s">
        <v>17</v>
      </c>
      <c r="U30" s="709">
        <f t="shared" si="11"/>
        <v>100</v>
      </c>
      <c r="V30" s="708" t="s">
        <v>17</v>
      </c>
      <c r="W30" s="709">
        <f t="shared" si="12"/>
        <v>100</v>
      </c>
      <c r="X30" s="1294"/>
      <c r="Y30" s="3561"/>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61"/>
      <c r="Q31" s="1291">
        <f t="shared" si="8"/>
        <v>111</v>
      </c>
      <c r="R31" s="708" t="s">
        <v>17</v>
      </c>
      <c r="S31" s="709">
        <f t="shared" si="10"/>
        <v>100</v>
      </c>
      <c r="T31" s="708" t="s">
        <v>17</v>
      </c>
      <c r="U31" s="709">
        <f t="shared" si="11"/>
        <v>100</v>
      </c>
      <c r="V31" s="708" t="s">
        <v>17</v>
      </c>
      <c r="W31" s="709">
        <f t="shared" si="12"/>
        <v>100</v>
      </c>
      <c r="X31" s="1294"/>
      <c r="Y31" s="3561"/>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6" t="s">
        <v>1949</v>
      </c>
      <c r="Q32" s="1291">
        <f t="shared" si="8"/>
        <v>111</v>
      </c>
      <c r="R32" s="708" t="s">
        <v>17</v>
      </c>
      <c r="S32" s="709">
        <f t="shared" si="10"/>
        <v>100</v>
      </c>
      <c r="T32" s="708" t="s">
        <v>17</v>
      </c>
      <c r="U32" s="709">
        <f t="shared" si="11"/>
        <v>100</v>
      </c>
      <c r="V32" s="708" t="s">
        <v>17</v>
      </c>
      <c r="W32" s="709">
        <f t="shared" si="12"/>
        <v>100</v>
      </c>
      <c r="X32" s="1294"/>
      <c r="Y32" s="3565"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5"/>
      <c r="Q33" s="1291">
        <f t="shared" si="8"/>
        <v>111</v>
      </c>
      <c r="R33" s="711" t="s">
        <v>17</v>
      </c>
      <c r="S33" s="712">
        <f t="shared" si="10"/>
        <v>100</v>
      </c>
      <c r="T33" s="711" t="s">
        <v>17</v>
      </c>
      <c r="U33" s="712">
        <f t="shared" si="11"/>
        <v>100</v>
      </c>
      <c r="V33" s="711" t="s">
        <v>17</v>
      </c>
      <c r="W33" s="712">
        <f t="shared" si="12"/>
        <v>100</v>
      </c>
      <c r="X33" s="713"/>
      <c r="Y33" s="3565"/>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5"/>
      <c r="Q34" s="1291" t="str">
        <f>B34</f>
        <v>宗地面积</v>
      </c>
      <c r="R34" s="708" t="s">
        <v>17</v>
      </c>
      <c r="S34" s="709" t="e">
        <f t="shared" si="10"/>
        <v>#N/A</v>
      </c>
      <c r="T34" s="708" t="s">
        <v>17</v>
      </c>
      <c r="U34" s="709" t="e">
        <f t="shared" si="11"/>
        <v>#N/A</v>
      </c>
      <c r="V34" s="708" t="s">
        <v>17</v>
      </c>
      <c r="W34" s="709" t="e">
        <f t="shared" si="12"/>
        <v>#N/A</v>
      </c>
      <c r="X34" s="1294"/>
      <c r="Y34" s="3565"/>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5"/>
      <c r="Q35" s="1291" t="str">
        <f t="shared" ref="Q35:Q40" si="14">B35</f>
        <v>宗地形状</v>
      </c>
      <c r="R35" s="708" t="s">
        <v>17</v>
      </c>
      <c r="S35" s="709">
        <f t="shared" si="10"/>
        <v>100</v>
      </c>
      <c r="T35" s="708" t="s">
        <v>17</v>
      </c>
      <c r="U35" s="709">
        <f t="shared" si="11"/>
        <v>100</v>
      </c>
      <c r="V35" s="708" t="s">
        <v>17</v>
      </c>
      <c r="W35" s="709">
        <f t="shared" si="12"/>
        <v>100</v>
      </c>
      <c r="X35" s="1294"/>
      <c r="Y35" s="3565"/>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5"/>
      <c r="Q36" s="1291" t="str">
        <f t="shared" si="14"/>
        <v>宗地开发程度</v>
      </c>
      <c r="R36" s="704" t="s">
        <v>17</v>
      </c>
      <c r="S36" s="705">
        <f t="shared" si="10"/>
        <v>100</v>
      </c>
      <c r="T36" s="704" t="s">
        <v>17</v>
      </c>
      <c r="U36" s="705">
        <f t="shared" si="11"/>
        <v>100</v>
      </c>
      <c r="V36" s="704" t="s">
        <v>17</v>
      </c>
      <c r="W36" s="705">
        <f t="shared" si="12"/>
        <v>100</v>
      </c>
      <c r="X36" s="706"/>
      <c r="Y36" s="3565"/>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5" t="s">
        <v>1949</v>
      </c>
      <c r="Q37" s="1291" t="str">
        <f t="shared" si="14"/>
        <v>工程地质条件</v>
      </c>
      <c r="R37" s="708" t="s">
        <v>17</v>
      </c>
      <c r="S37" s="709">
        <f t="shared" si="10"/>
        <v>100</v>
      </c>
      <c r="T37" s="708" t="s">
        <v>17</v>
      </c>
      <c r="U37" s="709">
        <f t="shared" si="11"/>
        <v>100</v>
      </c>
      <c r="V37" s="708" t="s">
        <v>17</v>
      </c>
      <c r="W37" s="709">
        <f t="shared" si="12"/>
        <v>100</v>
      </c>
      <c r="X37" s="1294"/>
      <c r="Y37" s="3565"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5"/>
      <c r="Q38" s="1291">
        <f t="shared" si="14"/>
        <v>111</v>
      </c>
      <c r="R38" s="708" t="s">
        <v>17</v>
      </c>
      <c r="S38" s="709">
        <f t="shared" si="10"/>
        <v>100</v>
      </c>
      <c r="T38" s="708" t="s">
        <v>17</v>
      </c>
      <c r="U38" s="709">
        <f t="shared" si="11"/>
        <v>100</v>
      </c>
      <c r="V38" s="708" t="s">
        <v>17</v>
      </c>
      <c r="W38" s="709">
        <f t="shared" si="12"/>
        <v>100</v>
      </c>
      <c r="X38" s="1294"/>
      <c r="Y38" s="3565"/>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5"/>
      <c r="Q39" s="1291">
        <f t="shared" si="14"/>
        <v>111</v>
      </c>
      <c r="R39" s="708" t="s">
        <v>17</v>
      </c>
      <c r="S39" s="709">
        <f t="shared" si="10"/>
        <v>100</v>
      </c>
      <c r="T39" s="708" t="s">
        <v>17</v>
      </c>
      <c r="U39" s="709">
        <f t="shared" si="11"/>
        <v>100</v>
      </c>
      <c r="V39" s="708" t="s">
        <v>17</v>
      </c>
      <c r="W39" s="709">
        <f t="shared" si="12"/>
        <v>100</v>
      </c>
      <c r="X39" s="1294"/>
      <c r="Y39" s="3565"/>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5"/>
      <c r="Q40" s="1291">
        <f t="shared" si="14"/>
        <v>111</v>
      </c>
      <c r="R40" s="711" t="s">
        <v>17</v>
      </c>
      <c r="S40" s="712">
        <f t="shared" si="10"/>
        <v>100</v>
      </c>
      <c r="T40" s="711" t="s">
        <v>17</v>
      </c>
      <c r="U40" s="712">
        <f t="shared" si="11"/>
        <v>100</v>
      </c>
      <c r="V40" s="711" t="s">
        <v>17</v>
      </c>
      <c r="W40" s="712">
        <f t="shared" si="12"/>
        <v>100</v>
      </c>
      <c r="X40" s="713"/>
      <c r="Y40" s="3565"/>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58" t="str">
        <f>A41</f>
        <v>成交单价</v>
      </c>
      <c r="Q41" s="3558"/>
      <c r="R41" s="3589">
        <f>E41</f>
        <v>0</v>
      </c>
      <c r="S41" s="3589"/>
      <c r="T41" s="3589">
        <f>G41</f>
        <v>0</v>
      </c>
      <c r="U41" s="3589"/>
      <c r="V41" s="3589">
        <f>I41</f>
        <v>0</v>
      </c>
      <c r="W41" s="3589"/>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8" t="str">
        <f>A42</f>
        <v>比较价值（元/平方米）</v>
      </c>
      <c r="Q42" s="3558"/>
      <c r="R42" s="3618" t="e">
        <f>ROUND(PRODUCT(R41,AA7:AA40),0)</f>
        <v>#DIV/0!</v>
      </c>
      <c r="S42" s="3618"/>
      <c r="T42" s="3618" t="e">
        <f>ROUND(PRODUCT(T41,AB7:AB40),0)</f>
        <v>#DIV/0!</v>
      </c>
      <c r="U42" s="3618"/>
      <c r="V42" s="3618" t="e">
        <f>ROUND(PRODUCT(V41,AC7:AC40),0)</f>
        <v>#DIV/0!</v>
      </c>
      <c r="W42" s="3618"/>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55" t="str">
        <f>A43</f>
        <v>估价对象XX用房的比较价值（楼面单价，元/平方米）</v>
      </c>
      <c r="Q43" s="3556"/>
      <c r="R43" s="3619" t="e">
        <f>ROUND(IF(D42="简单平均",AVERAGE(R42:W42),R42*F42+T42*H42+V42*J42),0)</f>
        <v>#DIV/0!</v>
      </c>
      <c r="S43" s="3619"/>
      <c r="T43" s="3619"/>
      <c r="U43" s="3619"/>
      <c r="V43" s="3619"/>
      <c r="W43" s="3619"/>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3" t="s">
        <v>2148</v>
      </c>
      <c r="H50" s="3620"/>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69"/>
      <c r="H51" s="3558"/>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1"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1"/>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1"/>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1"/>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0" zoomScale="115" zoomScaleNormal="80" zoomScaleSheetLayoutView="115" workbookViewId="0">
      <selection activeCell="I33" sqref="I33"/>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17477</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1501</v>
      </c>
      <c r="C2" s="3138" t="s">
        <v>2197</v>
      </c>
      <c r="D2" s="2695" t="s">
        <v>2198</v>
      </c>
      <c r="E2" s="3139" t="s">
        <v>6</v>
      </c>
      <c r="F2" s="2695" t="s">
        <v>2199</v>
      </c>
      <c r="G2" s="2695" t="str">
        <f>IF(E2="商业",项目基本情况!B37,IF(E2="办公",项目基本情况!C37,IF(E2="住宅",项目基本情况!D37,IF(E2="工业",项目基本情况!E37,项目基本情况!F37))))</f>
        <v>九级</v>
      </c>
      <c r="H2" s="2695" t="s">
        <v>2200</v>
      </c>
      <c r="I2" s="2695" t="str">
        <f>IF(E2="商业",项目基本情况!B38,IF(E2="办公",项目基本情况!C38,IF(E2="住宅",项目基本情况!D38,IF(E2="工业",项目基本情况!E38,项目基本情况!F38))))</f>
        <v>Ⅸ-顺3</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1.5418000000000001</v>
      </c>
      <c r="T2" s="3133">
        <f t="shared" ref="T2:T16" si="0">ROUND($C$5*$C$22*$C$23*$C$24*S2*$C$28,0)</f>
        <v>1324</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859</v>
      </c>
      <c r="C3" s="3138" t="s">
        <v>2203</v>
      </c>
      <c r="D3" s="2695" t="s">
        <v>2204</v>
      </c>
      <c r="E3" s="3139" t="s">
        <v>2891</v>
      </c>
      <c r="F3" s="1935" t="s">
        <v>3110</v>
      </c>
      <c r="G3" s="3144">
        <v>1</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1.1883999999999999</v>
      </c>
      <c r="T3" s="3133">
        <f t="shared" si="0"/>
        <v>1021</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28"/>
      <c r="B4" s="3629"/>
      <c r="C4" s="3629"/>
      <c r="D4" s="3630"/>
      <c r="E4" s="3630"/>
      <c r="F4" s="3630"/>
      <c r="G4" s="3630"/>
      <c r="H4" s="3630"/>
      <c r="I4" s="3630"/>
      <c r="J4" s="3631"/>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0.96940000000000004</v>
      </c>
      <c r="T4" s="3133">
        <f t="shared" si="0"/>
        <v>833</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930</v>
      </c>
      <c r="D5" s="3147">
        <f>ROUND(C6+C20,0)</f>
        <v>930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0.82299999999999995</v>
      </c>
      <c r="T5" s="3133">
        <f t="shared" si="0"/>
        <v>707</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930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0.74980000000000002</v>
      </c>
      <c r="T6" s="3133">
        <f t="shared" si="0"/>
        <v>644</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t="e">
        <f>IF(C8="不临65条商业街",1,ROUND(1+(1.6*E8+1.2*E9+0.8*E10+0.4*E11)*C9,4))</f>
        <v>#DIV/0!</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九级</v>
      </c>
      <c r="Y7" s="3167" t="s">
        <v>2219</v>
      </c>
      <c r="Z7" s="3168">
        <f>G3</f>
        <v>1</v>
      </c>
      <c r="AA7" s="3134"/>
      <c r="AB7" s="3134"/>
      <c r="AC7" s="3134"/>
      <c r="AD7" s="3135"/>
      <c r="AE7" s="3135"/>
      <c r="AF7" s="3135"/>
      <c r="AG7" s="3135"/>
      <c r="AH7" s="3135"/>
      <c r="AI7" s="3135"/>
      <c r="AJ7" s="3136"/>
    </row>
    <row r="8" spans="1:36" ht="15">
      <c r="A8" s="3169"/>
      <c r="B8" s="174" t="s">
        <v>2220</v>
      </c>
      <c r="C8" s="3170"/>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6" t="s">
        <v>2223</v>
      </c>
      <c r="X8" s="3627"/>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930</v>
      </c>
      <c r="N9" s="2254">
        <f>SUMPRODUCT((因素修正幅度!B277:B326=I2)*(因素修正幅度!C3:G3=E2)*(因素修正幅度!C277:G326))</f>
        <v>0.14899999999999999</v>
      </c>
      <c r="O9" s="1939"/>
      <c r="P9" s="1939"/>
      <c r="Q9" s="1939"/>
      <c r="R9" s="3133">
        <v>8</v>
      </c>
      <c r="S9" s="3143"/>
      <c r="T9" s="3133">
        <f t="shared" si="0"/>
        <v>0</v>
      </c>
      <c r="U9" s="3143"/>
      <c r="V9" s="3133">
        <f t="shared" si="1"/>
        <v>0</v>
      </c>
      <c r="W9" s="3627"/>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7"/>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t="s">
        <v>3122</v>
      </c>
      <c r="D15" s="3198" t="s">
        <v>3122</v>
      </c>
      <c r="E15" s="3198" t="s">
        <v>3122</v>
      </c>
      <c r="F15" s="1520" t="s">
        <v>2740</v>
      </c>
      <c r="G15" s="3199"/>
      <c r="H15" s="3200"/>
      <c r="I15" s="3201"/>
      <c r="J15" s="3202"/>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3">
        <v>1</v>
      </c>
      <c r="D16" s="3203">
        <v>1</v>
      </c>
      <c r="E16" s="3203">
        <v>1</v>
      </c>
      <c r="F16" s="3203">
        <v>1</v>
      </c>
      <c r="G16" s="3203">
        <v>1</v>
      </c>
      <c r="H16" s="3203">
        <v>1</v>
      </c>
      <c r="I16" s="3203">
        <v>1</v>
      </c>
      <c r="J16" s="3204">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5" t="s">
        <v>2844</v>
      </c>
      <c r="B17" s="3126" t="s">
        <v>2847</v>
      </c>
      <c r="C17" s="3206">
        <v>1</v>
      </c>
      <c r="D17" s="3207" t="s">
        <v>3069</v>
      </c>
      <c r="E17" s="3162"/>
      <c r="F17" s="3162"/>
      <c r="G17" s="3208" t="s">
        <v>2845</v>
      </c>
      <c r="H17" s="3209">
        <v>0.8</v>
      </c>
      <c r="I17" s="3208" t="s">
        <v>2846</v>
      </c>
      <c r="J17" s="3210"/>
      <c r="L17" s="1939"/>
      <c r="M17" s="1939"/>
      <c r="N17" s="1939"/>
      <c r="O17" s="1939"/>
      <c r="P17" s="1939"/>
      <c r="Q17" s="1939"/>
      <c r="R17" s="1939"/>
      <c r="S17" s="1939"/>
      <c r="T17" s="1939"/>
      <c r="U17" s="1939"/>
      <c r="V17" s="1939"/>
      <c r="W17" s="1939"/>
      <c r="X17" s="1939"/>
      <c r="Y17" s="1939"/>
      <c r="Z17" s="1939"/>
    </row>
    <row r="18" spans="1:35" s="3156" customFormat="1" ht="14.25">
      <c r="A18" s="3211"/>
      <c r="B18" s="2703"/>
      <c r="C18" s="3212"/>
      <c r="D18" s="3213" t="s">
        <v>3071</v>
      </c>
      <c r="E18" s="2703" t="s">
        <v>3072</v>
      </c>
      <c r="F18" s="2703" t="s">
        <v>3073</v>
      </c>
      <c r="G18" s="3214"/>
      <c r="H18" s="3212"/>
      <c r="I18" s="3214"/>
      <c r="J18" s="3215"/>
      <c r="K18" s="1939"/>
      <c r="L18" s="1939"/>
      <c r="M18" s="1939"/>
      <c r="N18" s="1939"/>
      <c r="O18" s="1939"/>
      <c r="P18" s="1939"/>
      <c r="Q18" s="1939"/>
      <c r="R18" s="1939"/>
      <c r="S18" s="3216"/>
      <c r="T18" s="1939"/>
      <c r="U18" s="1939"/>
      <c r="V18" s="1939"/>
      <c r="W18" s="1939"/>
      <c r="X18" s="1939"/>
      <c r="Y18" s="1939"/>
      <c r="Z18" s="3217"/>
      <c r="AA18" s="3217"/>
      <c r="AB18" s="3217"/>
      <c r="AC18" s="3217"/>
      <c r="AD18" s="3217"/>
      <c r="AE18" s="1939"/>
      <c r="AF18" s="1939"/>
      <c r="AG18" s="2674"/>
      <c r="AH18" s="2674"/>
      <c r="AI18" s="2674"/>
    </row>
    <row r="19" spans="1:35" s="3156" customFormat="1" ht="15" thickBot="1">
      <c r="A19" s="3218"/>
      <c r="B19" s="2704"/>
      <c r="C19" s="3219"/>
      <c r="D19" s="3220"/>
      <c r="E19" s="3221"/>
      <c r="F19" s="3221"/>
      <c r="G19" s="3222"/>
      <c r="H19" s="3219"/>
      <c r="I19" s="3222"/>
      <c r="J19" s="3223"/>
      <c r="K19" s="1939"/>
      <c r="L19" s="1939"/>
      <c r="M19" s="1939"/>
      <c r="N19" s="1939"/>
      <c r="O19" s="1939"/>
      <c r="P19" s="1939"/>
      <c r="Q19" s="1939"/>
      <c r="R19" s="1939"/>
      <c r="S19" s="3224"/>
      <c r="T19" s="1939"/>
      <c r="U19" s="1939"/>
      <c r="V19" s="1939"/>
      <c r="W19" s="1939"/>
      <c r="X19" s="1939"/>
      <c r="Y19" s="1939"/>
      <c r="Z19" s="3217"/>
      <c r="AA19" s="3217"/>
      <c r="AB19" s="3217"/>
      <c r="AC19" s="3217"/>
      <c r="AD19" s="3217"/>
      <c r="AE19" s="3217"/>
      <c r="AF19" s="3224"/>
      <c r="AG19" s="3225"/>
      <c r="AH19" s="2674"/>
    </row>
    <row r="20" spans="1:35" s="3156" customFormat="1" ht="14.25">
      <c r="A20" s="3124" t="s">
        <v>3105</v>
      </c>
      <c r="B20" s="171" t="s">
        <v>2258</v>
      </c>
      <c r="C20" s="171">
        <f>ROUND(IF(F21="与级别开发程度一致",0,(G21-E21)/C21),0)</f>
        <v>0</v>
      </c>
      <c r="D20" s="3632" t="s">
        <v>2262</v>
      </c>
      <c r="E20" s="3633"/>
      <c r="F20" s="3632" t="s">
        <v>2259</v>
      </c>
      <c r="G20" s="3633"/>
      <c r="H20" s="3226" t="s">
        <v>3116</v>
      </c>
      <c r="I20" s="3226" t="s">
        <v>3117</v>
      </c>
      <c r="J20" s="3227" t="s">
        <v>3118</v>
      </c>
      <c r="K20" s="3228" t="s">
        <v>3119</v>
      </c>
      <c r="L20" s="3228" t="s">
        <v>3120</v>
      </c>
      <c r="M20" s="3228" t="s">
        <v>70</v>
      </c>
      <c r="N20" s="3228" t="s">
        <v>70</v>
      </c>
      <c r="O20" s="3229" t="s">
        <v>3121</v>
      </c>
      <c r="P20" s="2674"/>
      <c r="Q20" s="1939"/>
      <c r="R20" s="3224"/>
      <c r="S20" s="3224"/>
      <c r="T20" s="1939"/>
      <c r="U20" s="1939"/>
      <c r="V20" s="1939"/>
      <c r="W20" s="1939"/>
      <c r="X20" s="1939"/>
      <c r="Y20" s="1939"/>
      <c r="Z20" s="3217"/>
      <c r="AA20" s="3217"/>
      <c r="AB20" s="3217"/>
      <c r="AC20" s="3217"/>
      <c r="AD20" s="3217"/>
      <c r="AE20" s="3217"/>
      <c r="AF20" s="3217"/>
    </row>
    <row r="21" spans="1:35" s="3156" customFormat="1" ht="26.25" thickBot="1">
      <c r="A21" s="3125"/>
      <c r="B21" s="2705" t="s">
        <v>2261</v>
      </c>
      <c r="C21" s="3230">
        <f>SUMPRODUCT((修正!A2:A7=E2)*(修正!B1:M1=G2)*(修正!B2:M7))</f>
        <v>1</v>
      </c>
      <c r="D21" s="2259" t="str">
        <f>IF(OR(G2="八级",G2="九级",G2="十级",G2="十一级",G2="十二级"),"五通一平","七通一平")</f>
        <v>五通一平</v>
      </c>
      <c r="E21" s="3231">
        <f>SUMPRODUCT((修正!B1:M1=G2)*(修正!B17:M17))</f>
        <v>185</v>
      </c>
      <c r="F21" s="3232" t="s">
        <v>3111</v>
      </c>
      <c r="G21" s="2717">
        <f>SUM(H21:O21)</f>
        <v>185</v>
      </c>
      <c r="H21" s="3230">
        <f>SUMPRODUCT((七通一平=H20)*(修正!B1:M1=G2)*(修正!B8:M16))</f>
        <v>60</v>
      </c>
      <c r="I21" s="3230">
        <f>SUMPRODUCT((七通一平=I20)*(修正!B1:M1=G2)*(修正!B8:M16))</f>
        <v>50</v>
      </c>
      <c r="J21" s="3233">
        <f>SUMPRODUCT((七通一平=J20)*(修正!B1:M1=G2)*(修正!B8:M16))</f>
        <v>10</v>
      </c>
      <c r="K21" s="3230">
        <f>SUMPRODUCT((七通一平=K20)*(修正!B1:M1=G2)*(修正!B8:M16))</f>
        <v>20</v>
      </c>
      <c r="L21" s="3230">
        <f>SUMPRODUCT((七通一平=L20)*(修正!B1:M1=G2)*(修正!B8:M16))</f>
        <v>35</v>
      </c>
      <c r="M21" s="3230">
        <f>SUMPRODUCT((七通一平=M20)*(修正!B1:M1=G2)*(修正!B8:M16))</f>
        <v>0</v>
      </c>
      <c r="N21" s="3230">
        <f>SUMPRODUCT((七通一平=N20)*(修正!B1:M1=G2)*(修正!B8:M16))</f>
        <v>0</v>
      </c>
      <c r="O21" s="3234">
        <f>SUMPRODUCT((七通一平=O20)*(修正!B1:M1=G2)*(修正!B8:M16))</f>
        <v>10</v>
      </c>
      <c r="P21" s="2674"/>
      <c r="Q21" s="1939"/>
      <c r="R21" s="3224"/>
      <c r="S21" s="3224"/>
      <c r="T21" s="1939"/>
      <c r="U21" s="1939"/>
      <c r="V21" s="1939"/>
      <c r="W21" s="1939"/>
      <c r="X21" s="1939"/>
      <c r="Y21" s="1939"/>
      <c r="Z21" s="3217"/>
      <c r="AA21" s="3217"/>
      <c r="AB21" s="3217"/>
      <c r="AC21" s="3217"/>
      <c r="AD21" s="3217"/>
      <c r="AE21" s="3217"/>
      <c r="AF21" s="3217"/>
    </row>
    <row r="22" spans="1:35" s="3156" customFormat="1" ht="15.75" thickBot="1">
      <c r="A22" s="2706" t="s">
        <v>595</v>
      </c>
      <c r="B22" s="2707" t="s">
        <v>2264</v>
      </c>
      <c r="C22" s="3235">
        <f>SUMIF(修正!C20:C51,E3,修正!E20:E51)</f>
        <v>1</v>
      </c>
      <c r="D22" s="3236"/>
      <c r="E22" s="3237"/>
      <c r="F22" s="3237"/>
      <c r="G22" s="3237"/>
      <c r="H22" s="3237"/>
      <c r="I22" s="3237"/>
      <c r="J22" s="3238"/>
      <c r="K22" s="3217"/>
      <c r="O22" s="3239"/>
      <c r="P22" s="3239"/>
      <c r="Q22" s="3224"/>
      <c r="R22" s="3224"/>
      <c r="S22" s="3224"/>
      <c r="T22" s="1939"/>
      <c r="U22" s="1939"/>
      <c r="V22" s="1939"/>
      <c r="W22" s="1939"/>
      <c r="X22" s="1939"/>
      <c r="Y22" s="1939"/>
      <c r="Z22" s="3217"/>
      <c r="AA22" s="3217"/>
      <c r="AB22" s="3217"/>
      <c r="AC22" s="3217"/>
      <c r="AD22" s="3217"/>
      <c r="AE22" s="3217"/>
      <c r="AF22" s="3217"/>
    </row>
    <row r="23" spans="1:35" ht="29.25" thickBot="1">
      <c r="A23" s="2708" t="s">
        <v>596</v>
      </c>
      <c r="B23" s="2709" t="s">
        <v>2265</v>
      </c>
      <c r="C23" s="3240">
        <f>ROUND(IF(H23="按公示增长率计算",SUMPRODUCT((地价!A3:A13=YEAR(G23)&amp;"-"&amp;ROUNDUP(MONTH(G23)/3,0))*(地价!Y2:AD2=E2)*(地价!Y3:AD13)),IF(H23="地价指数",M24/M23,(1+I23)^O23)),4)</f>
        <v>1.0270999999999999</v>
      </c>
      <c r="D23" s="3241" t="s">
        <v>2266</v>
      </c>
      <c r="E23" s="3242">
        <v>44197</v>
      </c>
      <c r="F23" s="3241" t="s">
        <v>2267</v>
      </c>
      <c r="G23" s="3243">
        <f>项目基本情况!D3</f>
        <v>44725</v>
      </c>
      <c r="H23" s="3244" t="s">
        <v>3101</v>
      </c>
      <c r="I23" s="3245" t="str">
        <f>IF(H23="季度增幅（自定义）",SUMIF(N25:N28,E2,O25:O28),"")</f>
        <v/>
      </c>
      <c r="J23" s="3246"/>
      <c r="K23" s="3217"/>
      <c r="L23" s="3247" t="s">
        <v>2268</v>
      </c>
      <c r="M23" s="3248">
        <f>ROUND(SUMIF(地价!B2:G2,E2,地价!B13:G13),0)</f>
        <v>329</v>
      </c>
      <c r="N23" s="3159" t="s">
        <v>2269</v>
      </c>
      <c r="O23" s="3249">
        <f>ROUNDDOWN(DATEDIF(E23,G23,"M")/3,0)</f>
        <v>5</v>
      </c>
      <c r="P23" s="3216"/>
      <c r="Q23" s="3224"/>
      <c r="R23" s="3224"/>
      <c r="S23" s="3224"/>
      <c r="T23" s="1939"/>
      <c r="U23" s="1939"/>
      <c r="V23" s="1939"/>
      <c r="W23" s="1939"/>
      <c r="X23" s="1939"/>
      <c r="Y23" s="1939"/>
      <c r="Z23" s="3217"/>
      <c r="AA23" s="3217"/>
      <c r="AB23" s="3217"/>
      <c r="AC23" s="3217"/>
      <c r="AD23" s="3217"/>
    </row>
    <row r="24" spans="1:35" s="3156" customFormat="1" ht="24.75" thickBot="1">
      <c r="A24" s="2710" t="s">
        <v>597</v>
      </c>
      <c r="B24" s="2711" t="s">
        <v>2270</v>
      </c>
      <c r="C24" s="3250">
        <f>ROUND(POWER(1+G24,J24-I24)*(POWER(1+G24,I24)-1)/(POWER(1+G24,J24)-1),4)</f>
        <v>0.87580000000000002</v>
      </c>
      <c r="D24" s="3251" t="s">
        <v>2271</v>
      </c>
      <c r="E24" s="3252">
        <f>存贷款利率!E20/100</f>
        <v>4.3499999999999997E-2</v>
      </c>
      <c r="F24" s="3251" t="s">
        <v>2263</v>
      </c>
      <c r="G24" s="3253">
        <f>SUMIF(M30:Q30,E2,M33:Q33)</f>
        <v>0.05</v>
      </c>
      <c r="H24" s="3251" t="s">
        <v>2272</v>
      </c>
      <c r="I24" s="3254">
        <f>'[2]数据-取费表'!$F$6</f>
        <v>32.93</v>
      </c>
      <c r="J24" s="3255">
        <f>IF(E2="住宅",70,IF(E2="商业",40,50))</f>
        <v>50</v>
      </c>
      <c r="K24" s="3217"/>
      <c r="L24" s="3256" t="s">
        <v>2273</v>
      </c>
      <c r="M24" s="3257">
        <f>ROUND(SUMPRODUCT((地价!A4:A13=YEAR(G23)&amp;"-"&amp;ROUNDUP(MONTH(G23)/3,0))*(地价!B2:G2=E2)*(地价!B4:G13)),0)</f>
        <v>338</v>
      </c>
      <c r="N24" s="3258" t="s">
        <v>2274</v>
      </c>
      <c r="O24" s="3259" t="s">
        <v>2275</v>
      </c>
      <c r="P24" s="3260" t="s">
        <v>2276</v>
      </c>
      <c r="R24" s="3224"/>
      <c r="S24" s="3224"/>
      <c r="T24" s="1939"/>
      <c r="U24" s="1939"/>
      <c r="V24" s="1939"/>
      <c r="W24" s="1939"/>
      <c r="X24" s="1939"/>
      <c r="Y24" s="1939"/>
      <c r="Z24" s="3217"/>
      <c r="AA24" s="3217"/>
      <c r="AB24" s="3217"/>
      <c r="AC24" s="3217"/>
      <c r="AD24" s="3217"/>
      <c r="AE24" s="3217"/>
      <c r="AF24" s="3217"/>
    </row>
    <row r="25" spans="1:35" ht="15">
      <c r="A25" s="2719" t="s">
        <v>598</v>
      </c>
      <c r="B25" s="2693" t="s">
        <v>3115</v>
      </c>
      <c r="C25" s="3261">
        <f>IF(B25="容积率修正",IF(G3&lt;10,D26,J26),C27)</f>
        <v>1</v>
      </c>
      <c r="D25" s="3262"/>
      <c r="E25" s="3262"/>
      <c r="F25" s="3262"/>
      <c r="G25" s="3262"/>
      <c r="H25" s="3262"/>
      <c r="I25" s="3262"/>
      <c r="J25" s="3263"/>
      <c r="K25" s="3217"/>
      <c r="L25" s="3156"/>
      <c r="M25" s="3156"/>
      <c r="N25" s="3264" t="s">
        <v>2277</v>
      </c>
      <c r="O25" s="3265"/>
      <c r="P25" s="3266">
        <f>SUMPRODUCT((地价!A3:A13=YEAR(G23)&amp;"-"&amp;ROUNDUP(MONTH(G23)/3,0))*(地价!AF2:AK2=N25)*(地价!AF3:AK13))</f>
        <v>3.3E-3</v>
      </c>
      <c r="Q25" s="3156"/>
      <c r="R25" s="3224"/>
      <c r="S25" s="3224"/>
      <c r="T25" s="1939"/>
      <c r="U25" s="1939"/>
      <c r="V25" s="1939"/>
      <c r="W25" s="1939"/>
      <c r="X25" s="1939"/>
      <c r="Y25" s="1939"/>
      <c r="Z25" s="3217"/>
      <c r="AA25" s="3217"/>
      <c r="AB25" s="3217"/>
      <c r="AC25" s="3217"/>
      <c r="AD25" s="3217"/>
    </row>
    <row r="26" spans="1:35" ht="14.25">
      <c r="A26" s="3267" t="s">
        <v>2278</v>
      </c>
      <c r="B26" s="2712" t="s">
        <v>2279</v>
      </c>
      <c r="C26" s="2712" t="s">
        <v>2924</v>
      </c>
      <c r="D26" s="2712">
        <f>IF(E26=G26,F26,IF(G3&lt;10,ROUND(F26+(H26-F26)*(G3-E26)/(G26-E26),4),"——"))</f>
        <v>1</v>
      </c>
      <c r="E26" s="3268">
        <f>ROUNDDOWN(G3,1)</f>
        <v>1</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68">
        <f>ROUNDUP(G3,1)</f>
        <v>1</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2" t="s">
        <v>2925</v>
      </c>
      <c r="J26" s="3269" t="str">
        <f>IF(G3&gt;=10,D117,"——")</f>
        <v>——</v>
      </c>
      <c r="K26" s="3217"/>
      <c r="L26" s="3156"/>
      <c r="M26" s="3156"/>
      <c r="N26" s="3264" t="s">
        <v>2280</v>
      </c>
      <c r="O26" s="3265"/>
      <c r="P26" s="3266">
        <f>SUMPRODUCT((地价!A3:A13=YEAR(G23)&amp;"-"&amp;ROUNDUP(MONTH(G23)/3,0))*(地价!AF2:AK2=N26)*(地价!AF3:AK13))</f>
        <v>3.3E-3</v>
      </c>
      <c r="Q26" s="3156"/>
      <c r="R26" s="3224"/>
      <c r="S26" s="3224"/>
      <c r="T26" s="1939"/>
      <c r="U26" s="1939"/>
      <c r="V26" s="1939"/>
      <c r="W26" s="1939"/>
      <c r="X26" s="1939"/>
      <c r="Y26" s="1939"/>
      <c r="Z26" s="3217"/>
      <c r="AA26" s="3217"/>
      <c r="AB26" s="3217"/>
      <c r="AC26" s="3217"/>
      <c r="AD26" s="3217"/>
    </row>
    <row r="27" spans="1:35" ht="15.75" thickBot="1">
      <c r="A27" s="3267" t="s">
        <v>2281</v>
      </c>
      <c r="B27" s="2713" t="s">
        <v>2282</v>
      </c>
      <c r="C27" s="3270">
        <f>ROUND(IF(I3&lt;6,SUMPRODUCT((B107:B111=I3)*(C106:N106=G2)*(C107:N111)),SUMIF(C106:N106,G2,C113:N113)),4)</f>
        <v>0</v>
      </c>
      <c r="D27" s="3200"/>
      <c r="E27" s="3200"/>
      <c r="F27" s="3271"/>
      <c r="G27" s="3272"/>
      <c r="H27" s="3273"/>
      <c r="I27" s="2713"/>
      <c r="J27" s="3274"/>
      <c r="N27" s="3264" t="s">
        <v>2283</v>
      </c>
      <c r="O27" s="3265"/>
      <c r="P27" s="3266">
        <f>SUMPRODUCT((地价!A3:A13=YEAR(G23)&amp;"-"&amp;ROUNDUP(MONTH(G23)/3,0))*(地价!AF2:AK2=N27)*(地价!AF3:AK13))</f>
        <v>7.7999999999999996E-3</v>
      </c>
      <c r="R27" s="3224"/>
      <c r="S27" s="3224"/>
      <c r="T27" s="1939"/>
      <c r="U27" s="1939"/>
      <c r="V27" s="1939"/>
      <c r="W27" s="1939"/>
      <c r="X27" s="1939"/>
      <c r="Y27" s="1939"/>
      <c r="Z27" s="3217"/>
      <c r="AA27" s="3217"/>
      <c r="AB27" s="3217"/>
      <c r="AC27" s="3217"/>
      <c r="AD27" s="3217"/>
    </row>
    <row r="28" spans="1:35" ht="15.75" thickBot="1">
      <c r="A28" s="2710" t="s">
        <v>599</v>
      </c>
      <c r="B28" s="2709" t="s">
        <v>2284</v>
      </c>
      <c r="C28" s="3240">
        <f>SUMIF(A48:A102,E2,B48:B102)</f>
        <v>1.0266</v>
      </c>
      <c r="D28" s="3275"/>
      <c r="E28" s="3241"/>
      <c r="F28" s="3241"/>
      <c r="G28" s="3241"/>
      <c r="H28" s="3241"/>
      <c r="I28" s="3241"/>
      <c r="J28" s="3276"/>
      <c r="K28" s="3217"/>
      <c r="L28" s="3156"/>
      <c r="M28" s="3156"/>
      <c r="N28" s="3277" t="s">
        <v>2285</v>
      </c>
      <c r="O28" s="3278"/>
      <c r="P28" s="3279">
        <f>SUMPRODUCT((地价!A3:A13=YEAR(G23)&amp;"-"&amp;ROUNDUP(MONTH(G23)/3,0))*(地价!AF2:AK2=N28)*(地价!AF3:AK13))</f>
        <v>5.1000000000000004E-3</v>
      </c>
      <c r="Q28" s="3156"/>
      <c r="R28" s="3224"/>
      <c r="S28" s="3224"/>
      <c r="T28" s="1939"/>
      <c r="U28" s="1939"/>
      <c r="V28" s="1939"/>
      <c r="W28" s="1939"/>
      <c r="X28" s="1939"/>
      <c r="Y28" s="1939"/>
      <c r="Z28" s="3217"/>
      <c r="AA28" s="3217"/>
      <c r="AB28" s="3217"/>
      <c r="AC28" s="3217"/>
      <c r="AD28" s="3217"/>
    </row>
    <row r="29" spans="1:35" ht="15.75" thickBot="1">
      <c r="A29" s="2710" t="s">
        <v>600</v>
      </c>
      <c r="B29" s="2714" t="s">
        <v>2286</v>
      </c>
      <c r="C29" s="3280"/>
      <c r="D29" s="3281"/>
      <c r="E29" s="3281"/>
      <c r="F29" s="3282"/>
      <c r="G29" s="3281"/>
      <c r="H29" s="3281"/>
      <c r="I29" s="3281"/>
      <c r="J29" s="3283"/>
      <c r="N29" s="3284" t="s">
        <v>2735</v>
      </c>
      <c r="O29" s="3285"/>
      <c r="P29" s="3286">
        <f>SUMPRODUCT((地价!A3:A13=YEAR(G23)&amp;"-"&amp;ROUNDUP(MONTH(G23)/3,0))*(地价!AF2:AK2=N29)*(地价!AF3:AK13))</f>
        <v>7.1000000000000004E-3</v>
      </c>
      <c r="R29" s="3224"/>
      <c r="S29" s="3224"/>
      <c r="T29" s="1939"/>
      <c r="U29" s="1939"/>
      <c r="V29" s="1939"/>
      <c r="W29" s="1939"/>
      <c r="X29" s="1939"/>
      <c r="Y29" s="1939"/>
      <c r="Z29" s="3217"/>
      <c r="AA29" s="3217"/>
      <c r="AB29" s="3217"/>
      <c r="AC29" s="3217"/>
      <c r="AD29" s="3217"/>
    </row>
    <row r="30" spans="1:35" ht="15">
      <c r="A30" s="3287"/>
      <c r="B30" s="2712" t="s">
        <v>2287</v>
      </c>
      <c r="C30" s="3288">
        <f>IF(B25="容积率修正",E33+SUM(E37:E42),SUM(V2:V16)+SUM(E37:E42))</f>
        <v>1501</v>
      </c>
      <c r="D30" s="3289"/>
      <c r="E30" s="3290"/>
      <c r="F30" s="3291"/>
      <c r="G30" s="3290"/>
      <c r="H30" s="3290"/>
      <c r="I30" s="3290"/>
      <c r="J30" s="3292"/>
      <c r="L30" s="3293" t="s">
        <v>2198</v>
      </c>
      <c r="M30" s="3162" t="s">
        <v>2254</v>
      </c>
      <c r="N30" s="3162" t="s">
        <v>2255</v>
      </c>
      <c r="O30" s="3162" t="s">
        <v>2256</v>
      </c>
      <c r="P30" s="3294" t="s">
        <v>2257</v>
      </c>
      <c r="Q30" s="3294" t="s">
        <v>2735</v>
      </c>
      <c r="R30" s="3224"/>
      <c r="S30" s="3224"/>
      <c r="T30" s="1939"/>
      <c r="U30" s="1939"/>
      <c r="V30" s="1939"/>
      <c r="W30" s="1939"/>
      <c r="X30" s="1939"/>
      <c r="Y30" s="1939"/>
      <c r="Z30" s="3217"/>
      <c r="AA30" s="3217"/>
      <c r="AB30" s="3217"/>
      <c r="AC30" s="3217"/>
      <c r="AD30" s="3217"/>
    </row>
    <row r="31" spans="1:35" ht="15.75" thickBot="1">
      <c r="A31" s="3287"/>
      <c r="B31" s="2715" t="s">
        <v>2288</v>
      </c>
      <c r="C31" s="3295">
        <f>E34+SUM(I37:I42)</f>
        <v>0</v>
      </c>
      <c r="D31" s="3296"/>
      <c r="E31" s="3297"/>
      <c r="F31" s="3298"/>
      <c r="G31" s="3297"/>
      <c r="H31" s="3297"/>
      <c r="I31" s="3297"/>
      <c r="J31" s="3299"/>
      <c r="L31" s="3300" t="s">
        <v>2260</v>
      </c>
      <c r="M31" s="3176">
        <v>0.25</v>
      </c>
      <c r="N31" s="3176">
        <v>0.2</v>
      </c>
      <c r="O31" s="3176">
        <v>0.15</v>
      </c>
      <c r="P31" s="3301">
        <v>0.1</v>
      </c>
      <c r="Q31" s="3301">
        <v>0.15</v>
      </c>
      <c r="R31" s="3224"/>
      <c r="S31" s="3224"/>
      <c r="T31" s="1939"/>
      <c r="U31" s="1939"/>
      <c r="V31" s="1939"/>
      <c r="W31" s="1939"/>
      <c r="X31" s="1939"/>
      <c r="Y31" s="1939"/>
      <c r="Z31" s="3217"/>
      <c r="AA31" s="3217"/>
      <c r="AB31" s="3217"/>
      <c r="AC31" s="3217"/>
      <c r="AD31" s="3217"/>
    </row>
    <row r="32" spans="1:35" ht="15.75" thickBot="1">
      <c r="A32" s="2710"/>
      <c r="B32" s="3302" t="s">
        <v>2289</v>
      </c>
      <c r="C32" s="3303" t="s">
        <v>2290</v>
      </c>
      <c r="D32" s="3303" t="s">
        <v>2291</v>
      </c>
      <c r="E32" s="2714" t="s">
        <v>2292</v>
      </c>
      <c r="F32" s="3304"/>
      <c r="G32" s="3193"/>
      <c r="H32" s="3193"/>
      <c r="I32" s="3193"/>
      <c r="J32" s="3194"/>
      <c r="L32" s="3305" t="s">
        <v>2263</v>
      </c>
      <c r="M32" s="2249">
        <f>ROUND($E$24*(1+M31),3)</f>
        <v>5.3999999999999999E-2</v>
      </c>
      <c r="N32" s="2249">
        <f>ROUND($E$24*(1+N31),3)</f>
        <v>5.1999999999999998E-2</v>
      </c>
      <c r="O32" s="2249">
        <f>ROUND($E$24*(1+O31),3)</f>
        <v>0.05</v>
      </c>
      <c r="P32" s="3306">
        <f>ROUND($E$24*(1+P31),3)</f>
        <v>4.8000000000000001E-2</v>
      </c>
      <c r="Q32" s="3306">
        <f>ROUND($E$24*(1+Q31),3)</f>
        <v>0.05</v>
      </c>
      <c r="R32" s="3224"/>
      <c r="S32" s="3224"/>
      <c r="T32" s="1939"/>
      <c r="U32" s="1939"/>
      <c r="V32" s="1939"/>
      <c r="W32" s="1939"/>
      <c r="X32" s="1939"/>
      <c r="Y32" s="1939"/>
      <c r="Z32" s="3217"/>
      <c r="AA32" s="3217"/>
      <c r="AB32" s="3217"/>
      <c r="AC32" s="3217"/>
      <c r="AD32" s="3217"/>
    </row>
    <row r="33" spans="1:30" ht="14.25">
      <c r="A33" s="3307"/>
      <c r="B33" s="2716" t="s">
        <v>2293</v>
      </c>
      <c r="C33" s="178">
        <f>ROUND(C5*C22*C23*C24*C25*C28,0)</f>
        <v>859</v>
      </c>
      <c r="D33" s="3308">
        <f>'[2]数据-汇总表'!$D$3</f>
        <v>17477</v>
      </c>
      <c r="E33" s="3047">
        <f>ROUND(C33*D33/10000,0)</f>
        <v>1501</v>
      </c>
      <c r="F33" s="3012" t="s">
        <v>2294</v>
      </c>
      <c r="G33" s="3013"/>
      <c r="H33" s="3013"/>
      <c r="I33" s="3013"/>
      <c r="J33" s="3309"/>
      <c r="L33" s="3310" t="s">
        <v>2733</v>
      </c>
      <c r="M33" s="3311">
        <v>5.5E-2</v>
      </c>
      <c r="N33" s="3311">
        <v>5.5E-2</v>
      </c>
      <c r="O33" s="3312">
        <v>0.05</v>
      </c>
      <c r="P33" s="3312">
        <v>0.05</v>
      </c>
      <c r="Q33" s="3311">
        <v>0.05</v>
      </c>
      <c r="R33" s="3224"/>
      <c r="S33" s="1939"/>
      <c r="T33" s="1939"/>
      <c r="U33" s="1939"/>
      <c r="V33" s="1939"/>
      <c r="W33" s="1939"/>
      <c r="X33" s="1939"/>
      <c r="Y33" s="1939"/>
      <c r="Z33" s="3217"/>
      <c r="AA33" s="3217"/>
      <c r="AB33" s="3217"/>
      <c r="AC33" s="3217"/>
      <c r="AD33" s="3217"/>
    </row>
    <row r="34" spans="1:30" ht="15" thickBot="1">
      <c r="A34" s="3313"/>
      <c r="B34" s="2717" t="s">
        <v>2295</v>
      </c>
      <c r="C34" s="2259">
        <f>ROUND(IF(E2="工业",C33*M42,IF(B25="楼层修正",SUM(V2:V16)*M41*10000/D34,C33*M41)),0)</f>
        <v>129</v>
      </c>
      <c r="D34" s="3314"/>
      <c r="E34" s="3047">
        <f>ROUND(IF(B25="楼层修正",SUM(V2:V16)*M41,C34*D34/10000),0)</f>
        <v>0</v>
      </c>
      <c r="F34" s="2705" t="s">
        <v>2296</v>
      </c>
      <c r="G34" s="3315"/>
      <c r="H34" s="3315"/>
      <c r="I34" s="3315"/>
      <c r="J34" s="3316"/>
      <c r="L34" s="3310" t="s">
        <v>2734</v>
      </c>
      <c r="M34" s="3311">
        <v>6.5000000000000002E-2</v>
      </c>
      <c r="N34" s="3311">
        <v>6.5000000000000002E-2</v>
      </c>
      <c r="O34" s="3312">
        <v>0.06</v>
      </c>
      <c r="P34" s="3312">
        <v>0.06</v>
      </c>
      <c r="Q34" s="3311">
        <v>0.06</v>
      </c>
      <c r="R34" s="3224"/>
      <c r="S34" s="1939"/>
      <c r="T34" s="1939"/>
      <c r="U34" s="1939"/>
      <c r="V34" s="1939"/>
      <c r="W34" s="1939"/>
      <c r="X34" s="1939"/>
      <c r="Y34" s="1939"/>
      <c r="Z34" s="3217"/>
      <c r="AA34" s="3217"/>
      <c r="AB34" s="3217"/>
      <c r="AC34" s="3217"/>
      <c r="AD34" s="3217"/>
    </row>
    <row r="35" spans="1:30">
      <c r="A35" s="3317"/>
      <c r="B35" s="2718" t="s">
        <v>2297</v>
      </c>
      <c r="C35" s="3318" t="s">
        <v>3107</v>
      </c>
      <c r="D35" s="3193"/>
      <c r="E35" s="3318"/>
      <c r="F35" s="3318"/>
      <c r="G35" s="3192" t="s">
        <v>2298</v>
      </c>
      <c r="H35" s="3193"/>
      <c r="I35" s="3319"/>
      <c r="J35" s="3194"/>
      <c r="L35" s="1939"/>
      <c r="M35" s="3224"/>
      <c r="N35" s="3224"/>
      <c r="O35" s="3224"/>
      <c r="P35" s="3224"/>
      <c r="Q35" s="3224"/>
      <c r="R35" s="1939"/>
      <c r="S35" s="1939"/>
      <c r="T35" s="1939"/>
      <c r="U35" s="1939"/>
      <c r="V35" s="1939"/>
      <c r="W35" s="1939"/>
      <c r="X35" s="1939"/>
      <c r="Y35" s="1939"/>
      <c r="Z35" s="1939"/>
    </row>
    <row r="36" spans="1:30" ht="24.75" thickBot="1">
      <c r="A36" s="3307"/>
      <c r="B36" s="3320"/>
      <c r="C36" s="3321" t="s">
        <v>2290</v>
      </c>
      <c r="D36" s="3322" t="s">
        <v>2291</v>
      </c>
      <c r="E36" s="3322" t="s">
        <v>2292</v>
      </c>
      <c r="F36" s="174" t="s">
        <v>2299</v>
      </c>
      <c r="G36" s="3323" t="s">
        <v>2290</v>
      </c>
      <c r="H36" s="3323" t="s">
        <v>2291</v>
      </c>
      <c r="I36" s="3323" t="s">
        <v>2292</v>
      </c>
      <c r="J36" s="3044"/>
      <c r="K36" s="1939" t="s">
        <v>2736</v>
      </c>
      <c r="L36" s="3224">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37"/>
      <c r="B37" s="2959" t="s">
        <v>2300</v>
      </c>
      <c r="C37" s="178">
        <f>ROUND(C5*C22*C23*C24*C28*F37,0)</f>
        <v>429</v>
      </c>
      <c r="D37" s="3308"/>
      <c r="E37" s="174">
        <f>ROUND(C37*D37/10000,0)</f>
        <v>0</v>
      </c>
      <c r="F37" s="174">
        <f>SUMIF(修正!A57:A68,G2,修正!B57:B68)</f>
        <v>0.5</v>
      </c>
      <c r="G37" s="174">
        <f>ROUND(IF(E2="工业",C37*$M$42,C37*$M$41),0)</f>
        <v>64</v>
      </c>
      <c r="H37" s="174">
        <f>D37</f>
        <v>0</v>
      </c>
      <c r="I37" s="174">
        <f>ROUND(G37*H37/10000,0)</f>
        <v>0</v>
      </c>
      <c r="J37" s="3639" t="s">
        <v>3075</v>
      </c>
      <c r="K37" s="3324" t="s">
        <v>2737</v>
      </c>
      <c r="L37" s="3325">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8"/>
      <c r="B38" s="2960" t="s">
        <v>2301</v>
      </c>
      <c r="C38" s="178">
        <f>ROUND(C5*C22*C23*C24*C28*F38,0)</f>
        <v>172</v>
      </c>
      <c r="D38" s="3308"/>
      <c r="E38" s="174">
        <f t="shared" ref="E38:E42" si="4">ROUND(C38*D38/10000,0)</f>
        <v>0</v>
      </c>
      <c r="F38" s="174">
        <f>SUMIF(修正!A57:A68,G2,修正!C57:C68)</f>
        <v>0.2</v>
      </c>
      <c r="G38" s="174">
        <f>ROUND(IF(E2="工业",C38*$M$42,C38*$M$41),0)</f>
        <v>26</v>
      </c>
      <c r="H38" s="174">
        <f t="shared" ref="H38:H42" si="5">D38</f>
        <v>0</v>
      </c>
      <c r="I38" s="174">
        <f t="shared" ref="I38:I42" si="6">ROUND(G38*H38/10000,0)</f>
        <v>0</v>
      </c>
      <c r="J38" s="3638"/>
      <c r="K38" s="3224">
        <v>5.0000000000000001E-3</v>
      </c>
      <c r="L38" s="1939"/>
      <c r="M38" s="1939"/>
      <c r="N38" s="1939"/>
      <c r="O38" s="3239"/>
      <c r="P38" s="3239"/>
      <c r="Q38" s="3224"/>
      <c r="R38" s="1939"/>
      <c r="S38" s="1939"/>
      <c r="T38" s="1939"/>
      <c r="U38" s="1939"/>
      <c r="V38" s="1939"/>
      <c r="W38" s="1939"/>
      <c r="X38" s="1939"/>
      <c r="Y38" s="1939"/>
      <c r="Z38" s="1939"/>
    </row>
    <row r="39" spans="1:30" ht="13.5" thickBot="1">
      <c r="A39" s="3638"/>
      <c r="B39" s="2960" t="s">
        <v>2965</v>
      </c>
      <c r="C39" s="178">
        <f>ROUND(C5*C22*C23*C24*C28*F39,0)</f>
        <v>172</v>
      </c>
      <c r="D39" s="3308"/>
      <c r="E39" s="174">
        <f t="shared" si="4"/>
        <v>0</v>
      </c>
      <c r="F39" s="174">
        <f>SUMIF(修正!A57:A68,G2,修正!D57:D68)</f>
        <v>0.2</v>
      </c>
      <c r="G39" s="174">
        <f>ROUND(IF(E2="工业",C39*$M$42,C39*$M$41),0)</f>
        <v>26</v>
      </c>
      <c r="H39" s="174">
        <f t="shared" si="5"/>
        <v>0</v>
      </c>
      <c r="I39" s="174">
        <f t="shared" si="6"/>
        <v>0</v>
      </c>
      <c r="J39" s="3638"/>
      <c r="L39" s="1939"/>
      <c r="M39" s="1939"/>
      <c r="N39" s="1939"/>
      <c r="O39" s="1939"/>
      <c r="P39" s="1939"/>
      <c r="Q39" s="1939"/>
      <c r="R39" s="1939"/>
      <c r="S39" s="1939"/>
      <c r="T39" s="1939"/>
      <c r="U39" s="1939"/>
      <c r="V39" s="1939"/>
      <c r="W39" s="1939"/>
      <c r="X39" s="1939"/>
      <c r="Y39" s="1939"/>
      <c r="Z39" s="1939"/>
    </row>
    <row r="40" spans="1:30" s="1939" customFormat="1">
      <c r="A40" s="3326"/>
      <c r="B40" s="2960" t="s">
        <v>2302</v>
      </c>
      <c r="C40" s="3212">
        <f>ROUND(C5*C22*C23*C24*C28*F40,0)</f>
        <v>172</v>
      </c>
      <c r="D40" s="3308"/>
      <c r="E40" s="174">
        <f t="shared" si="4"/>
        <v>0</v>
      </c>
      <c r="F40" s="178">
        <f>SUMIF(修正!A57:A68,G2,修正!E57:E68)</f>
        <v>0.2</v>
      </c>
      <c r="G40" s="174">
        <f>ROUND(IF(E2="工业",C40*$M$42,C40*$M$41),0)</f>
        <v>26</v>
      </c>
      <c r="H40" s="174">
        <f t="shared" si="5"/>
        <v>0</v>
      </c>
      <c r="I40" s="174">
        <f t="shared" si="6"/>
        <v>0</v>
      </c>
      <c r="J40" s="3327"/>
      <c r="L40" s="3328" t="s">
        <v>2303</v>
      </c>
      <c r="M40" s="3165"/>
    </row>
    <row r="41" spans="1:30" s="1939" customFormat="1">
      <c r="A41" s="3326"/>
      <c r="B41" s="2960" t="s">
        <v>2304</v>
      </c>
      <c r="C41" s="3212">
        <f>ROUND(C5*C22*C23*C44*C28*F41,0)</f>
        <v>0</v>
      </c>
      <c r="D41" s="3308"/>
      <c r="E41" s="174">
        <f t="shared" si="4"/>
        <v>0</v>
      </c>
      <c r="F41" s="178">
        <f>SUMIF(修正!A57:A68,G2,修正!F57:F68)</f>
        <v>0.2</v>
      </c>
      <c r="G41" s="174">
        <f>ROUND(IF(E2="工业",C41*$M$42,C41*$M$41),0)</f>
        <v>0</v>
      </c>
      <c r="H41" s="174">
        <f t="shared" si="5"/>
        <v>0</v>
      </c>
      <c r="I41" s="174">
        <f t="shared" si="6"/>
        <v>0</v>
      </c>
      <c r="J41" s="3327"/>
      <c r="L41" s="3329" t="s">
        <v>3074</v>
      </c>
      <c r="M41" s="3330">
        <v>0.25</v>
      </c>
    </row>
    <row r="42" spans="1:30" s="1939" customFormat="1" ht="13.5" thickBot="1">
      <c r="A42" s="3313"/>
      <c r="B42" s="2961" t="s">
        <v>2305</v>
      </c>
      <c r="C42" s="3219">
        <f>ROUND(C5*C22*C23*C44*C28*F42,0)</f>
        <v>0</v>
      </c>
      <c r="D42" s="3314"/>
      <c r="E42" s="2259">
        <f t="shared" si="4"/>
        <v>0</v>
      </c>
      <c r="F42" s="180">
        <f>SUMIF(修正!A57:A68,G2,修正!G57:G68)</f>
        <v>0.1</v>
      </c>
      <c r="G42" s="2259">
        <f>ROUND(IF(E2="工业",C42*$M$42,C42*$M$41),0)</f>
        <v>0</v>
      </c>
      <c r="H42" s="2259">
        <f t="shared" si="5"/>
        <v>0</v>
      </c>
      <c r="I42" s="2259">
        <f t="shared" si="6"/>
        <v>0</v>
      </c>
      <c r="J42" s="3299"/>
      <c r="L42" s="3331" t="s">
        <v>2257</v>
      </c>
      <c r="M42" s="3332">
        <v>0.15</v>
      </c>
    </row>
    <row r="43" spans="1:30" s="1939" customFormat="1"/>
    <row r="44" spans="1:30" s="1939" customFormat="1">
      <c r="B44" s="2703" t="s">
        <v>2404</v>
      </c>
      <c r="C44" s="174">
        <f>ROUND(POWER(1+E44,H44-G44)*(POWER(1+E44,G44)-1)/(POWER(1+E44,H44)-1),4)</f>
        <v>0</v>
      </c>
      <c r="D44" s="174" t="s">
        <v>2263</v>
      </c>
      <c r="E44" s="3333">
        <f>G24</f>
        <v>0.05</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1.0397000000000001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3335" t="s">
        <v>3112</v>
      </c>
      <c r="D62" s="2978">
        <f>SUMIF($J$61:$N$61,C62,J62:N62)</f>
        <v>9.5999999999999992E-3</v>
      </c>
      <c r="E62" s="2979">
        <f>ROUND(SUM(D62:D70),4)</f>
        <v>3.9699999999999999E-2</v>
      </c>
      <c r="F62" s="2980" t="str">
        <f>IF(E2="办公",SUMIF(L1:L12,G2,N1:N12),"——")</f>
        <v>——</v>
      </c>
      <c r="G62" s="3336">
        <v>9.5999999999999992E-3</v>
      </c>
      <c r="H62" s="2982" t="str">
        <f t="shared" ref="H62:H70" si="12">IFERROR(ROUNDDOWN($F$62*I62/2,4),"——")</f>
        <v>——</v>
      </c>
      <c r="I62" s="2983">
        <v>0.25</v>
      </c>
      <c r="J62" s="2984">
        <f t="shared" ref="J62:J70" si="13">K62+$G62</f>
        <v>1.9199999999999998E-2</v>
      </c>
      <c r="K62" s="2984">
        <f t="shared" ref="K62:K70" si="14">$L62+$G62</f>
        <v>9.5999999999999992E-3</v>
      </c>
      <c r="L62" s="2984">
        <v>0</v>
      </c>
      <c r="M62" s="2984">
        <f t="shared" ref="M62:N70" si="15">L62-$G62</f>
        <v>-9.5999999999999992E-3</v>
      </c>
      <c r="N62" s="2984">
        <f t="shared" si="15"/>
        <v>-1.9199999999999998E-2</v>
      </c>
    </row>
    <row r="63" spans="1:14" s="1939" customFormat="1" ht="38.25">
      <c r="A63" s="2971" t="s">
        <v>2317</v>
      </c>
      <c r="B63" s="2985" t="str">
        <f>估价对象房地状况!C18</f>
        <v>估价对象周边道路状况、公共交通通达情况、停车便捷程度，综合评价交通便捷度较好</v>
      </c>
      <c r="C63" s="3335" t="s">
        <v>3112</v>
      </c>
      <c r="D63" s="2978">
        <f t="shared" ref="D63:D70" si="16">SUMIF($J$61:$N$61,C63,J63:N63)</f>
        <v>0.01</v>
      </c>
      <c r="E63" s="2986"/>
      <c r="F63" s="2987"/>
      <c r="G63" s="3336">
        <v>0.01</v>
      </c>
      <c r="H63" s="2982" t="str">
        <f t="shared" si="12"/>
        <v>——</v>
      </c>
      <c r="I63" s="2983">
        <v>0.26</v>
      </c>
      <c r="J63" s="2984">
        <f t="shared" si="13"/>
        <v>0.02</v>
      </c>
      <c r="K63" s="2984">
        <f t="shared" si="14"/>
        <v>0.01</v>
      </c>
      <c r="L63" s="2984">
        <v>0</v>
      </c>
      <c r="M63" s="2984">
        <f t="shared" si="15"/>
        <v>-0.01</v>
      </c>
      <c r="N63" s="2984">
        <f t="shared" si="15"/>
        <v>-0.02</v>
      </c>
    </row>
    <row r="64" spans="1:14" s="1939" customFormat="1" ht="36">
      <c r="A64" s="2988" t="s">
        <v>2839</v>
      </c>
      <c r="B64" s="2985">
        <f>估价对象房地状况!C19</f>
        <v>0</v>
      </c>
      <c r="C64" s="3335" t="s">
        <v>3112</v>
      </c>
      <c r="D64" s="2978">
        <f t="shared" si="16"/>
        <v>4.1999999999999997E-3</v>
      </c>
      <c r="E64" s="2986"/>
      <c r="F64" s="2987"/>
      <c r="G64" s="3336">
        <v>4.1999999999999997E-3</v>
      </c>
      <c r="H64" s="2982" t="str">
        <f t="shared" si="12"/>
        <v>——</v>
      </c>
      <c r="I64" s="2983">
        <v>0.11</v>
      </c>
      <c r="J64" s="2984">
        <f t="shared" si="13"/>
        <v>8.3999999999999995E-3</v>
      </c>
      <c r="K64" s="2984">
        <f t="shared" si="14"/>
        <v>4.1999999999999997E-3</v>
      </c>
      <c r="L64" s="2984">
        <v>0</v>
      </c>
      <c r="M64" s="2984">
        <f t="shared" si="15"/>
        <v>-4.1999999999999997E-3</v>
      </c>
      <c r="N64" s="2984">
        <f t="shared" si="15"/>
        <v>-8.3999999999999995E-3</v>
      </c>
    </row>
    <row r="65" spans="1:33" s="1939" customFormat="1" ht="36.75">
      <c r="A65" s="2971" t="s">
        <v>2318</v>
      </c>
      <c r="B65" s="2989" t="s">
        <v>2319</v>
      </c>
      <c r="C65" s="3335" t="s">
        <v>3113</v>
      </c>
      <c r="D65" s="2978">
        <f t="shared" si="16"/>
        <v>-1.9E-3</v>
      </c>
      <c r="E65" s="2986"/>
      <c r="F65" s="2987"/>
      <c r="G65" s="3336">
        <v>1.9E-3</v>
      </c>
      <c r="H65" s="2982" t="str">
        <f t="shared" si="12"/>
        <v>——</v>
      </c>
      <c r="I65" s="2983">
        <v>0.05</v>
      </c>
      <c r="J65" s="2984">
        <f t="shared" si="13"/>
        <v>3.8E-3</v>
      </c>
      <c r="K65" s="2984">
        <f t="shared" si="14"/>
        <v>1.9E-3</v>
      </c>
      <c r="L65" s="2984">
        <v>0</v>
      </c>
      <c r="M65" s="2984">
        <f t="shared" si="15"/>
        <v>-1.9E-3</v>
      </c>
      <c r="N65" s="2984">
        <f t="shared" si="15"/>
        <v>-3.8E-3</v>
      </c>
    </row>
    <row r="66" spans="1:33" s="1939" customFormat="1" ht="24">
      <c r="A66" s="2971" t="s">
        <v>2320</v>
      </c>
      <c r="B66" s="2985">
        <f>估价对象房地状况!C24</f>
        <v>0</v>
      </c>
      <c r="C66" s="3335" t="s">
        <v>3114</v>
      </c>
      <c r="D66" s="2978">
        <f t="shared" si="16"/>
        <v>3.8E-3</v>
      </c>
      <c r="E66" s="2986"/>
      <c r="F66" s="2987"/>
      <c r="G66" s="3336">
        <v>1.9E-3</v>
      </c>
      <c r="H66" s="2982" t="str">
        <f t="shared" si="12"/>
        <v>——</v>
      </c>
      <c r="I66" s="2983">
        <v>0.05</v>
      </c>
      <c r="J66" s="2984">
        <f t="shared" si="13"/>
        <v>3.8E-3</v>
      </c>
      <c r="K66" s="2984">
        <f t="shared" si="14"/>
        <v>1.9E-3</v>
      </c>
      <c r="L66" s="2984">
        <v>0</v>
      </c>
      <c r="M66" s="2984">
        <f t="shared" si="15"/>
        <v>-1.9E-3</v>
      </c>
      <c r="N66" s="2984">
        <f t="shared" si="15"/>
        <v>-3.8E-3</v>
      </c>
    </row>
    <row r="67" spans="1:33" s="1939" customFormat="1" ht="24">
      <c r="A67" s="2971" t="s">
        <v>2321</v>
      </c>
      <c r="B67" s="2990" t="s">
        <v>2322</v>
      </c>
      <c r="C67" s="3335" t="s">
        <v>3112</v>
      </c>
      <c r="D67" s="2978">
        <f t="shared" si="16"/>
        <v>2.3E-3</v>
      </c>
      <c r="E67" s="2986"/>
      <c r="F67" s="2987"/>
      <c r="G67" s="3336">
        <v>2.3E-3</v>
      </c>
      <c r="H67" s="2982" t="str">
        <f t="shared" si="12"/>
        <v>——</v>
      </c>
      <c r="I67" s="2983">
        <v>0.06</v>
      </c>
      <c r="J67" s="2984">
        <f t="shared" si="13"/>
        <v>4.5999999999999999E-3</v>
      </c>
      <c r="K67" s="2984">
        <f t="shared" si="14"/>
        <v>2.3E-3</v>
      </c>
      <c r="L67" s="2984">
        <v>0</v>
      </c>
      <c r="M67" s="2984">
        <f t="shared" si="15"/>
        <v>-2.3E-3</v>
      </c>
      <c r="N67" s="2984">
        <f t="shared" si="15"/>
        <v>-4.5999999999999999E-3</v>
      </c>
    </row>
    <row r="68" spans="1:33" s="1939" customFormat="1" ht="25.5">
      <c r="A68" s="2971" t="s">
        <v>2323</v>
      </c>
      <c r="B68" s="2992" t="str">
        <f>估价对象房地状况!C21</f>
        <v>估价对象所在区域公共配套设施齐备情况</v>
      </c>
      <c r="C68" s="3335" t="s">
        <v>3112</v>
      </c>
      <c r="D68" s="2978">
        <f t="shared" si="16"/>
        <v>2.3E-3</v>
      </c>
      <c r="E68" s="2986"/>
      <c r="F68" s="2987"/>
      <c r="G68" s="3336">
        <v>2.3E-3</v>
      </c>
      <c r="H68" s="2982" t="str">
        <f t="shared" si="12"/>
        <v>——</v>
      </c>
      <c r="I68" s="2983">
        <v>0.06</v>
      </c>
      <c r="J68" s="2984">
        <f t="shared" si="13"/>
        <v>4.5999999999999999E-3</v>
      </c>
      <c r="K68" s="2984">
        <f t="shared" si="14"/>
        <v>2.3E-3</v>
      </c>
      <c r="L68" s="2984">
        <v>0</v>
      </c>
      <c r="M68" s="2984">
        <f t="shared" si="15"/>
        <v>-2.3E-3</v>
      </c>
      <c r="N68" s="2984">
        <f t="shared" si="15"/>
        <v>-4.5999999999999999E-3</v>
      </c>
    </row>
    <row r="69" spans="1:33" s="1939" customFormat="1" ht="24">
      <c r="A69" s="2971" t="s">
        <v>2324</v>
      </c>
      <c r="B69" s="2992" t="str">
        <f>估价对象房地状况!C22</f>
        <v>估价对象所在区域基础设施水平</v>
      </c>
      <c r="C69" s="3335" t="s">
        <v>3114</v>
      </c>
      <c r="D69" s="2978">
        <f t="shared" si="16"/>
        <v>6.7999999999999996E-3</v>
      </c>
      <c r="E69" s="2986"/>
      <c r="F69" s="2987"/>
      <c r="G69" s="3336">
        <v>3.3999999999999998E-3</v>
      </c>
      <c r="H69" s="2982" t="str">
        <f t="shared" si="12"/>
        <v>——</v>
      </c>
      <c r="I69" s="2983">
        <v>0.09</v>
      </c>
      <c r="J69" s="2984">
        <f t="shared" si="13"/>
        <v>6.7999999999999996E-3</v>
      </c>
      <c r="K69" s="2984">
        <f t="shared" si="14"/>
        <v>3.3999999999999998E-3</v>
      </c>
      <c r="L69" s="2984">
        <v>0</v>
      </c>
      <c r="M69" s="2984">
        <f t="shared" si="15"/>
        <v>-3.3999999999999998E-3</v>
      </c>
      <c r="N69" s="2984">
        <f t="shared" si="15"/>
        <v>-6.7999999999999996E-3</v>
      </c>
    </row>
    <row r="70" spans="1:33" s="1939" customFormat="1" ht="26.25" thickBot="1">
      <c r="A70" s="2993" t="s">
        <v>2325</v>
      </c>
      <c r="B70" s="2999" t="str">
        <f>估价对象房地状况!C20</f>
        <v>区域自然环境：；人文环境；综合评价环境状况一般</v>
      </c>
      <c r="C70" s="3335" t="s">
        <v>3112</v>
      </c>
      <c r="D70" s="2978">
        <f t="shared" si="16"/>
        <v>2.5999999999999999E-3</v>
      </c>
      <c r="E70" s="2995"/>
      <c r="F70" s="2987"/>
      <c r="G70" s="3336">
        <v>2.5999999999999999E-3</v>
      </c>
      <c r="H70" s="2982" t="str">
        <f t="shared" si="12"/>
        <v>——</v>
      </c>
      <c r="I70" s="2996">
        <v>7.0000000000000007E-2</v>
      </c>
      <c r="J70" s="2984">
        <f t="shared" si="13"/>
        <v>5.1999999999999998E-3</v>
      </c>
      <c r="K70" s="2984">
        <f t="shared" si="14"/>
        <v>2.5999999999999999E-3</v>
      </c>
      <c r="L70" s="2984">
        <v>0</v>
      </c>
      <c r="M70" s="2984">
        <f t="shared" si="15"/>
        <v>-2.5999999999999999E-3</v>
      </c>
      <c r="N70" s="2984">
        <f t="shared" si="15"/>
        <v>-5.1999999999999998E-3</v>
      </c>
    </row>
    <row r="71" spans="1:33" s="1939" customFormat="1" ht="15">
      <c r="A71" s="2965" t="s">
        <v>2329</v>
      </c>
      <c r="B71" s="2966">
        <f>1+E73</f>
        <v>1.0419</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t="s">
        <v>3112</v>
      </c>
      <c r="D73" s="2978">
        <f t="shared" ref="D73:D81" si="17">SUMIF($J$72:$N$72,C73,J73:N73)</f>
        <v>1.4999999999999999E-2</v>
      </c>
      <c r="E73" s="2979">
        <f>ROUND(SUM(D73:D81),4)</f>
        <v>4.19E-2</v>
      </c>
      <c r="F73" s="2980" t="str">
        <f>IF(E2="住宅",SUMIF(L1:L12,G2,N1:N12),"——")</f>
        <v>——</v>
      </c>
      <c r="G73" s="2981">
        <v>1.4999999999999999E-2</v>
      </c>
      <c r="H73" s="2982" t="str">
        <f t="shared" ref="H73:H81" si="18">IFERROR(ROUNDDOWN($F$73*I73/2,4),"——")</f>
        <v>——</v>
      </c>
      <c r="I73" s="2983">
        <v>0.2</v>
      </c>
      <c r="J73" s="2984">
        <f t="shared" ref="J73:J81" si="19">K73+$G73</f>
        <v>0.03</v>
      </c>
      <c r="K73" s="2984">
        <f t="shared" ref="K73:K81" si="20">$L73+$G73</f>
        <v>1.4999999999999999E-2</v>
      </c>
      <c r="L73" s="2984">
        <v>0</v>
      </c>
      <c r="M73" s="2984">
        <f t="shared" ref="M73:N81" si="21">L73-$G73</f>
        <v>-1.4999999999999999E-2</v>
      </c>
      <c r="N73" s="2984">
        <f t="shared" si="21"/>
        <v>-0.03</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t="s">
        <v>3123</v>
      </c>
      <c r="D74" s="2978">
        <f t="shared" si="17"/>
        <v>0</v>
      </c>
      <c r="E74" s="2986"/>
      <c r="F74" s="2980"/>
      <c r="G74" s="2981">
        <v>1.95E-2</v>
      </c>
      <c r="H74" s="2982" t="str">
        <f t="shared" si="18"/>
        <v>——</v>
      </c>
      <c r="I74" s="2983">
        <v>0.26</v>
      </c>
      <c r="J74" s="2984">
        <f t="shared" si="19"/>
        <v>3.9E-2</v>
      </c>
      <c r="K74" s="2984">
        <f t="shared" si="20"/>
        <v>1.95E-2</v>
      </c>
      <c r="L74" s="2984">
        <v>0</v>
      </c>
      <c r="M74" s="2984">
        <f t="shared" si="21"/>
        <v>-1.95E-2</v>
      </c>
      <c r="N74" s="2984">
        <f t="shared" si="21"/>
        <v>-3.9E-2</v>
      </c>
      <c r="S74" s="2674"/>
      <c r="T74" s="2674"/>
      <c r="U74" s="2674"/>
      <c r="V74" s="2674"/>
      <c r="W74" s="2674"/>
      <c r="X74" s="2674"/>
      <c r="Y74" s="2674"/>
    </row>
    <row r="75" spans="1:33" ht="36">
      <c r="A75" s="2988" t="s">
        <v>2839</v>
      </c>
      <c r="B75" s="2985">
        <f>估价对象房地状况!C19</f>
        <v>0</v>
      </c>
      <c r="C75" s="2977" t="s">
        <v>3112</v>
      </c>
      <c r="D75" s="2978">
        <f t="shared" si="17"/>
        <v>7.4999999999999997E-3</v>
      </c>
      <c r="E75" s="2986"/>
      <c r="F75" s="2980"/>
      <c r="G75" s="2981">
        <v>7.4999999999999997E-3</v>
      </c>
      <c r="H75" s="2982" t="str">
        <f t="shared" si="18"/>
        <v>——</v>
      </c>
      <c r="I75" s="2983">
        <v>0.1</v>
      </c>
      <c r="J75" s="2984">
        <f t="shared" si="19"/>
        <v>1.4999999999999999E-2</v>
      </c>
      <c r="K75" s="2984">
        <f t="shared" si="20"/>
        <v>7.4999999999999997E-3</v>
      </c>
      <c r="L75" s="2984">
        <v>0</v>
      </c>
      <c r="M75" s="2984">
        <f t="shared" si="21"/>
        <v>-7.4999999999999997E-3</v>
      </c>
      <c r="N75" s="2984">
        <f t="shared" si="21"/>
        <v>-1.4999999999999999E-2</v>
      </c>
      <c r="O75" s="1939"/>
      <c r="P75" s="1939"/>
      <c r="Q75" s="1939"/>
      <c r="AA75" s="2674"/>
      <c r="AG75" s="1939"/>
    </row>
    <row r="76" spans="1:33" ht="14.25">
      <c r="A76" s="2971" t="s">
        <v>2330</v>
      </c>
      <c r="B76" s="2985">
        <f>估价对象房地状况!C24</f>
        <v>0</v>
      </c>
      <c r="C76" s="2977" t="s">
        <v>3113</v>
      </c>
      <c r="D76" s="2978">
        <f t="shared" si="17"/>
        <v>-3.7000000000000002E-3</v>
      </c>
      <c r="E76" s="2986"/>
      <c r="F76" s="2980"/>
      <c r="G76" s="2981">
        <v>3.7000000000000002E-3</v>
      </c>
      <c r="H76" s="2982" t="str">
        <f t="shared" si="18"/>
        <v>——</v>
      </c>
      <c r="I76" s="2983">
        <v>0.05</v>
      </c>
      <c r="J76" s="2984">
        <f t="shared" si="19"/>
        <v>7.4000000000000003E-3</v>
      </c>
      <c r="K76" s="2984">
        <f t="shared" si="20"/>
        <v>3.7000000000000002E-3</v>
      </c>
      <c r="L76" s="2984">
        <v>0</v>
      </c>
      <c r="M76" s="2984">
        <f t="shared" si="21"/>
        <v>-3.7000000000000002E-3</v>
      </c>
      <c r="N76" s="2984">
        <f t="shared" si="21"/>
        <v>-7.4000000000000003E-3</v>
      </c>
      <c r="O76" s="1939"/>
      <c r="P76" s="1939"/>
      <c r="Q76" s="1939"/>
      <c r="AA76" s="2674"/>
      <c r="AG76" s="1939"/>
    </row>
    <row r="77" spans="1:33" ht="25.5">
      <c r="A77" s="2971" t="s">
        <v>2323</v>
      </c>
      <c r="B77" s="2992" t="str">
        <f>估价对象房地状况!C21</f>
        <v>估价对象所在区域公共配套设施齐备情况</v>
      </c>
      <c r="C77" s="2977" t="s">
        <v>3112</v>
      </c>
      <c r="D77" s="2978">
        <f t="shared" si="17"/>
        <v>6.0000000000000001E-3</v>
      </c>
      <c r="E77" s="2986"/>
      <c r="F77" s="2980"/>
      <c r="G77" s="2981">
        <v>6.0000000000000001E-3</v>
      </c>
      <c r="H77" s="2982" t="str">
        <f t="shared" si="18"/>
        <v>——</v>
      </c>
      <c r="I77" s="2983">
        <v>0.08</v>
      </c>
      <c r="J77" s="2984">
        <f t="shared" si="19"/>
        <v>1.2E-2</v>
      </c>
      <c r="K77" s="2984">
        <f t="shared" si="20"/>
        <v>6.0000000000000001E-3</v>
      </c>
      <c r="L77" s="2984">
        <v>0</v>
      </c>
      <c r="M77" s="2984">
        <f t="shared" si="21"/>
        <v>-6.0000000000000001E-3</v>
      </c>
      <c r="N77" s="2984">
        <f t="shared" si="21"/>
        <v>-1.2E-2</v>
      </c>
      <c r="O77" s="1939"/>
      <c r="P77" s="1939"/>
      <c r="Q77" s="1939"/>
      <c r="AA77" s="2674"/>
      <c r="AG77" s="1939"/>
    </row>
    <row r="78" spans="1:33" ht="24">
      <c r="A78" s="2971" t="s">
        <v>2324</v>
      </c>
      <c r="B78" s="2992" t="str">
        <f>估价对象房地状况!C22</f>
        <v>估价对象所在区域基础设施水平</v>
      </c>
      <c r="C78" s="2977" t="s">
        <v>3114</v>
      </c>
      <c r="D78" s="2978">
        <f t="shared" si="17"/>
        <v>1.34E-2</v>
      </c>
      <c r="E78" s="2986"/>
      <c r="F78" s="2980"/>
      <c r="G78" s="2981">
        <v>6.7000000000000002E-3</v>
      </c>
      <c r="H78" s="2982" t="str">
        <f t="shared" si="18"/>
        <v>——</v>
      </c>
      <c r="I78" s="2983">
        <v>0.09</v>
      </c>
      <c r="J78" s="2984">
        <f t="shared" si="19"/>
        <v>1.34E-2</v>
      </c>
      <c r="K78" s="2984">
        <f t="shared" si="20"/>
        <v>6.7000000000000002E-3</v>
      </c>
      <c r="L78" s="2984">
        <v>0</v>
      </c>
      <c r="M78" s="2984">
        <f t="shared" si="21"/>
        <v>-6.7000000000000002E-3</v>
      </c>
      <c r="N78" s="2984">
        <f t="shared" si="21"/>
        <v>-1.34E-2</v>
      </c>
      <c r="O78" s="1939"/>
      <c r="P78" s="1939"/>
      <c r="Q78" s="1939"/>
      <c r="AA78" s="2674"/>
      <c r="AG78" s="1939"/>
    </row>
    <row r="79" spans="1:33" ht="24">
      <c r="A79" s="2971" t="s">
        <v>2321</v>
      </c>
      <c r="B79" s="2990" t="s">
        <v>2322</v>
      </c>
      <c r="C79" s="2977" t="s">
        <v>3112</v>
      </c>
      <c r="D79" s="2978">
        <f t="shared" si="17"/>
        <v>3.7000000000000002E-3</v>
      </c>
      <c r="E79" s="2986"/>
      <c r="F79" s="2980"/>
      <c r="G79" s="2981">
        <v>3.7000000000000002E-3</v>
      </c>
      <c r="H79" s="2982" t="str">
        <f t="shared" si="18"/>
        <v>——</v>
      </c>
      <c r="I79" s="2983">
        <v>0.05</v>
      </c>
      <c r="J79" s="2984">
        <f t="shared" si="19"/>
        <v>7.4000000000000003E-3</v>
      </c>
      <c r="K79" s="2984">
        <f t="shared" si="20"/>
        <v>3.7000000000000002E-3</v>
      </c>
      <c r="L79" s="2984">
        <v>0</v>
      </c>
      <c r="M79" s="2984">
        <f t="shared" si="21"/>
        <v>-3.7000000000000002E-3</v>
      </c>
      <c r="N79" s="2984">
        <f t="shared" si="21"/>
        <v>-7.4000000000000003E-3</v>
      </c>
      <c r="AA79" s="2674"/>
      <c r="AG79" s="1939"/>
    </row>
    <row r="80" spans="1:33" ht="25.5">
      <c r="A80" s="2971" t="s">
        <v>2325</v>
      </c>
      <c r="B80" s="2976" t="str">
        <f>估价对象房地状况!C20</f>
        <v>区域自然环境：；人文环境；综合评价环境状况一般</v>
      </c>
      <c r="C80" s="2977" t="s">
        <v>3123</v>
      </c>
      <c r="D80" s="2978">
        <f t="shared" si="17"/>
        <v>0</v>
      </c>
      <c r="E80" s="2986"/>
      <c r="F80" s="2980"/>
      <c r="G80" s="2981">
        <v>8.9999999999999993E-3</v>
      </c>
      <c r="H80" s="2982" t="str">
        <f t="shared" si="18"/>
        <v>——</v>
      </c>
      <c r="I80" s="2983">
        <v>0.12</v>
      </c>
      <c r="J80" s="2984">
        <f t="shared" si="19"/>
        <v>1.7999999999999999E-2</v>
      </c>
      <c r="K80" s="2984">
        <f t="shared" si="20"/>
        <v>8.9999999999999993E-3</v>
      </c>
      <c r="L80" s="2984">
        <v>0</v>
      </c>
      <c r="M80" s="2984">
        <f t="shared" si="21"/>
        <v>-8.9999999999999993E-3</v>
      </c>
      <c r="N80" s="2984">
        <f t="shared" si="21"/>
        <v>-1.7999999999999999E-2</v>
      </c>
      <c r="AA80" s="2674"/>
      <c r="AG80" s="1939"/>
    </row>
    <row r="81" spans="1:33" ht="24.75" thickBot="1">
      <c r="A81" s="2993" t="s">
        <v>2331</v>
      </c>
      <c r="B81" s="3001"/>
      <c r="C81" s="2977" t="s">
        <v>3123</v>
      </c>
      <c r="D81" s="2978">
        <f t="shared" si="17"/>
        <v>0</v>
      </c>
      <c r="E81" s="2995"/>
      <c r="F81" s="2980"/>
      <c r="G81" s="2981">
        <v>3.7000000000000002E-3</v>
      </c>
      <c r="H81" s="2982" t="str">
        <f t="shared" si="18"/>
        <v>——</v>
      </c>
      <c r="I81" s="2996">
        <v>0.05</v>
      </c>
      <c r="J81" s="2984">
        <f t="shared" si="19"/>
        <v>7.4000000000000003E-3</v>
      </c>
      <c r="K81" s="2984">
        <f t="shared" si="20"/>
        <v>3.7000000000000002E-3</v>
      </c>
      <c r="L81" s="2984">
        <v>0</v>
      </c>
      <c r="M81" s="2984">
        <f t="shared" si="21"/>
        <v>-3.7000000000000002E-3</v>
      </c>
      <c r="N81" s="2984">
        <f t="shared" si="21"/>
        <v>-7.4000000000000003E-3</v>
      </c>
      <c r="AA81" s="2674"/>
      <c r="AG81" s="1939"/>
    </row>
    <row r="82" spans="1:33" ht="15">
      <c r="A82" s="2965" t="s">
        <v>2332</v>
      </c>
      <c r="B82" s="2966">
        <f>1+E84</f>
        <v>1.0266</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t="s">
        <v>3112</v>
      </c>
      <c r="D84" s="2978">
        <f t="shared" ref="D84:D91" si="22">SUMIF($J$83:$N$83,C84,J84:N84)</f>
        <v>1.9300000000000001E-2</v>
      </c>
      <c r="E84" s="2979">
        <f>ROUND(SUM(D84:D91),4)</f>
        <v>2.6599999999999999E-2</v>
      </c>
      <c r="F84" s="2980">
        <f>IF(E2="工业",SUMIF(L1:L12,G2,N1:N12),"——")</f>
        <v>0.14899999999999999</v>
      </c>
      <c r="G84" s="2981">
        <v>1.9300000000000001E-2</v>
      </c>
      <c r="H84" s="2982">
        <f t="shared" ref="G84:H91" si="23">IFERROR(ROUNDDOWN($F$84*I84/2,4),"——")</f>
        <v>1.9300000000000001E-2</v>
      </c>
      <c r="I84" s="2983">
        <v>0.26</v>
      </c>
      <c r="J84" s="2984">
        <f t="shared" ref="J84:J91" si="24">K84+$G84</f>
        <v>3.8600000000000002E-2</v>
      </c>
      <c r="K84" s="2984">
        <f t="shared" ref="K84:K91" si="25">$L84+$G84</f>
        <v>1.9300000000000001E-2</v>
      </c>
      <c r="L84" s="2984">
        <v>0</v>
      </c>
      <c r="M84" s="2984">
        <f t="shared" ref="M84:N91" si="26">L84-$G84</f>
        <v>-1.9300000000000001E-2</v>
      </c>
      <c r="N84" s="2984">
        <f t="shared" si="26"/>
        <v>-3.8600000000000002E-2</v>
      </c>
      <c r="AA84" s="2674"/>
      <c r="AG84" s="1939"/>
    </row>
    <row r="85" spans="1:33" ht="38.25">
      <c r="A85" s="2971" t="s">
        <v>2317</v>
      </c>
      <c r="B85" s="2985" t="str">
        <f>估价对象房地状况!G16</f>
        <v>估价对象周边道路状况、公共交通通达情况、停车便捷程度，综合评价交通便捷度较好</v>
      </c>
      <c r="C85" s="2977" t="s">
        <v>3113</v>
      </c>
      <c r="D85" s="2978">
        <f t="shared" si="22"/>
        <v>-2.23E-2</v>
      </c>
      <c r="E85" s="2986"/>
      <c r="F85" s="2980"/>
      <c r="G85" s="2981">
        <v>2.23E-2</v>
      </c>
      <c r="H85" s="2982">
        <f t="shared" si="23"/>
        <v>2.23E-2</v>
      </c>
      <c r="I85" s="2983">
        <v>0.3</v>
      </c>
      <c r="J85" s="2984">
        <f t="shared" si="24"/>
        <v>4.4600000000000001E-2</v>
      </c>
      <c r="K85" s="2984">
        <f t="shared" si="25"/>
        <v>2.23E-2</v>
      </c>
      <c r="L85" s="2984">
        <v>0</v>
      </c>
      <c r="M85" s="2984">
        <f t="shared" si="26"/>
        <v>-2.23E-2</v>
      </c>
      <c r="N85" s="2984">
        <f t="shared" si="26"/>
        <v>-4.4600000000000001E-2</v>
      </c>
      <c r="AA85" s="2674"/>
      <c r="AG85" s="1939"/>
    </row>
    <row r="86" spans="1:33" ht="36">
      <c r="A86" s="2988" t="s">
        <v>2840</v>
      </c>
      <c r="B86" s="2985">
        <f>估价对象房地状况!G17</f>
        <v>0</v>
      </c>
      <c r="C86" s="2977" t="s">
        <v>3112</v>
      </c>
      <c r="D86" s="2978">
        <f t="shared" si="22"/>
        <v>7.4000000000000003E-3</v>
      </c>
      <c r="E86" s="2986"/>
      <c r="F86" s="2980"/>
      <c r="G86" s="2981">
        <v>7.4000000000000003E-3</v>
      </c>
      <c r="H86" s="2982">
        <f t="shared" si="23"/>
        <v>7.4000000000000003E-3</v>
      </c>
      <c r="I86" s="2983">
        <v>0.1</v>
      </c>
      <c r="J86" s="2984">
        <f t="shared" si="24"/>
        <v>1.4800000000000001E-2</v>
      </c>
      <c r="K86" s="2984">
        <f t="shared" si="25"/>
        <v>7.4000000000000003E-3</v>
      </c>
      <c r="L86" s="2984">
        <v>0</v>
      </c>
      <c r="M86" s="2984">
        <f t="shared" si="26"/>
        <v>-7.4000000000000003E-3</v>
      </c>
      <c r="N86" s="2984">
        <f t="shared" si="26"/>
        <v>-1.4800000000000001E-2</v>
      </c>
      <c r="AA86" s="2674"/>
      <c r="AG86" s="1939"/>
    </row>
    <row r="87" spans="1:33" ht="14.25">
      <c r="A87" s="2971" t="s">
        <v>2330</v>
      </c>
      <c r="B87" s="2985">
        <f>估价对象房地状况!G22</f>
        <v>0</v>
      </c>
      <c r="C87" s="2977" t="s">
        <v>3113</v>
      </c>
      <c r="D87" s="2978">
        <f t="shared" si="22"/>
        <v>-3.7000000000000002E-3</v>
      </c>
      <c r="E87" s="2986"/>
      <c r="F87" s="2980"/>
      <c r="G87" s="2981">
        <v>3.7000000000000002E-3</v>
      </c>
      <c r="H87" s="2982">
        <f t="shared" si="23"/>
        <v>3.7000000000000002E-3</v>
      </c>
      <c r="I87" s="2983">
        <v>0.05</v>
      </c>
      <c r="J87" s="2984">
        <f t="shared" si="24"/>
        <v>7.4000000000000003E-3</v>
      </c>
      <c r="K87" s="2984">
        <f t="shared" si="25"/>
        <v>3.7000000000000002E-3</v>
      </c>
      <c r="L87" s="2984">
        <v>0</v>
      </c>
      <c r="M87" s="2984">
        <f t="shared" si="26"/>
        <v>-3.7000000000000002E-3</v>
      </c>
      <c r="N87" s="2984">
        <f t="shared" si="26"/>
        <v>-7.4000000000000003E-3</v>
      </c>
      <c r="AA87" s="2674"/>
      <c r="AG87" s="1939"/>
    </row>
    <row r="88" spans="1:33" ht="25.5">
      <c r="A88" s="2971" t="s">
        <v>2323</v>
      </c>
      <c r="B88" s="2992" t="str">
        <f>估价对象房地状况!G19</f>
        <v>估价对象所在区域公共配套设施齐备情况</v>
      </c>
      <c r="C88" s="2977" t="s">
        <v>3123</v>
      </c>
      <c r="D88" s="2978">
        <f t="shared" si="22"/>
        <v>0</v>
      </c>
      <c r="E88" s="2986"/>
      <c r="F88" s="2980"/>
      <c r="G88" s="2981">
        <v>4.4000000000000003E-3</v>
      </c>
      <c r="H88" s="2982">
        <f t="shared" si="23"/>
        <v>4.4000000000000003E-3</v>
      </c>
      <c r="I88" s="2983">
        <v>0.06</v>
      </c>
      <c r="J88" s="2984">
        <f t="shared" si="24"/>
        <v>8.8000000000000005E-3</v>
      </c>
      <c r="K88" s="2984">
        <f t="shared" si="25"/>
        <v>4.4000000000000003E-3</v>
      </c>
      <c r="L88" s="2984">
        <v>0</v>
      </c>
      <c r="M88" s="2984">
        <f t="shared" si="26"/>
        <v>-4.4000000000000003E-3</v>
      </c>
      <c r="N88" s="2984">
        <f t="shared" si="26"/>
        <v>-8.8000000000000005E-3</v>
      </c>
    </row>
    <row r="89" spans="1:33" ht="24">
      <c r="A89" s="2971" t="s">
        <v>2324</v>
      </c>
      <c r="B89" s="2992" t="str">
        <f>估价对象房地状况!G20</f>
        <v>估价对象所在区域基础设施水平</v>
      </c>
      <c r="C89" s="2977" t="s">
        <v>3114</v>
      </c>
      <c r="D89" s="2978">
        <f t="shared" si="22"/>
        <v>1.78E-2</v>
      </c>
      <c r="E89" s="2986"/>
      <c r="F89" s="2980"/>
      <c r="G89" s="2981">
        <v>8.8999999999999999E-3</v>
      </c>
      <c r="H89" s="2982">
        <f t="shared" si="23"/>
        <v>8.8999999999999999E-3</v>
      </c>
      <c r="I89" s="2983">
        <v>0.12</v>
      </c>
      <c r="J89" s="2984">
        <f t="shared" si="24"/>
        <v>1.78E-2</v>
      </c>
      <c r="K89" s="2984">
        <f t="shared" si="25"/>
        <v>8.8999999999999999E-3</v>
      </c>
      <c r="L89" s="2984">
        <v>0</v>
      </c>
      <c r="M89" s="2984">
        <f t="shared" si="26"/>
        <v>-8.8999999999999999E-3</v>
      </c>
      <c r="N89" s="2984">
        <f t="shared" si="26"/>
        <v>-1.78E-2</v>
      </c>
    </row>
    <row r="90" spans="1:33" ht="24">
      <c r="A90" s="2971" t="s">
        <v>2321</v>
      </c>
      <c r="B90" s="2990" t="s">
        <v>2334</v>
      </c>
      <c r="C90" s="2977" t="s">
        <v>3112</v>
      </c>
      <c r="D90" s="2978">
        <f t="shared" si="22"/>
        <v>4.4000000000000003E-3</v>
      </c>
      <c r="E90" s="2986"/>
      <c r="F90" s="2980"/>
      <c r="G90" s="2981">
        <v>4.4000000000000003E-3</v>
      </c>
      <c r="H90" s="2982">
        <f t="shared" si="23"/>
        <v>4.4000000000000003E-3</v>
      </c>
      <c r="I90" s="2983">
        <v>0.06</v>
      </c>
      <c r="J90" s="2984">
        <f t="shared" si="24"/>
        <v>8.8000000000000005E-3</v>
      </c>
      <c r="K90" s="2984">
        <f t="shared" si="25"/>
        <v>4.4000000000000003E-3</v>
      </c>
      <c r="L90" s="2984">
        <v>0</v>
      </c>
      <c r="M90" s="2984">
        <f t="shared" si="26"/>
        <v>-4.4000000000000003E-3</v>
      </c>
      <c r="N90" s="2984">
        <f t="shared" si="26"/>
        <v>-8.8000000000000005E-3</v>
      </c>
    </row>
    <row r="91" spans="1:33" ht="39" thickBot="1">
      <c r="A91" s="2993" t="s">
        <v>2335</v>
      </c>
      <c r="B91" s="3002" t="str">
        <f>估价对象房地状况!G18</f>
        <v>该园区内是否有污染型企业，绿化情况，卫生条件，整体环境状况判断</v>
      </c>
      <c r="C91" s="2977" t="s">
        <v>3112</v>
      </c>
      <c r="D91" s="2978">
        <f t="shared" si="22"/>
        <v>3.7000000000000002E-3</v>
      </c>
      <c r="E91" s="2995"/>
      <c r="F91" s="2980"/>
      <c r="G91" s="2981">
        <v>3.7000000000000002E-3</v>
      </c>
      <c r="H91" s="2982">
        <f t="shared" si="23"/>
        <v>3.7000000000000002E-3</v>
      </c>
      <c r="I91" s="2996">
        <v>0.05</v>
      </c>
      <c r="J91" s="2984">
        <f t="shared" si="24"/>
        <v>7.4000000000000003E-3</v>
      </c>
      <c r="K91" s="2984">
        <f t="shared" si="25"/>
        <v>3.7000000000000002E-3</v>
      </c>
      <c r="L91" s="2984">
        <v>0</v>
      </c>
      <c r="M91" s="2984">
        <f t="shared" si="26"/>
        <v>-3.7000000000000002E-3</v>
      </c>
      <c r="N91" s="2984">
        <f t="shared" si="26"/>
        <v>-7.4000000000000003E-3</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7">IFERROR(ROUNDDOWN($F$62*I94/2,4),"——")</f>
        <v>——</v>
      </c>
      <c r="I94" s="2983">
        <v>0.25</v>
      </c>
      <c r="J94" s="2984">
        <f t="shared" ref="J94:J102" si="28">K94+$G94</f>
        <v>0</v>
      </c>
      <c r="K94" s="2984">
        <f t="shared" ref="K94:K102" si="29">$L94+$G94</f>
        <v>0</v>
      </c>
      <c r="L94" s="2984">
        <v>0</v>
      </c>
      <c r="M94" s="2984">
        <f t="shared" ref="M94:M102" si="30">L94-$G94</f>
        <v>0</v>
      </c>
      <c r="N94" s="2984">
        <f t="shared" ref="N94:N102" si="31">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2">SUMIF($J$61:$N$61,C95,J95:N95)</f>
        <v>0</v>
      </c>
      <c r="E95" s="2986"/>
      <c r="F95" s="2980"/>
      <c r="G95" s="2981"/>
      <c r="H95" s="2982" t="str">
        <f t="shared" si="27"/>
        <v>——</v>
      </c>
      <c r="I95" s="2983">
        <v>0.26</v>
      </c>
      <c r="J95" s="2984">
        <f t="shared" si="28"/>
        <v>0</v>
      </c>
      <c r="K95" s="2984">
        <f t="shared" si="29"/>
        <v>0</v>
      </c>
      <c r="L95" s="2984">
        <v>0</v>
      </c>
      <c r="M95" s="2984">
        <f t="shared" si="30"/>
        <v>0</v>
      </c>
      <c r="N95" s="2984">
        <f t="shared" si="31"/>
        <v>0</v>
      </c>
    </row>
    <row r="96" spans="1:33" s="1939" customFormat="1" ht="36">
      <c r="A96" s="2988" t="s">
        <v>2839</v>
      </c>
      <c r="B96" s="2985">
        <f>估价对象房地状况!C19</f>
        <v>0</v>
      </c>
      <c r="C96" s="2977"/>
      <c r="D96" s="2978">
        <f t="shared" si="32"/>
        <v>0</v>
      </c>
      <c r="E96" s="2986"/>
      <c r="F96" s="2980"/>
      <c r="G96" s="2981"/>
      <c r="H96" s="2982" t="str">
        <f t="shared" si="27"/>
        <v>——</v>
      </c>
      <c r="I96" s="2983">
        <v>0.11</v>
      </c>
      <c r="J96" s="2984">
        <f t="shared" si="28"/>
        <v>0</v>
      </c>
      <c r="K96" s="2984">
        <f t="shared" si="29"/>
        <v>0</v>
      </c>
      <c r="L96" s="2984">
        <v>0</v>
      </c>
      <c r="M96" s="2984">
        <f t="shared" si="30"/>
        <v>0</v>
      </c>
      <c r="N96" s="2984">
        <f t="shared" si="31"/>
        <v>0</v>
      </c>
    </row>
    <row r="97" spans="1:25" s="1939" customFormat="1" ht="36.75">
      <c r="A97" s="2971" t="s">
        <v>2318</v>
      </c>
      <c r="B97" s="2989" t="s">
        <v>2319</v>
      </c>
      <c r="C97" s="2977"/>
      <c r="D97" s="2978">
        <f t="shared" si="32"/>
        <v>0</v>
      </c>
      <c r="E97" s="2986"/>
      <c r="F97" s="2980"/>
      <c r="G97" s="2981"/>
      <c r="H97" s="2982" t="str">
        <f t="shared" si="27"/>
        <v>——</v>
      </c>
      <c r="I97" s="2983">
        <v>0.05</v>
      </c>
      <c r="J97" s="2984">
        <f t="shared" si="28"/>
        <v>0</v>
      </c>
      <c r="K97" s="2984">
        <f t="shared" si="29"/>
        <v>0</v>
      </c>
      <c r="L97" s="2984">
        <v>0</v>
      </c>
      <c r="M97" s="2984">
        <f t="shared" si="30"/>
        <v>0</v>
      </c>
      <c r="N97" s="2984">
        <f t="shared" si="31"/>
        <v>0</v>
      </c>
    </row>
    <row r="98" spans="1:25" s="1939" customFormat="1" ht="24">
      <c r="A98" s="2971" t="s">
        <v>2320</v>
      </c>
      <c r="B98" s="2985">
        <f>估价对象房地状况!C24</f>
        <v>0</v>
      </c>
      <c r="C98" s="2977"/>
      <c r="D98" s="2978">
        <f t="shared" si="32"/>
        <v>0</v>
      </c>
      <c r="E98" s="2986"/>
      <c r="F98" s="2980"/>
      <c r="G98" s="2981"/>
      <c r="H98" s="2982" t="str">
        <f t="shared" si="27"/>
        <v>——</v>
      </c>
      <c r="I98" s="2983">
        <v>0.05</v>
      </c>
      <c r="J98" s="2984">
        <f t="shared" si="28"/>
        <v>0</v>
      </c>
      <c r="K98" s="2984">
        <f t="shared" si="29"/>
        <v>0</v>
      </c>
      <c r="L98" s="2984">
        <v>0</v>
      </c>
      <c r="M98" s="2984">
        <f t="shared" si="30"/>
        <v>0</v>
      </c>
      <c r="N98" s="2984">
        <f t="shared" si="31"/>
        <v>0</v>
      </c>
    </row>
    <row r="99" spans="1:25" s="1939" customFormat="1" ht="24">
      <c r="A99" s="2971" t="s">
        <v>2321</v>
      </c>
      <c r="B99" s="2990" t="s">
        <v>2322</v>
      </c>
      <c r="C99" s="2977"/>
      <c r="D99" s="2978">
        <f t="shared" si="32"/>
        <v>0</v>
      </c>
      <c r="E99" s="2986"/>
      <c r="F99" s="2980"/>
      <c r="G99" s="2981"/>
      <c r="H99" s="2982" t="str">
        <f t="shared" si="27"/>
        <v>——</v>
      </c>
      <c r="I99" s="2983">
        <v>0.06</v>
      </c>
      <c r="J99" s="2984">
        <f t="shared" si="28"/>
        <v>0</v>
      </c>
      <c r="K99" s="2984">
        <f t="shared" si="29"/>
        <v>0</v>
      </c>
      <c r="L99" s="2984">
        <v>0</v>
      </c>
      <c r="M99" s="2984">
        <f t="shared" si="30"/>
        <v>0</v>
      </c>
      <c r="N99" s="2984">
        <f t="shared" si="31"/>
        <v>0</v>
      </c>
    </row>
    <row r="100" spans="1:25" s="1939" customFormat="1" ht="25.5">
      <c r="A100" s="2971" t="s">
        <v>2323</v>
      </c>
      <c r="B100" s="2992" t="str">
        <f>估价对象房地状况!C21</f>
        <v>估价对象所在区域公共配套设施齐备情况</v>
      </c>
      <c r="C100" s="2977"/>
      <c r="D100" s="2978">
        <f t="shared" si="32"/>
        <v>0</v>
      </c>
      <c r="E100" s="2986"/>
      <c r="F100" s="2980"/>
      <c r="G100" s="2981"/>
      <c r="H100" s="2982" t="str">
        <f t="shared" si="27"/>
        <v>——</v>
      </c>
      <c r="I100" s="2983">
        <v>0.06</v>
      </c>
      <c r="J100" s="2984">
        <f t="shared" si="28"/>
        <v>0</v>
      </c>
      <c r="K100" s="2984">
        <f t="shared" si="29"/>
        <v>0</v>
      </c>
      <c r="L100" s="2984">
        <v>0</v>
      </c>
      <c r="M100" s="2984">
        <f t="shared" si="30"/>
        <v>0</v>
      </c>
      <c r="N100" s="2984">
        <f t="shared" si="31"/>
        <v>0</v>
      </c>
    </row>
    <row r="101" spans="1:25" s="1939" customFormat="1" ht="24">
      <c r="A101" s="2971" t="s">
        <v>2324</v>
      </c>
      <c r="B101" s="2992" t="str">
        <f>估价对象房地状况!C22</f>
        <v>估价对象所在区域基础设施水平</v>
      </c>
      <c r="C101" s="2977"/>
      <c r="D101" s="2978">
        <f t="shared" si="32"/>
        <v>0</v>
      </c>
      <c r="E101" s="2986"/>
      <c r="F101" s="2980"/>
      <c r="G101" s="2981"/>
      <c r="H101" s="2982" t="str">
        <f t="shared" si="27"/>
        <v>——</v>
      </c>
      <c r="I101" s="2983">
        <v>0.09</v>
      </c>
      <c r="J101" s="2984">
        <f t="shared" si="28"/>
        <v>0</v>
      </c>
      <c r="K101" s="2984">
        <f t="shared" si="29"/>
        <v>0</v>
      </c>
      <c r="L101" s="2984">
        <v>0</v>
      </c>
      <c r="M101" s="2984">
        <f t="shared" si="30"/>
        <v>0</v>
      </c>
      <c r="N101" s="2984">
        <f t="shared" si="31"/>
        <v>0</v>
      </c>
    </row>
    <row r="102" spans="1:25" s="1939" customFormat="1" ht="26.25" thickBot="1">
      <c r="A102" s="2993" t="s">
        <v>2325</v>
      </c>
      <c r="B102" s="2999" t="str">
        <f>估价对象房地状况!C20</f>
        <v>区域自然环境：；人文环境；综合评价环境状况一般</v>
      </c>
      <c r="C102" s="2977"/>
      <c r="D102" s="2978">
        <f t="shared" si="32"/>
        <v>0</v>
      </c>
      <c r="E102" s="2995"/>
      <c r="F102" s="2980"/>
      <c r="G102" s="2981"/>
      <c r="H102" s="2982" t="str">
        <f t="shared" si="27"/>
        <v>——</v>
      </c>
      <c r="I102" s="2996">
        <v>7.0000000000000007E-2</v>
      </c>
      <c r="J102" s="2984">
        <f t="shared" si="28"/>
        <v>0</v>
      </c>
      <c r="K102" s="2984">
        <f t="shared" si="29"/>
        <v>0</v>
      </c>
      <c r="L102" s="2984">
        <v>0</v>
      </c>
      <c r="M102" s="2984">
        <f t="shared" si="30"/>
        <v>0</v>
      </c>
      <c r="N102" s="2984">
        <f t="shared" si="31"/>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34" t="s">
        <v>2336</v>
      </c>
      <c r="B104" s="3634"/>
      <c r="C104" s="3634"/>
      <c r="D104" s="3634"/>
      <c r="E104" s="3634"/>
      <c r="F104" s="3634"/>
      <c r="G104" s="3634"/>
      <c r="H104" s="3634"/>
      <c r="I104" s="3634"/>
      <c r="J104" s="3634"/>
      <c r="K104" s="3045"/>
      <c r="L104" s="3045"/>
      <c r="M104" s="3045"/>
      <c r="N104" s="3045"/>
    </row>
    <row r="105" spans="1:25">
      <c r="A105" s="3636" t="s">
        <v>2337</v>
      </c>
      <c r="B105" s="3636" t="s">
        <v>2338</v>
      </c>
      <c r="C105" s="3012" t="s">
        <v>2339</v>
      </c>
      <c r="D105" s="3013"/>
      <c r="E105" s="3013"/>
      <c r="F105" s="3013"/>
      <c r="G105" s="3013"/>
      <c r="H105" s="3013"/>
      <c r="I105" s="3013"/>
      <c r="J105" s="3014"/>
      <c r="K105" s="3015"/>
      <c r="L105" s="3015"/>
      <c r="M105" s="3015"/>
      <c r="N105" s="3015"/>
    </row>
    <row r="106" spans="1:25">
      <c r="A106" s="3636"/>
      <c r="B106" s="3636"/>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40"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41"/>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41"/>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41"/>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41"/>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41"/>
      <c r="B112" s="3016" t="s">
        <v>2742</v>
      </c>
      <c r="C112" s="3018">
        <f>$I$3</f>
        <v>0</v>
      </c>
      <c r="D112" s="3018">
        <f t="shared" ref="D112:M112" si="33">$I$3</f>
        <v>0</v>
      </c>
      <c r="E112" s="3018">
        <f t="shared" si="33"/>
        <v>0</v>
      </c>
      <c r="F112" s="3018">
        <f t="shared" si="33"/>
        <v>0</v>
      </c>
      <c r="G112" s="3018">
        <f t="shared" si="33"/>
        <v>0</v>
      </c>
      <c r="H112" s="3018">
        <f t="shared" si="33"/>
        <v>0</v>
      </c>
      <c r="I112" s="3018">
        <f t="shared" si="33"/>
        <v>0</v>
      </c>
      <c r="J112" s="3018">
        <f t="shared" si="33"/>
        <v>0</v>
      </c>
      <c r="K112" s="3018">
        <f t="shared" si="33"/>
        <v>0</v>
      </c>
      <c r="L112" s="3018">
        <f t="shared" si="33"/>
        <v>0</v>
      </c>
      <c r="M112" s="3018">
        <f t="shared" si="33"/>
        <v>0</v>
      </c>
      <c r="N112" s="3018">
        <f>$I$3</f>
        <v>0</v>
      </c>
    </row>
    <row r="113" spans="1:14">
      <c r="A113" s="3642"/>
      <c r="B113" s="3016">
        <v>6</v>
      </c>
      <c r="C113" s="3019">
        <f>(-0.5556*(C112^2)-0.2719*C112+8944)*(10^(-4))</f>
        <v>0.89440000000000008</v>
      </c>
      <c r="D113" s="3019">
        <f>(-0.5556*(D112^2)-0.2719*D112+8944)*(10^(-4))</f>
        <v>0.89440000000000008</v>
      </c>
      <c r="E113" s="3019">
        <f>(-0.7912*(E112^2)-11.3794*E112+8482)*(10^(-4))</f>
        <v>0.84820000000000007</v>
      </c>
      <c r="F113" s="3019">
        <f t="shared" ref="F113:I113" si="34">(-0.7912*(F112^2)-11.3794*F112+8482)*(10^(-4))</f>
        <v>0.84820000000000007</v>
      </c>
      <c r="G113" s="3019">
        <f t="shared" si="34"/>
        <v>0.84820000000000007</v>
      </c>
      <c r="H113" s="3019">
        <f t="shared" si="34"/>
        <v>0.84820000000000007</v>
      </c>
      <c r="I113" s="3019">
        <f t="shared" si="34"/>
        <v>0.84820000000000007</v>
      </c>
      <c r="J113" s="3019">
        <f>(-0.989*(J112^2)-63.78*J112+7771)*(10^(-4))</f>
        <v>0.77710000000000001</v>
      </c>
      <c r="K113" s="3019">
        <f t="shared" ref="K113:N113" si="35">(-0.989*(K112^2)-63.78*K112+7771)*(10^(-4))</f>
        <v>0.77710000000000001</v>
      </c>
      <c r="L113" s="3019">
        <f t="shared" si="35"/>
        <v>0.77710000000000001</v>
      </c>
      <c r="M113" s="3019">
        <f t="shared" si="35"/>
        <v>0.77710000000000001</v>
      </c>
      <c r="N113" s="3019">
        <f t="shared" si="35"/>
        <v>0.77710000000000001</v>
      </c>
    </row>
    <row r="114" spans="1:14">
      <c r="A114" s="3635" t="s">
        <v>2341</v>
      </c>
      <c r="B114" s="3635"/>
      <c r="C114" s="3635"/>
      <c r="D114" s="3635"/>
      <c r="E114" s="3635"/>
      <c r="F114" s="3635"/>
      <c r="G114" s="3635"/>
      <c r="H114" s="3635"/>
      <c r="I114" s="3635"/>
      <c r="J114" s="3635"/>
      <c r="K114" s="3046"/>
      <c r="L114" s="3046"/>
      <c r="M114" s="3046"/>
      <c r="N114" s="3046"/>
    </row>
    <row r="116" spans="1:14" ht="13.5" thickBot="1"/>
    <row r="117" spans="1:14" ht="25.5" thickBot="1">
      <c r="A117" s="3020" t="s">
        <v>2342</v>
      </c>
      <c r="B117" s="3021">
        <f>G3</f>
        <v>1</v>
      </c>
      <c r="C117" s="3022" t="s">
        <v>2343</v>
      </c>
      <c r="D117" s="3023">
        <f>SUMPRODUCT((A119:A123=F117)*(B118:M118=H117)*B119:M123)</f>
        <v>0.57150000000000001</v>
      </c>
      <c r="E117" s="2695" t="s">
        <v>2198</v>
      </c>
      <c r="F117" s="3024" t="str">
        <f>E2</f>
        <v>工业</v>
      </c>
      <c r="G117" s="2695" t="s">
        <v>2199</v>
      </c>
      <c r="H117" s="3024" t="str">
        <f>G2</f>
        <v>九级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0.98580000000000001</v>
      </c>
      <c r="C119" s="3033">
        <f>B119</f>
        <v>0.98580000000000001</v>
      </c>
      <c r="D119" s="3033">
        <f>ROUND(0.949-0.014*B117,4)</f>
        <v>0.93500000000000005</v>
      </c>
      <c r="E119" s="3033">
        <f>D119</f>
        <v>0.93500000000000005</v>
      </c>
      <c r="F119" s="3033">
        <f>E119</f>
        <v>0.93500000000000005</v>
      </c>
      <c r="G119" s="3033">
        <f>F119</f>
        <v>0.93500000000000005</v>
      </c>
      <c r="H119" s="3033">
        <f>G119</f>
        <v>0.93500000000000005</v>
      </c>
      <c r="I119" s="3033">
        <f>ROUND(0.8486-0.018*B117,4)</f>
        <v>0.8306</v>
      </c>
      <c r="J119" s="3033">
        <f t="shared" ref="J119:M122" si="36">I119</f>
        <v>0.8306</v>
      </c>
      <c r="K119" s="3033">
        <f t="shared" si="36"/>
        <v>0.8306</v>
      </c>
      <c r="L119" s="3033">
        <f t="shared" si="36"/>
        <v>0.8306</v>
      </c>
      <c r="M119" s="3034">
        <f t="shared" si="36"/>
        <v>0.8306</v>
      </c>
    </row>
    <row r="120" spans="1:14">
      <c r="A120" s="3032" t="s">
        <v>2255</v>
      </c>
      <c r="B120" s="3033">
        <f>ROUND(0.993-0.0112*B117,4)</f>
        <v>0.98180000000000001</v>
      </c>
      <c r="C120" s="3033">
        <f>B120</f>
        <v>0.98180000000000001</v>
      </c>
      <c r="D120" s="3033">
        <f>ROUND(0.9415-0.0142*B117,4)</f>
        <v>0.92730000000000001</v>
      </c>
      <c r="E120" s="3033">
        <f t="shared" ref="E120:H121" si="37">D120</f>
        <v>0.92730000000000001</v>
      </c>
      <c r="F120" s="3033">
        <f t="shared" si="37"/>
        <v>0.92730000000000001</v>
      </c>
      <c r="G120" s="3033">
        <f t="shared" si="37"/>
        <v>0.92730000000000001</v>
      </c>
      <c r="H120" s="3033">
        <f t="shared" si="37"/>
        <v>0.92730000000000001</v>
      </c>
      <c r="I120" s="3033">
        <f>ROUND(0.838-0.0182*B117,4)</f>
        <v>0.81979999999999997</v>
      </c>
      <c r="J120" s="3033">
        <f t="shared" si="36"/>
        <v>0.81979999999999997</v>
      </c>
      <c r="K120" s="3033">
        <f t="shared" si="36"/>
        <v>0.81979999999999997</v>
      </c>
      <c r="L120" s="3033">
        <f t="shared" si="36"/>
        <v>0.81979999999999997</v>
      </c>
      <c r="M120" s="3034">
        <f t="shared" si="36"/>
        <v>0.81979999999999997</v>
      </c>
    </row>
    <row r="121" spans="1:14">
      <c r="A121" s="3032" t="s">
        <v>2256</v>
      </c>
      <c r="B121" s="3033">
        <f>ROUND(0.9448-0.0115*B117,4)</f>
        <v>0.93330000000000002</v>
      </c>
      <c r="C121" s="3033">
        <f>B121</f>
        <v>0.93330000000000002</v>
      </c>
      <c r="D121" s="3033">
        <f>ROUND(0.937-0.0145*B117,4)</f>
        <v>0.92249999999999999</v>
      </c>
      <c r="E121" s="3033">
        <f t="shared" si="37"/>
        <v>0.92249999999999999</v>
      </c>
      <c r="F121" s="3033">
        <f t="shared" si="37"/>
        <v>0.92249999999999999</v>
      </c>
      <c r="G121" s="3033">
        <f t="shared" si="37"/>
        <v>0.92249999999999999</v>
      </c>
      <c r="H121" s="3033">
        <f t="shared" si="37"/>
        <v>0.92249999999999999</v>
      </c>
      <c r="I121" s="3033">
        <f>ROUND(0.7965-0.0185*B117,4)</f>
        <v>0.77800000000000002</v>
      </c>
      <c r="J121" s="3033">
        <f t="shared" si="36"/>
        <v>0.77800000000000002</v>
      </c>
      <c r="K121" s="3033">
        <f t="shared" si="36"/>
        <v>0.77800000000000002</v>
      </c>
      <c r="L121" s="3033">
        <f t="shared" si="36"/>
        <v>0.77800000000000002</v>
      </c>
      <c r="M121" s="3034">
        <f t="shared" si="36"/>
        <v>0.77800000000000002</v>
      </c>
    </row>
    <row r="122" spans="1:14" ht="13.5" thickBot="1">
      <c r="A122" s="3035" t="s">
        <v>2257</v>
      </c>
      <c r="B122" s="3036">
        <f>ROUND(0.7836-0.012*B117,4)</f>
        <v>0.77159999999999995</v>
      </c>
      <c r="C122" s="3036">
        <f>B122</f>
        <v>0.77159999999999995</v>
      </c>
      <c r="D122" s="3036">
        <f>ROUND(0.753-0.015*B117,4)</f>
        <v>0.73799999999999999</v>
      </c>
      <c r="E122" s="3036">
        <f>D122</f>
        <v>0.73799999999999999</v>
      </c>
      <c r="F122" s="3036">
        <f>E122</f>
        <v>0.73799999999999999</v>
      </c>
      <c r="G122" s="3036">
        <f>ROUND(0.6612-0.018*B117,4)</f>
        <v>0.64319999999999999</v>
      </c>
      <c r="H122" s="3036">
        <f>G122</f>
        <v>0.64319999999999999</v>
      </c>
      <c r="I122" s="3036">
        <f>ROUND(0.5905-0.019*B117,4)</f>
        <v>0.57150000000000001</v>
      </c>
      <c r="J122" s="3036">
        <f t="shared" si="36"/>
        <v>0.57150000000000001</v>
      </c>
      <c r="K122" s="3036">
        <f t="shared" si="36"/>
        <v>0.57150000000000001</v>
      </c>
      <c r="L122" s="3036">
        <f t="shared" si="36"/>
        <v>0.57150000000000001</v>
      </c>
      <c r="M122" s="3037">
        <f t="shared" si="36"/>
        <v>0.57150000000000001</v>
      </c>
    </row>
    <row r="123" spans="1:14">
      <c r="A123" s="3038" t="s">
        <v>2926</v>
      </c>
      <c r="B123" s="3033">
        <f>ROUND(0.9404-0.0106*B117,4)</f>
        <v>0.92979999999999996</v>
      </c>
      <c r="C123" s="3033">
        <f>B123</f>
        <v>0.92979999999999996</v>
      </c>
      <c r="D123" s="3033">
        <f>ROUND(0.8955-0.0135*B117,4)</f>
        <v>0.88200000000000001</v>
      </c>
      <c r="E123" s="3033">
        <f t="shared" ref="E123" si="38">D123</f>
        <v>0.88200000000000001</v>
      </c>
      <c r="F123" s="3033">
        <f t="shared" ref="F123" si="39">E123</f>
        <v>0.88200000000000001</v>
      </c>
      <c r="G123" s="3033">
        <f t="shared" ref="G123" si="40">F123</f>
        <v>0.88200000000000001</v>
      </c>
      <c r="H123" s="3033">
        <f t="shared" ref="H123" si="41">G123</f>
        <v>0.88200000000000001</v>
      </c>
      <c r="I123" s="3033">
        <f>ROUND(0.7632-0.0166*B117,4)</f>
        <v>0.74660000000000004</v>
      </c>
      <c r="J123" s="3033">
        <f t="shared" ref="J123" si="42">I123</f>
        <v>0.74660000000000004</v>
      </c>
      <c r="K123" s="3033">
        <f t="shared" ref="K123" si="43">J123</f>
        <v>0.74660000000000004</v>
      </c>
      <c r="L123" s="3033">
        <f t="shared" ref="L123" si="44">K123</f>
        <v>0.74660000000000004</v>
      </c>
      <c r="M123" s="3034">
        <f t="shared" ref="M123" si="45">L123</f>
        <v>0.74660000000000004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8" priority="7" stopIfTrue="1" operator="notEqual">
      <formula>"——"</formula>
    </cfRule>
  </conditionalFormatting>
  <conditionalFormatting sqref="F62">
    <cfRule type="cellIs" dxfId="7" priority="6" stopIfTrue="1" operator="notEqual">
      <formula>"——"</formula>
    </cfRule>
  </conditionalFormatting>
  <conditionalFormatting sqref="F73">
    <cfRule type="cellIs" dxfId="6" priority="5" stopIfTrue="1" operator="notEqual">
      <formula>"——"</formula>
    </cfRule>
  </conditionalFormatting>
  <conditionalFormatting sqref="F84">
    <cfRule type="cellIs" dxfId="5" priority="4" stopIfTrue="1" operator="notEqual">
      <formula>"——"</formula>
    </cfRule>
  </conditionalFormatting>
  <conditionalFormatting sqref="H51:H59 H62:H70 H73:H81 H84:H91">
    <cfRule type="cellIs" dxfId="4" priority="3"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3" t="s">
        <v>180</v>
      </c>
      <c r="B20" s="3653" t="s">
        <v>2918</v>
      </c>
      <c r="C20" s="2771" t="s">
        <v>2848</v>
      </c>
      <c r="D20" s="2772"/>
      <c r="E20" s="3085">
        <v>1</v>
      </c>
      <c r="F20" s="3086" t="s">
        <v>2854</v>
      </c>
      <c r="G20" s="3086"/>
    </row>
    <row r="21" spans="1:13">
      <c r="A21" s="3644"/>
      <c r="B21" s="3648"/>
      <c r="C21" s="746" t="s">
        <v>2849</v>
      </c>
      <c r="D21" s="747"/>
      <c r="E21" s="3087">
        <v>1</v>
      </c>
      <c r="F21" s="3086" t="s">
        <v>2855</v>
      </c>
      <c r="G21" s="3086"/>
    </row>
    <row r="22" spans="1:13">
      <c r="A22" s="3644"/>
      <c r="B22" s="3648"/>
      <c r="C22" s="746" t="s">
        <v>2850</v>
      </c>
      <c r="D22" s="747"/>
      <c r="E22" s="3087">
        <v>0.9</v>
      </c>
      <c r="F22" s="3086" t="s">
        <v>2856</v>
      </c>
      <c r="G22" s="3086"/>
    </row>
    <row r="23" spans="1:13">
      <c r="A23" s="3644"/>
      <c r="B23" s="3648"/>
      <c r="C23" s="746" t="s">
        <v>2851</v>
      </c>
      <c r="D23" s="747"/>
      <c r="E23" s="3087">
        <v>0.9</v>
      </c>
      <c r="F23" s="3086" t="s">
        <v>2857</v>
      </c>
      <c r="G23" s="3086"/>
    </row>
    <row r="24" spans="1:13">
      <c r="A24" s="3644"/>
      <c r="B24" s="3648"/>
      <c r="C24" s="746" t="s">
        <v>2852</v>
      </c>
      <c r="D24" s="747"/>
      <c r="E24" s="3087">
        <v>0.8</v>
      </c>
      <c r="F24" s="3086" t="s">
        <v>2858</v>
      </c>
      <c r="G24" s="3086"/>
    </row>
    <row r="25" spans="1:13" ht="14.25" thickBot="1">
      <c r="A25" s="3645"/>
      <c r="B25" s="3654"/>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50" t="s">
        <v>2861</v>
      </c>
      <c r="B27" s="3653" t="s">
        <v>2861</v>
      </c>
      <c r="C27" s="2771" t="s">
        <v>2863</v>
      </c>
      <c r="D27" s="2772"/>
      <c r="E27" s="3085">
        <v>1</v>
      </c>
      <c r="F27" s="3086" t="s">
        <v>2876</v>
      </c>
      <c r="G27" s="3086"/>
    </row>
    <row r="28" spans="1:13">
      <c r="A28" s="3651"/>
      <c r="B28" s="3648"/>
      <c r="C28" s="746" t="s">
        <v>2864</v>
      </c>
      <c r="D28" s="747"/>
      <c r="E28" s="3087">
        <v>1</v>
      </c>
      <c r="F28" s="3086" t="s">
        <v>2877</v>
      </c>
      <c r="G28" s="3086"/>
    </row>
    <row r="29" spans="1:13">
      <c r="A29" s="3651"/>
      <c r="B29" s="3648"/>
      <c r="C29" s="746" t="s">
        <v>2865</v>
      </c>
      <c r="D29" s="747"/>
      <c r="E29" s="3087">
        <v>0.8</v>
      </c>
      <c r="F29" s="3086" t="s">
        <v>2878</v>
      </c>
      <c r="G29" s="3086"/>
    </row>
    <row r="30" spans="1:13">
      <c r="A30" s="3651"/>
      <c r="B30" s="3648"/>
      <c r="C30" s="746" t="s">
        <v>2866</v>
      </c>
      <c r="D30" s="747"/>
      <c r="E30" s="3087">
        <v>0.8</v>
      </c>
      <c r="F30" s="3086" t="s">
        <v>2879</v>
      </c>
      <c r="G30" s="3086"/>
    </row>
    <row r="31" spans="1:13">
      <c r="A31" s="3651"/>
      <c r="B31" s="3648"/>
      <c r="C31" s="746" t="s">
        <v>2867</v>
      </c>
      <c r="D31" s="747"/>
      <c r="E31" s="3087">
        <v>0.8</v>
      </c>
      <c r="F31" s="3086" t="s">
        <v>2880</v>
      </c>
      <c r="G31" s="3086"/>
    </row>
    <row r="32" spans="1:13">
      <c r="A32" s="3651"/>
      <c r="B32" s="3648"/>
      <c r="C32" s="746" t="s">
        <v>2868</v>
      </c>
      <c r="D32" s="747"/>
      <c r="E32" s="3087">
        <v>0.7</v>
      </c>
      <c r="F32" s="3086" t="s">
        <v>2881</v>
      </c>
      <c r="G32" s="3086"/>
    </row>
    <row r="33" spans="1:7">
      <c r="A33" s="3651"/>
      <c r="B33" s="3648"/>
      <c r="C33" s="746" t="s">
        <v>2869</v>
      </c>
      <c r="D33" s="747"/>
      <c r="E33" s="3087">
        <v>0.8</v>
      </c>
      <c r="F33" s="3086" t="s">
        <v>2882</v>
      </c>
      <c r="G33" s="3086"/>
    </row>
    <row r="34" spans="1:7">
      <c r="A34" s="3651"/>
      <c r="B34" s="3648"/>
      <c r="C34" s="746" t="s">
        <v>2870</v>
      </c>
      <c r="D34" s="747"/>
      <c r="E34" s="3087">
        <v>0.6</v>
      </c>
      <c r="F34" s="3086" t="s">
        <v>2883</v>
      </c>
      <c r="G34" s="3086"/>
    </row>
    <row r="35" spans="1:7">
      <c r="A35" s="3651"/>
      <c r="B35" s="3648"/>
      <c r="C35" s="746" t="s">
        <v>2871</v>
      </c>
      <c r="D35" s="747"/>
      <c r="E35" s="3087">
        <v>0.2</v>
      </c>
      <c r="F35" s="3086" t="s">
        <v>2884</v>
      </c>
      <c r="G35" s="3086"/>
    </row>
    <row r="36" spans="1:7">
      <c r="A36" s="3651"/>
      <c r="B36" s="3648"/>
      <c r="C36" s="746" t="s">
        <v>2872</v>
      </c>
      <c r="D36" s="747"/>
      <c r="E36" s="3087">
        <v>0.2</v>
      </c>
      <c r="F36" s="3086" t="s">
        <v>2885</v>
      </c>
      <c r="G36" s="3086"/>
    </row>
    <row r="37" spans="1:7">
      <c r="A37" s="3651"/>
      <c r="B37" s="3647" t="s">
        <v>2919</v>
      </c>
      <c r="C37" s="746" t="s">
        <v>2873</v>
      </c>
      <c r="D37" s="747"/>
      <c r="E37" s="3087">
        <v>0.6</v>
      </c>
      <c r="F37" s="3086" t="s">
        <v>2886</v>
      </c>
      <c r="G37" s="3086"/>
    </row>
    <row r="38" spans="1:7">
      <c r="A38" s="3651"/>
      <c r="B38" s="3648"/>
      <c r="C38" s="746" t="s">
        <v>2874</v>
      </c>
      <c r="D38" s="747"/>
      <c r="E38" s="3087">
        <v>0.6</v>
      </c>
      <c r="F38" s="3086" t="s">
        <v>2887</v>
      </c>
      <c r="G38" s="3086"/>
    </row>
    <row r="39" spans="1:7" ht="14.25" thickBot="1">
      <c r="A39" s="3652"/>
      <c r="B39" s="3654"/>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3" t="s">
        <v>182</v>
      </c>
      <c r="B41" s="3653" t="s">
        <v>2915</v>
      </c>
      <c r="C41" s="2771" t="s">
        <v>2891</v>
      </c>
      <c r="D41" s="2772"/>
      <c r="E41" s="3085">
        <v>1</v>
      </c>
      <c r="F41" s="3086" t="s">
        <v>2903</v>
      </c>
      <c r="G41" s="3086"/>
    </row>
    <row r="42" spans="1:7">
      <c r="A42" s="3644"/>
      <c r="B42" s="3648"/>
      <c r="C42" s="746" t="s">
        <v>2892</v>
      </c>
      <c r="D42" s="747"/>
      <c r="E42" s="3087">
        <v>1</v>
      </c>
      <c r="F42" s="3086" t="s">
        <v>2904</v>
      </c>
      <c r="G42" s="3086"/>
    </row>
    <row r="43" spans="1:7">
      <c r="A43" s="3644"/>
      <c r="B43" s="3649"/>
      <c r="C43" s="746" t="s">
        <v>2893</v>
      </c>
      <c r="D43" s="747"/>
      <c r="E43" s="3087">
        <v>1.5</v>
      </c>
      <c r="F43" s="3086" t="s">
        <v>2905</v>
      </c>
      <c r="G43" s="3086"/>
    </row>
    <row r="44" spans="1:7">
      <c r="A44" s="3644"/>
      <c r="B44" s="3092" t="s">
        <v>2916</v>
      </c>
      <c r="C44" s="746" t="s">
        <v>2914</v>
      </c>
      <c r="D44" s="747"/>
      <c r="E44" s="3087">
        <v>2</v>
      </c>
      <c r="F44" s="3086" t="s">
        <v>2906</v>
      </c>
      <c r="G44" s="3086"/>
    </row>
    <row r="45" spans="1:7">
      <c r="A45" s="3644"/>
      <c r="B45" s="3647" t="s">
        <v>2917</v>
      </c>
      <c r="C45" s="746" t="s">
        <v>2894</v>
      </c>
      <c r="D45" s="747"/>
      <c r="E45" s="3087">
        <v>1</v>
      </c>
      <c r="F45" s="3086" t="s">
        <v>2907</v>
      </c>
      <c r="G45" s="3086"/>
    </row>
    <row r="46" spans="1:7">
      <c r="A46" s="3644"/>
      <c r="B46" s="3648"/>
      <c r="C46" s="746" t="s">
        <v>2895</v>
      </c>
      <c r="D46" s="747"/>
      <c r="E46" s="3087">
        <v>1</v>
      </c>
      <c r="F46" s="3086" t="s">
        <v>2908</v>
      </c>
      <c r="G46" s="3086"/>
    </row>
    <row r="47" spans="1:7">
      <c r="A47" s="3644"/>
      <c r="B47" s="3648"/>
      <c r="C47" s="746" t="s">
        <v>2896</v>
      </c>
      <c r="D47" s="747"/>
      <c r="E47" s="3087">
        <v>1</v>
      </c>
      <c r="F47" s="3086" t="s">
        <v>2909</v>
      </c>
      <c r="G47" s="3086"/>
    </row>
    <row r="48" spans="1:7">
      <c r="A48" s="3644"/>
      <c r="B48" s="3648"/>
      <c r="C48" s="746" t="s">
        <v>2897</v>
      </c>
      <c r="D48" s="747"/>
      <c r="E48" s="3087">
        <v>1</v>
      </c>
      <c r="F48" s="3086" t="s">
        <v>2910</v>
      </c>
      <c r="G48" s="3086"/>
    </row>
    <row r="49" spans="1:7">
      <c r="A49" s="3644"/>
      <c r="B49" s="3648"/>
      <c r="C49" s="746" t="s">
        <v>2898</v>
      </c>
      <c r="D49" s="747"/>
      <c r="E49" s="3087">
        <v>1</v>
      </c>
      <c r="F49" s="3086" t="s">
        <v>2911</v>
      </c>
      <c r="G49" s="3086"/>
    </row>
    <row r="50" spans="1:7">
      <c r="A50" s="3644"/>
      <c r="B50" s="3648"/>
      <c r="C50" s="746" t="s">
        <v>2899</v>
      </c>
      <c r="D50" s="747"/>
      <c r="E50" s="3087">
        <v>1</v>
      </c>
      <c r="F50" s="3086" t="s">
        <v>2912</v>
      </c>
      <c r="G50" s="3086"/>
    </row>
    <row r="51" spans="1:7" ht="14.25" thickBot="1">
      <c r="A51" s="3645"/>
      <c r="B51" s="3654"/>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7"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9"/>
      <c r="C89" s="3073" t="s">
        <v>2774</v>
      </c>
      <c r="D89" s="3073" t="s">
        <v>2775</v>
      </c>
      <c r="E89" s="3101">
        <v>0.1</v>
      </c>
      <c r="F89" s="3092">
        <v>15</v>
      </c>
    </row>
    <row r="90" spans="1:6">
      <c r="A90" s="3092">
        <v>18</v>
      </c>
      <c r="B90" s="3647"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9"/>
      <c r="C106" s="3073" t="s">
        <v>2802</v>
      </c>
      <c r="D106" s="3073" t="s">
        <v>2803</v>
      </c>
      <c r="E106" s="3101">
        <v>0.1</v>
      </c>
      <c r="F106" s="3092">
        <v>15</v>
      </c>
    </row>
    <row r="107" spans="1:6" ht="24">
      <c r="A107" s="3092">
        <v>35</v>
      </c>
      <c r="B107" s="3647"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9"/>
      <c r="C112" s="3092" t="s">
        <v>2811</v>
      </c>
      <c r="D112" s="3073" t="s">
        <v>2814</v>
      </c>
      <c r="E112" s="3101">
        <v>0.1</v>
      </c>
      <c r="F112" s="3092">
        <v>15</v>
      </c>
    </row>
    <row r="113" spans="1:6">
      <c r="A113" s="3092">
        <v>41</v>
      </c>
      <c r="B113" s="3646" t="s">
        <v>495</v>
      </c>
      <c r="C113" s="3092" t="s">
        <v>496</v>
      </c>
      <c r="D113" s="3073" t="s">
        <v>497</v>
      </c>
      <c r="E113" s="3101">
        <v>0.1</v>
      </c>
      <c r="F113" s="3092">
        <v>15</v>
      </c>
    </row>
    <row r="114" spans="1:6">
      <c r="A114" s="3092">
        <v>42</v>
      </c>
      <c r="B114" s="3646"/>
      <c r="C114" s="3092" t="s">
        <v>498</v>
      </c>
      <c r="D114" s="3073" t="s">
        <v>499</v>
      </c>
      <c r="E114" s="3101">
        <v>0.1</v>
      </c>
      <c r="F114" s="3092">
        <v>15</v>
      </c>
    </row>
    <row r="115" spans="1:6" ht="24">
      <c r="A115" s="3092">
        <v>43</v>
      </c>
      <c r="B115" s="3646"/>
      <c r="C115" s="3092" t="s">
        <v>2815</v>
      </c>
      <c r="D115" s="3073" t="s">
        <v>2816</v>
      </c>
      <c r="E115" s="3101">
        <v>0.1</v>
      </c>
      <c r="F115" s="3092">
        <v>15</v>
      </c>
    </row>
    <row r="116" spans="1:6">
      <c r="A116" s="3092">
        <v>44</v>
      </c>
      <c r="B116" s="3647" t="s">
        <v>500</v>
      </c>
      <c r="C116" s="3092" t="s">
        <v>2817</v>
      </c>
      <c r="D116" s="3073" t="s">
        <v>2818</v>
      </c>
      <c r="E116" s="3101">
        <v>0.1</v>
      </c>
      <c r="F116" s="3092">
        <v>15</v>
      </c>
    </row>
    <row r="117" spans="1:6" ht="24">
      <c r="A117" s="3092">
        <v>45</v>
      </c>
      <c r="B117" s="3649"/>
      <c r="C117" s="3073" t="s">
        <v>2819</v>
      </c>
      <c r="D117" s="3073" t="s">
        <v>2820</v>
      </c>
      <c r="E117" s="3101">
        <v>0.1</v>
      </c>
      <c r="F117" s="3092">
        <v>15</v>
      </c>
    </row>
    <row r="118" spans="1:6" ht="24">
      <c r="A118" s="3092">
        <v>46</v>
      </c>
      <c r="B118" s="3647" t="s">
        <v>501</v>
      </c>
      <c r="C118" s="3092" t="s">
        <v>2823</v>
      </c>
      <c r="D118" s="3073" t="s">
        <v>2821</v>
      </c>
      <c r="E118" s="3101">
        <v>0.1</v>
      </c>
      <c r="F118" s="3092">
        <v>15</v>
      </c>
    </row>
    <row r="119" spans="1:6" ht="24">
      <c r="A119" s="3092">
        <v>47</v>
      </c>
      <c r="B119" s="3649"/>
      <c r="C119" s="3092" t="s">
        <v>2822</v>
      </c>
      <c r="D119" s="3073" t="s">
        <v>2824</v>
      </c>
      <c r="E119" s="3101">
        <v>0.1</v>
      </c>
      <c r="F119" s="3092">
        <v>15</v>
      </c>
    </row>
    <row r="120" spans="1:6">
      <c r="A120" s="3092">
        <v>48</v>
      </c>
      <c r="B120" s="3647" t="s">
        <v>502</v>
      </c>
      <c r="C120" s="3092" t="s">
        <v>503</v>
      </c>
      <c r="D120" s="3073" t="s">
        <v>504</v>
      </c>
      <c r="E120" s="3101">
        <v>0.1</v>
      </c>
      <c r="F120" s="3092">
        <v>15</v>
      </c>
    </row>
    <row r="121" spans="1:6">
      <c r="A121" s="3092">
        <v>49</v>
      </c>
      <c r="B121" s="3649"/>
      <c r="C121" s="3092" t="s">
        <v>2825</v>
      </c>
      <c r="D121" s="3073" t="s">
        <v>2826</v>
      </c>
      <c r="E121" s="3101">
        <v>0.1</v>
      </c>
      <c r="F121" s="3092">
        <v>15</v>
      </c>
    </row>
    <row r="122" spans="1:6" ht="24">
      <c r="A122" s="3092">
        <v>50</v>
      </c>
      <c r="B122" s="3646" t="s">
        <v>505</v>
      </c>
      <c r="C122" s="3092" t="s">
        <v>506</v>
      </c>
      <c r="D122" s="3073" t="s">
        <v>507</v>
      </c>
      <c r="E122" s="3101">
        <v>0.1</v>
      </c>
      <c r="F122" s="3092">
        <v>15</v>
      </c>
    </row>
    <row r="123" spans="1:6" ht="24">
      <c r="A123" s="3092">
        <v>51</v>
      </c>
      <c r="B123" s="3646"/>
      <c r="C123" s="3092" t="s">
        <v>508</v>
      </c>
      <c r="D123" s="3073" t="s">
        <v>509</v>
      </c>
      <c r="E123" s="3101">
        <v>0.1</v>
      </c>
      <c r="F123" s="3092">
        <v>15</v>
      </c>
    </row>
    <row r="124" spans="1:6" ht="24">
      <c r="A124" s="3092">
        <v>52</v>
      </c>
      <c r="B124" s="3646" t="s">
        <v>510</v>
      </c>
      <c r="C124" s="3092" t="s">
        <v>511</v>
      </c>
      <c r="D124" s="3073" t="s">
        <v>2827</v>
      </c>
      <c r="E124" s="3101">
        <v>0.1</v>
      </c>
      <c r="F124" s="3092">
        <v>15</v>
      </c>
    </row>
    <row r="125" spans="1:6" ht="24">
      <c r="A125" s="3092">
        <v>53</v>
      </c>
      <c r="B125" s="3646"/>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6" t="s">
        <v>518</v>
      </c>
      <c r="C127" s="3092" t="s">
        <v>521</v>
      </c>
      <c r="D127" s="3073" t="s">
        <v>522</v>
      </c>
      <c r="E127" s="3101">
        <v>0.1</v>
      </c>
      <c r="F127" s="3092">
        <v>15</v>
      </c>
    </row>
    <row r="128" spans="1:6">
      <c r="A128" s="3092">
        <v>56</v>
      </c>
      <c r="B128" s="3646"/>
      <c r="C128" s="3092" t="s">
        <v>523</v>
      </c>
      <c r="D128" s="3073" t="s">
        <v>524</v>
      </c>
      <c r="E128" s="3101">
        <v>0.1</v>
      </c>
      <c r="F128" s="3092">
        <v>15</v>
      </c>
    </row>
    <row r="129" spans="1:6" ht="24">
      <c r="A129" s="3092">
        <v>57</v>
      </c>
      <c r="B129" s="3646"/>
      <c r="C129" s="3092" t="s">
        <v>519</v>
      </c>
      <c r="D129" s="3073" t="s">
        <v>520</v>
      </c>
      <c r="E129" s="3101">
        <v>0.1</v>
      </c>
      <c r="F129" s="3092">
        <v>15</v>
      </c>
    </row>
    <row r="130" spans="1:6" ht="24">
      <c r="A130" s="3092">
        <v>58</v>
      </c>
      <c r="B130" s="3646" t="s">
        <v>517</v>
      </c>
      <c r="C130" s="3092" t="s">
        <v>2828</v>
      </c>
      <c r="D130" s="3073" t="s">
        <v>2829</v>
      </c>
      <c r="E130" s="3101">
        <v>0.1</v>
      </c>
      <c r="F130" s="3092">
        <v>15</v>
      </c>
    </row>
    <row r="131" spans="1:6">
      <c r="A131" s="3092">
        <v>59</v>
      </c>
      <c r="B131" s="3646"/>
      <c r="C131" s="3092" t="s">
        <v>2830</v>
      </c>
      <c r="D131" s="3073" t="s">
        <v>2831</v>
      </c>
      <c r="E131" s="3101">
        <v>0.1</v>
      </c>
      <c r="F131" s="3092">
        <v>15</v>
      </c>
    </row>
    <row r="132" spans="1:6">
      <c r="A132" s="3092">
        <v>60</v>
      </c>
      <c r="B132" s="3647" t="s">
        <v>528</v>
      </c>
      <c r="C132" s="3092" t="s">
        <v>529</v>
      </c>
      <c r="D132" s="3073" t="s">
        <v>2834</v>
      </c>
      <c r="E132" s="3101">
        <v>0.1</v>
      </c>
      <c r="F132" s="3092">
        <v>15</v>
      </c>
    </row>
    <row r="133" spans="1:6">
      <c r="A133" s="3092">
        <v>61</v>
      </c>
      <c r="B133" s="3649"/>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6" t="s">
        <v>530</v>
      </c>
      <c r="C135" s="3092" t="s">
        <v>531</v>
      </c>
      <c r="D135" s="3073" t="s">
        <v>2836</v>
      </c>
      <c r="E135" s="3101">
        <v>0.1</v>
      </c>
      <c r="F135" s="3092">
        <v>15</v>
      </c>
    </row>
    <row r="136" spans="1:6">
      <c r="A136" s="3092">
        <v>64</v>
      </c>
      <c r="B136" s="3646"/>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1.2302</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1.1198999999999999</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1501</v>
      </c>
      <c r="C2" s="1940" t="s">
        <v>2357</v>
      </c>
      <c r="D2" s="1940" t="s">
        <v>2358</v>
      </c>
      <c r="E2" s="2291">
        <f ca="1">SUMIF(E6:E13,"&lt;&gt;#ref!",E6:E13)</f>
        <v>17477</v>
      </c>
      <c r="F2" s="2465"/>
      <c r="G2" s="2465"/>
      <c r="H2" s="2465"/>
      <c r="I2" s="2465"/>
      <c r="J2" s="2465"/>
      <c r="K2" s="2465"/>
      <c r="L2" s="2465"/>
      <c r="M2" s="2465"/>
      <c r="N2" s="2465"/>
      <c r="O2" s="2465"/>
      <c r="P2" s="2465"/>
    </row>
    <row r="3" spans="1:16" ht="15.75">
      <c r="A3" s="1940" t="s">
        <v>2359</v>
      </c>
      <c r="B3" s="2281">
        <f ca="1">ROUND(B2*10000/E2,0)</f>
        <v>859</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1501</v>
      </c>
      <c r="C6" s="1940" t="s">
        <v>2357</v>
      </c>
      <c r="D6" s="2465"/>
      <c r="E6" s="2291">
        <f ca="1">SUMIF(INDIRECT("'"&amp;A6&amp;"'"&amp;"!C:C"),"建筑面积",INDIRECT("'"&amp;A6&amp;"'"&amp;"!D:D"))</f>
        <v>17477</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60" t="s">
        <v>694</v>
      </c>
      <c r="C1" s="3660"/>
      <c r="D1" s="3660"/>
      <c r="E1" s="3660"/>
      <c r="F1" s="3660"/>
      <c r="G1" s="3660"/>
      <c r="H1" s="3659" t="s">
        <v>695</v>
      </c>
      <c r="I1" s="3659"/>
      <c r="J1" s="3659"/>
      <c r="K1" s="3659"/>
      <c r="L1" s="3659"/>
      <c r="M1" s="3659"/>
      <c r="N1" s="2809"/>
      <c r="O1" s="3659" t="s">
        <v>696</v>
      </c>
      <c r="P1" s="3659"/>
      <c r="Q1" s="3659"/>
      <c r="R1" s="3659"/>
      <c r="S1" s="2809"/>
      <c r="T1" s="3659" t="s">
        <v>697</v>
      </c>
      <c r="U1" s="3659"/>
      <c r="V1" s="3659"/>
      <c r="W1" s="3659"/>
      <c r="X1" s="2809"/>
      <c r="Y1" s="3658" t="s">
        <v>698</v>
      </c>
      <c r="Z1" s="3659"/>
      <c r="AA1" s="3659"/>
      <c r="AB1" s="3659"/>
      <c r="AC1" s="3659"/>
      <c r="AD1" s="3659"/>
      <c r="AE1" s="2809"/>
      <c r="AF1" s="3658" t="s">
        <v>699</v>
      </c>
      <c r="AG1" s="3659"/>
      <c r="AH1" s="3659"/>
      <c r="AI1" s="3659"/>
      <c r="AJ1" s="3659"/>
      <c r="AK1" s="3659"/>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4">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6">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6"/>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6"/>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5"/>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1">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6"/>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6"/>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5"/>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1">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6"/>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6"/>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7"/>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5">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6"/>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6"/>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7"/>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2">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3"/>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3"/>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4"/>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5">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6"/>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6"/>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7"/>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5">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6">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6">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7">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5">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6">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6">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7">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5">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6">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6">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7">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5">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6">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6">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7">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5">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6">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6">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7">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5">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6">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6">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7">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5">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6">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6">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7">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5">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6">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6">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7">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5">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6">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6">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7">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5">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6">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6">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7">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9" t="s">
        <v>2367</v>
      </c>
      <c r="D1" s="3670"/>
      <c r="E1" s="3670"/>
      <c r="F1" s="3670"/>
      <c r="G1" s="3670"/>
      <c r="H1" s="3670"/>
      <c r="I1" s="3670"/>
      <c r="J1" s="3670"/>
      <c r="K1" s="3670"/>
      <c r="L1" s="3670"/>
      <c r="M1" s="3670"/>
      <c r="N1" s="3670"/>
      <c r="O1" s="3670"/>
      <c r="P1" s="3670"/>
      <c r="Q1" s="3670"/>
      <c r="R1" s="3670"/>
      <c r="S1" s="3671"/>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6" t="s">
        <v>33</v>
      </c>
      <c r="D22" s="3667"/>
      <c r="E22" s="3667"/>
      <c r="F22" s="3667"/>
      <c r="G22" s="3667"/>
      <c r="H22" s="3667"/>
      <c r="I22" s="3667"/>
      <c r="J22" s="3667"/>
      <c r="K22" s="3667"/>
      <c r="L22" s="3667"/>
      <c r="M22" s="3667"/>
      <c r="N22" s="3667"/>
      <c r="O22" s="3667"/>
      <c r="P22" s="3667"/>
      <c r="Q22" s="3668"/>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8">
      <c r="A3" s="3343" t="str">
        <f>IF(项目基本情况!B9="房地产市场价值","估价结果一览表（市场价值不需“结果表-1”）","估价结果一览表")</f>
        <v>估价结果一览表</v>
      </c>
      <c r="B3" s="3343"/>
      <c r="C3" s="3343"/>
      <c r="D3" s="3343"/>
      <c r="E3" s="3343"/>
    </row>
    <row r="4" spans="1:5" ht="19.5" thickBot="1">
      <c r="A4" s="1432"/>
      <c r="B4" s="3341" t="s">
        <v>1158</v>
      </c>
      <c r="C4" s="3341"/>
      <c r="D4" s="3341"/>
      <c r="E4" s="1432"/>
    </row>
    <row r="5" spans="1:5" ht="16.5" thickTop="1">
      <c r="A5" s="1430"/>
      <c r="B5" s="3339" t="s">
        <v>1150</v>
      </c>
      <c r="C5" s="1433" t="s">
        <v>1151</v>
      </c>
      <c r="D5" s="823" t="e">
        <f ca="1">结果表!H101</f>
        <v>#REF!</v>
      </c>
      <c r="E5" s="1430"/>
    </row>
    <row r="6" spans="1:5" ht="15.75">
      <c r="A6" s="1430"/>
      <c r="B6" s="3339"/>
      <c r="C6" s="1433" t="s">
        <v>1152</v>
      </c>
      <c r="D6" s="823" t="e">
        <f ca="1">NUMBERSTRING(INT(D5*10000),2)&amp;"元整"</f>
        <v>#REF!</v>
      </c>
      <c r="E6" s="1430"/>
    </row>
    <row r="7" spans="1:5" ht="15.75">
      <c r="A7" s="1430"/>
      <c r="B7" s="3344"/>
      <c r="C7" s="1434" t="s">
        <v>1153</v>
      </c>
      <c r="D7" s="824" t="e">
        <f ca="1">结果表!H102</f>
        <v>#REF!</v>
      </c>
      <c r="E7" s="1430"/>
    </row>
    <row r="8" spans="1:5" ht="15.75">
      <c r="A8" s="1430"/>
      <c r="B8" s="3345" t="str">
        <f>结果表!E103</f>
        <v>2.估价师知悉的法定优先受偿款</v>
      </c>
      <c r="C8" s="1435" t="s">
        <v>1154</v>
      </c>
      <c r="D8" s="824">
        <f>结果表!H103</f>
        <v>0</v>
      </c>
      <c r="E8" s="1430"/>
    </row>
    <row r="9" spans="1:5" ht="15.75">
      <c r="A9" s="1430"/>
      <c r="B9" s="3347"/>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8" t="str">
        <f>结果表!E107</f>
        <v>3.房地产抵押价值</v>
      </c>
      <c r="C13" s="1438" t="s">
        <v>1151</v>
      </c>
      <c r="D13" s="826" t="e">
        <f ca="1">结果表!H107</f>
        <v>#REF!</v>
      </c>
      <c r="E13" s="1430"/>
    </row>
    <row r="14" spans="1:5" ht="15.75">
      <c r="A14" s="1430"/>
      <c r="B14" s="3339"/>
      <c r="C14" s="1433" t="s">
        <v>1152</v>
      </c>
      <c r="D14" s="823" t="e">
        <f ca="1">NUMBERSTRING(INT(D13*10000),2)&amp;"元整"</f>
        <v>#REF!</v>
      </c>
      <c r="E14" s="1430"/>
    </row>
    <row r="15" spans="1:5" ht="15">
      <c r="A15" s="1430"/>
      <c r="B15" s="3344"/>
      <c r="C15" s="1434" t="s">
        <v>1162</v>
      </c>
      <c r="D15" s="832" t="e">
        <f ca="1">结果表!H108</f>
        <v>#REF!</v>
      </c>
      <c r="E15" s="1430"/>
    </row>
    <row r="16" spans="1:5" ht="15">
      <c r="A16" s="1430"/>
      <c r="B16" s="3345" t="str">
        <f>结果表!E109</f>
        <v>——</v>
      </c>
      <c r="C16" s="1438" t="s">
        <v>1163</v>
      </c>
      <c r="D16" s="1439" t="str">
        <f>结果表!H109</f>
        <v>——</v>
      </c>
      <c r="E16" s="1430"/>
    </row>
    <row r="17" spans="1:5" ht="15.75">
      <c r="A17" s="1430"/>
      <c r="B17" s="3346"/>
      <c r="C17" s="1433" t="s">
        <v>1164</v>
      </c>
      <c r="D17" s="823" t="e">
        <f>NUMBERSTRING(INT(D16*10000),2)&amp;"元整"</f>
        <v>#VALUE!</v>
      </c>
      <c r="E17" s="1430"/>
    </row>
    <row r="18" spans="1:5" ht="15">
      <c r="A18" s="1430"/>
      <c r="B18" s="3347"/>
      <c r="C18" s="1434" t="s">
        <v>1153</v>
      </c>
      <c r="D18" s="832" t="str">
        <f>结果表!H110</f>
        <v>——</v>
      </c>
      <c r="E18" s="1430"/>
    </row>
    <row r="19" spans="1:5" ht="15.75">
      <c r="A19" s="1430"/>
      <c r="B19" s="3338" t="str">
        <f>结果表!E111</f>
        <v>——</v>
      </c>
      <c r="C19" s="1438" t="s">
        <v>1151</v>
      </c>
      <c r="D19" s="824" t="str">
        <f>结果表!H111</f>
        <v>——</v>
      </c>
      <c r="E19" s="1430"/>
    </row>
    <row r="20" spans="1:5" ht="15.75">
      <c r="A20" s="1430"/>
      <c r="B20" s="3339"/>
      <c r="C20" s="1433" t="s">
        <v>1164</v>
      </c>
      <c r="D20" s="823" t="e">
        <f>NUMBERSTRING(INT(D19*10000),2)&amp;"元整"</f>
        <v>#VALUE!</v>
      </c>
      <c r="E20" s="1430"/>
    </row>
    <row r="21" spans="1:5" ht="15.75" thickBot="1">
      <c r="A21" s="1430"/>
      <c r="B21" s="3340"/>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6" t="s">
        <v>121</v>
      </c>
    </row>
    <row r="43" spans="1:7" ht="13.5" customHeight="1">
      <c r="A43" s="753" t="s">
        <v>579</v>
      </c>
      <c r="B43" s="216" t="s">
        <v>668</v>
      </c>
      <c r="C43" s="239" t="e">
        <f ca="1">ROUND(IF('数据-取费表'!B22&lt;=1,C39*F22*'数据-取费表'!B21/2,C39*(POWER((1+F22),'数据-取费表'!B21/2)-1)),0)</f>
        <v>#VALUE!</v>
      </c>
      <c r="D43" s="239"/>
      <c r="E43" s="239"/>
      <c r="F43" s="240"/>
      <c r="G43" s="3527"/>
    </row>
    <row r="44" spans="1:7" ht="13.5" customHeight="1">
      <c r="A44" s="753" t="s">
        <v>580</v>
      </c>
      <c r="B44" s="216" t="s">
        <v>670</v>
      </c>
      <c r="C44" s="239" t="e">
        <f ca="1">ROUND(IF('数据-取费表'!B22&lt;=1,C40*F22*'数据-取费表'!B21/2,C40*(POWER((1+F22),'数据-取费表'!B21/2)-1)),4)</f>
        <v>#VALUE!</v>
      </c>
      <c r="D44" s="239"/>
      <c r="E44" s="239"/>
      <c r="F44" s="240"/>
      <c r="G44" s="3528"/>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2" t="s">
        <v>3064</v>
      </c>
      <c r="B1" s="3672"/>
      <c r="C1" s="3672"/>
      <c r="D1" s="3672"/>
      <c r="E1" s="3672"/>
      <c r="F1" s="3672"/>
      <c r="G1" s="3673"/>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4"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5"/>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6" t="s">
        <v>625</v>
      </c>
      <c r="B1" s="3676"/>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44725</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c r="A1" s="3677" t="s">
        <v>2731</v>
      </c>
      <c r="B1" s="3677"/>
      <c r="C1" s="3677"/>
      <c r="D1" s="3677"/>
      <c r="E1" s="3677"/>
      <c r="F1" s="3678"/>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7" t="str">
        <f>IF(项目基本情况!B9="房地产市场价值","估价结果一览表","结果表-2")</f>
        <v>结果表-2</v>
      </c>
      <c r="B1" s="3357"/>
      <c r="C1" s="3357"/>
      <c r="D1" s="3357"/>
      <c r="E1" s="3357"/>
      <c r="F1" s="3357"/>
      <c r="G1" s="3357"/>
      <c r="H1" s="3357"/>
      <c r="I1" s="3357"/>
    </row>
    <row r="2" spans="1:9" ht="30" customHeight="1" thickTop="1">
      <c r="A2" s="3358" t="s">
        <v>1169</v>
      </c>
      <c r="B2" s="3358" t="s">
        <v>1170</v>
      </c>
      <c r="C2" s="3358" t="s">
        <v>1171</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spans="1:9" ht="15">
      <c r="A3" s="3352"/>
      <c r="B3" s="3352"/>
      <c r="C3" s="3352"/>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2" t="s">
        <v>1168</v>
      </c>
      <c r="B5" s="3352"/>
      <c r="C5" s="3352"/>
      <c r="D5" s="3353" t="e">
        <f ca="1">结果表!D119</f>
        <v>#REF!</v>
      </c>
      <c r="E5" s="3353"/>
      <c r="F5" s="3353" t="e">
        <f ca="1">结果表!F119</f>
        <v>#REF!</v>
      </c>
      <c r="G5" s="3353"/>
      <c r="H5" s="3353" t="e">
        <f ca="1">结果表!H119</f>
        <v>#REF!</v>
      </c>
      <c r="I5" s="3353"/>
    </row>
    <row r="6" spans="1:9" ht="15.75">
      <c r="A6" s="3351" t="str">
        <f>结果表!A120</f>
        <v>估价师知悉的法定优先受偿款</v>
      </c>
      <c r="B6" s="3351"/>
      <c r="C6" s="3351"/>
      <c r="D6" s="3351">
        <f>结果表!D120</f>
        <v>0</v>
      </c>
      <c r="E6" s="3351"/>
      <c r="F6" s="3351"/>
      <c r="G6" s="3351"/>
      <c r="H6" s="3351"/>
      <c r="I6" s="3351"/>
    </row>
    <row r="7" spans="1:9" ht="15">
      <c r="A7" s="3352" t="s">
        <v>1168</v>
      </c>
      <c r="B7" s="3352"/>
      <c r="C7" s="3352"/>
      <c r="D7" s="3354" t="str">
        <f>结果表!D121</f>
        <v>零元整</v>
      </c>
      <c r="E7" s="3355"/>
      <c r="F7" s="3355"/>
      <c r="G7" s="3355"/>
      <c r="H7" s="3355"/>
      <c r="I7" s="3356"/>
    </row>
    <row r="8" spans="1:9" ht="15.75">
      <c r="A8" s="3351" t="str">
        <f>结果表!A122</f>
        <v>房地产抵押价值</v>
      </c>
      <c r="B8" s="3351"/>
      <c r="C8" s="3351"/>
      <c r="D8" s="3351" t="e">
        <f ca="1">结果表!D122</f>
        <v>#REF!</v>
      </c>
      <c r="E8" s="3351"/>
      <c r="F8" s="3351"/>
      <c r="G8" s="3351"/>
      <c r="H8" s="3351"/>
      <c r="I8" s="3351"/>
    </row>
    <row r="9" spans="1:9" ht="15">
      <c r="A9" s="3352" t="s">
        <v>1168</v>
      </c>
      <c r="B9" s="3352"/>
      <c r="C9" s="3352"/>
      <c r="D9" s="3353" t="e">
        <f ca="1">结果表!D123</f>
        <v>#REF!</v>
      </c>
      <c r="E9" s="3353"/>
      <c r="F9" s="3353"/>
      <c r="G9" s="3353"/>
      <c r="H9" s="3353"/>
      <c r="I9" s="3353"/>
    </row>
    <row r="10" spans="1:9" ht="15.75">
      <c r="A10" s="3351" t="str">
        <f>结果表!A124</f>
        <v/>
      </c>
      <c r="B10" s="3351"/>
      <c r="C10" s="3351"/>
      <c r="D10" s="3351" t="str">
        <f>结果表!D124</f>
        <v>——</v>
      </c>
      <c r="E10" s="3351"/>
      <c r="F10" s="3351"/>
      <c r="G10" s="3351"/>
      <c r="H10" s="3351"/>
      <c r="I10" s="3351"/>
    </row>
    <row r="11" spans="1:9" ht="15">
      <c r="A11" s="3352" t="s">
        <v>1168</v>
      </c>
      <c r="B11" s="3352"/>
      <c r="C11" s="3352"/>
      <c r="D11" s="3353" t="e">
        <f>结果表!D125</f>
        <v>#VALUE!</v>
      </c>
      <c r="E11" s="3353"/>
      <c r="F11" s="3353"/>
      <c r="G11" s="3353"/>
      <c r="H11" s="3353"/>
      <c r="I11" s="3353"/>
    </row>
    <row r="12" spans="1:9" ht="15.75">
      <c r="A12" s="3351" t="str">
        <f>结果表!A126</f>
        <v/>
      </c>
      <c r="B12" s="3351"/>
      <c r="C12" s="3351"/>
      <c r="D12" s="3351" t="str">
        <f>结果表!D126</f>
        <v>——</v>
      </c>
      <c r="E12" s="3351"/>
      <c r="F12" s="3351"/>
      <c r="G12" s="3351"/>
      <c r="H12" s="3351"/>
      <c r="I12" s="3351"/>
    </row>
    <row r="13" spans="1:9" ht="15.75" thickBot="1">
      <c r="A13" s="3348" t="s">
        <v>1168</v>
      </c>
      <c r="B13" s="3348"/>
      <c r="C13" s="3348"/>
      <c r="D13" s="3349" t="e">
        <f>结果表!D127</f>
        <v>#VALUE!</v>
      </c>
      <c r="E13" s="3349"/>
      <c r="F13" s="3349"/>
      <c r="G13" s="3349"/>
      <c r="H13" s="3349"/>
      <c r="I13" s="3349"/>
    </row>
    <row r="14" spans="1:9" ht="15" thickTop="1">
      <c r="A14" s="3350" t="s">
        <v>1173</v>
      </c>
      <c r="B14" s="3350"/>
      <c r="C14" s="3350"/>
      <c r="D14" s="3350"/>
      <c r="E14" s="3350"/>
      <c r="F14" s="3350"/>
      <c r="G14" s="3350"/>
      <c r="H14" s="3350"/>
      <c r="I14" s="3350"/>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5" t="s">
        <v>1190</v>
      </c>
      <c r="B1" s="3365"/>
      <c r="C1" s="3365"/>
      <c r="D1" s="3365"/>
    </row>
    <row r="2" spans="1:4" ht="18">
      <c r="A2" s="3366" t="s">
        <v>1174</v>
      </c>
      <c r="B2" s="3366"/>
      <c r="C2" s="3366"/>
      <c r="D2" s="3366"/>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6" t="s">
        <v>1180</v>
      </c>
      <c r="B6" s="3366"/>
      <c r="C6" s="3366"/>
      <c r="D6" s="3366"/>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7" t="s">
        <v>1183</v>
      </c>
      <c r="B11" s="3359"/>
      <c r="C11" s="3359"/>
      <c r="D11" s="3359"/>
    </row>
    <row r="12" spans="1:4" ht="15.75">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spans="1:4" ht="30" customHeight="1">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spans="1:4" ht="15.75" customHeight="1">
      <c r="A14" s="3359" t="str">
        <f>IF(项目基本情况!B8="抵押","4.本次评估估价师所知悉的法定优先受偿款情况说明如下：","——")</f>
        <v>4.本次评估估价师所知悉的法定优先受偿款情况说明如下：</v>
      </c>
      <c r="B14" s="3364"/>
      <c r="C14" s="3364"/>
      <c r="D14" s="3364"/>
    </row>
    <row r="15" spans="1:4" ht="42" customHeight="1">
      <c r="A15" s="33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spans="1:4" ht="30" customHeight="1">
      <c r="A16" s="3361" t="s">
        <v>1184</v>
      </c>
      <c r="B16" s="3361"/>
      <c r="C16" s="3361"/>
      <c r="D16" s="3361"/>
    </row>
    <row r="17" spans="1:4" ht="144" customHeight="1">
      <c r="A17" s="3361" t="s">
        <v>1185</v>
      </c>
      <c r="B17" s="3361"/>
      <c r="C17" s="3361"/>
      <c r="D17" s="3361"/>
    </row>
    <row r="18" spans="1:4" ht="15.75" customHeight="1">
      <c r="A18" s="3359" t="str">
        <f>IF(项目基本情况!B8="抵押",结果表!K120,"——")</f>
        <v>故，本次评估不存在估价师知悉的法定优先受偿款</v>
      </c>
      <c r="B18" s="3359"/>
      <c r="C18" s="3359"/>
      <c r="D18" s="3359"/>
    </row>
    <row r="19" spans="1:4" ht="46.5" customHeight="1">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spans="1:4" ht="57.75" customHeight="1">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2"/>
      <c r="C21" s="3362"/>
      <c r="D21" s="3362"/>
    </row>
    <row r="22" spans="1:4" ht="18.75" customHeight="1">
      <c r="A22" s="3363" t="s">
        <v>1186</v>
      </c>
      <c r="B22" s="3363"/>
      <c r="C22" s="3363"/>
      <c r="D22" s="3363"/>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0">
        <v>42551</v>
      </c>
      <c r="D31" s="33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3" t="s">
        <v>1197</v>
      </c>
      <c r="B15" s="3368" t="s">
        <v>136</v>
      </c>
      <c r="C15" s="3369"/>
    </row>
    <row r="16" spans="1:7" ht="13.5">
      <c r="A16" s="3374"/>
      <c r="B16" s="3368" t="s">
        <v>69</v>
      </c>
      <c r="C16" s="3369"/>
    </row>
    <row r="17" spans="1:3" ht="13.5">
      <c r="A17" s="3374"/>
      <c r="B17" s="3371" t="s">
        <v>1198</v>
      </c>
      <c r="C17" s="1471" t="s">
        <v>1197</v>
      </c>
    </row>
    <row r="18" spans="1:3" ht="13.5">
      <c r="A18" s="3374"/>
      <c r="B18" s="3371"/>
      <c r="C18" s="1471" t="s">
        <v>1199</v>
      </c>
    </row>
    <row r="19" spans="1:3" ht="13.5">
      <c r="A19" s="3374"/>
      <c r="B19" s="3371"/>
      <c r="C19" s="1471" t="s">
        <v>1200</v>
      </c>
    </row>
    <row r="20" spans="1:3" ht="13.5">
      <c r="A20" s="3375"/>
      <c r="B20" s="3370" t="s">
        <v>1201</v>
      </c>
      <c r="C20" s="3369"/>
    </row>
    <row r="21" spans="1:3" ht="13.5">
      <c r="A21" s="1472" t="s">
        <v>1202</v>
      </c>
      <c r="B21" s="1473"/>
      <c r="C21" s="1474"/>
    </row>
    <row r="22" spans="1:3" ht="13.5">
      <c r="A22" s="3372" t="s">
        <v>1203</v>
      </c>
      <c r="B22" s="3370" t="s">
        <v>1204</v>
      </c>
      <c r="C22" s="3369"/>
    </row>
    <row r="23" spans="1:3" ht="13.5">
      <c r="A23" s="3372"/>
      <c r="B23" s="3370" t="s">
        <v>1205</v>
      </c>
      <c r="C23" s="3369"/>
    </row>
    <row r="24" spans="1:3" ht="13.5">
      <c r="A24" s="3372"/>
      <c r="B24" s="3370" t="s">
        <v>1206</v>
      </c>
      <c r="C24" s="3369"/>
    </row>
    <row r="25" spans="1:3" ht="13.5">
      <c r="A25" s="3372"/>
      <c r="B25" s="3371" t="s">
        <v>1207</v>
      </c>
      <c r="C25" s="1471" t="s">
        <v>1208</v>
      </c>
    </row>
    <row r="26" spans="1:3" ht="13.5">
      <c r="A26" s="3372"/>
      <c r="B26" s="3371"/>
      <c r="C26" s="1471" t="s">
        <v>1209</v>
      </c>
    </row>
    <row r="27" spans="1:3" ht="13.5">
      <c r="A27" s="3372"/>
      <c r="B27" s="3371"/>
      <c r="C27" s="1471" t="s">
        <v>1210</v>
      </c>
    </row>
    <row r="28" spans="1:3" ht="13.5">
      <c r="A28" s="3372"/>
      <c r="B28" s="3371"/>
      <c r="C28" s="1471" t="s">
        <v>1211</v>
      </c>
    </row>
    <row r="29" spans="1:3" ht="13.5">
      <c r="A29" s="3372"/>
      <c r="B29" s="3371"/>
      <c r="C29" s="1471" t="s">
        <v>1212</v>
      </c>
    </row>
    <row r="30" spans="1:3" ht="13.5">
      <c r="A30" s="3372"/>
      <c r="B30" s="3371"/>
      <c r="C30" s="1471" t="s">
        <v>1213</v>
      </c>
    </row>
    <row r="31" spans="1:3" ht="13.5">
      <c r="A31" s="3372"/>
      <c r="B31" s="3371"/>
      <c r="C31" s="1471" t="s">
        <v>1214</v>
      </c>
    </row>
    <row r="32" spans="1:3" ht="13.5">
      <c r="A32" s="3372"/>
      <c r="B32" s="3371"/>
      <c r="C32" s="1471" t="s">
        <v>1215</v>
      </c>
    </row>
    <row r="33" spans="1:3" ht="13.5">
      <c r="A33" s="3372"/>
      <c r="B33" s="3371"/>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44729</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6" t="s">
        <v>2443</v>
      </c>
      <c r="B17" s="3376"/>
      <c r="C17" s="3376"/>
      <c r="D17" s="3376"/>
      <c r="E17" s="3376"/>
      <c r="F17" s="3376"/>
      <c r="G17" s="3376"/>
      <c r="H17" s="3376"/>
    </row>
    <row r="18" spans="1:8" ht="24" customHeight="1">
      <c r="A18" s="3377" t="s">
        <v>2444</v>
      </c>
      <c r="B18" s="3377"/>
      <c r="C18" s="3377"/>
      <c r="D18" s="2019"/>
      <c r="E18" s="3378" t="s">
        <v>2445</v>
      </c>
      <c r="F18" s="3377"/>
      <c r="G18" s="3377"/>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3" priority="51">
      <formula>AND($C4-TODAY()&lt;30,TODAY()&lt;$C4)</formula>
    </cfRule>
  </conditionalFormatting>
  <conditionalFormatting sqref="C20:D20">
    <cfRule type="expression" dxfId="232" priority="50">
      <formula>AND($C20-TODAY()&lt;30,TODAY()&lt;$C20)</formula>
    </cfRule>
  </conditionalFormatting>
  <conditionalFormatting sqref="C20:D20 G4 C4:D5 C13:D13">
    <cfRule type="cellIs" dxfId="231" priority="52" stopIfTrue="1" operator="lessThan">
      <formula>$B$2</formula>
    </cfRule>
  </conditionalFormatting>
  <conditionalFormatting sqref="G5 G7 G9">
    <cfRule type="cellIs" dxfId="230" priority="49" stopIfTrue="1" operator="lessThan">
      <formula>$B$2</formula>
    </cfRule>
  </conditionalFormatting>
  <conditionalFormatting sqref="C6:D6 D14 D16">
    <cfRule type="expression" dxfId="229" priority="47">
      <formula>AND($C6-TODAY()&lt;30,TODAY()&lt;$C6)</formula>
    </cfRule>
  </conditionalFormatting>
  <conditionalFormatting sqref="G6 G8 G10 C6:D6 D7:D12 D14 D16">
    <cfRule type="cellIs" dxfId="228" priority="48" stopIfTrue="1" operator="lessThan">
      <formula>$B$2</formula>
    </cfRule>
  </conditionalFormatting>
  <conditionalFormatting sqref="D12">
    <cfRule type="expression" dxfId="227" priority="45">
      <formula>AND($C12-TODAY()&lt;30,TODAY()&lt;$C12)</formula>
    </cfRule>
  </conditionalFormatting>
  <conditionalFormatting sqref="D12">
    <cfRule type="cellIs" dxfId="226" priority="46" stopIfTrue="1" operator="lessThan">
      <formula>$B$2</formula>
    </cfRule>
  </conditionalFormatting>
  <conditionalFormatting sqref="C13:D13">
    <cfRule type="expression" dxfId="225" priority="43">
      <formula>AND($C13-TODAY()&lt;30,TODAY()&lt;$C13)</formula>
    </cfRule>
  </conditionalFormatting>
  <conditionalFormatting sqref="C13:D13">
    <cfRule type="cellIs" dxfId="224" priority="44" stopIfTrue="1" operator="lessThan">
      <formula>$B$2</formula>
    </cfRule>
  </conditionalFormatting>
  <conditionalFormatting sqref="D14">
    <cfRule type="expression" dxfId="223" priority="41">
      <formula>AND($C14-TODAY()&lt;30,TODAY()&lt;$C14)</formula>
    </cfRule>
  </conditionalFormatting>
  <conditionalFormatting sqref="D14">
    <cfRule type="cellIs" dxfId="222" priority="42" stopIfTrue="1" operator="lessThan">
      <formula>$B$2</formula>
    </cfRule>
  </conditionalFormatting>
  <conditionalFormatting sqref="G13">
    <cfRule type="cellIs" dxfId="221" priority="40" stopIfTrue="1" operator="lessThan">
      <formula>$B$2</formula>
    </cfRule>
  </conditionalFormatting>
  <conditionalFormatting sqref="B4:B11 F4:F11 B13 F13:F14">
    <cfRule type="cellIs" dxfId="220" priority="39" stopIfTrue="1" operator="equal">
      <formula>"已过期"</formula>
    </cfRule>
  </conditionalFormatting>
  <conditionalFormatting sqref="G20">
    <cfRule type="expression" dxfId="219" priority="37">
      <formula>AND($E20-TODAY()&lt;30,TODAY()&lt;$E20)</formula>
    </cfRule>
  </conditionalFormatting>
  <conditionalFormatting sqref="G20">
    <cfRule type="cellIs" dxfId="218" priority="38" stopIfTrue="1" operator="lessThan">
      <formula>$B$2</formula>
    </cfRule>
  </conditionalFormatting>
  <conditionalFormatting sqref="C7">
    <cfRule type="expression" dxfId="217" priority="35">
      <formula>AND($C7-TODAY()&lt;30,TODAY()&lt;$C7)</formula>
    </cfRule>
  </conditionalFormatting>
  <conditionalFormatting sqref="C7">
    <cfRule type="cellIs" dxfId="216" priority="36" stopIfTrue="1" operator="lessThan">
      <formula>$B$2</formula>
    </cfRule>
  </conditionalFormatting>
  <conditionalFormatting sqref="C8">
    <cfRule type="expression" dxfId="215" priority="33">
      <formula>AND($C8-TODAY()&lt;30,TODAY()&lt;$C8)</formula>
    </cfRule>
  </conditionalFormatting>
  <conditionalFormatting sqref="C8">
    <cfRule type="cellIs" dxfId="214" priority="34" stopIfTrue="1" operator="lessThan">
      <formula>$B$2</formula>
    </cfRule>
  </conditionalFormatting>
  <conditionalFormatting sqref="C11">
    <cfRule type="expression" dxfId="213" priority="31">
      <formula>AND($C11-TODAY()&lt;30,TODAY()&lt;$C11)</formula>
    </cfRule>
  </conditionalFormatting>
  <conditionalFormatting sqref="C11">
    <cfRule type="cellIs" dxfId="212" priority="32" stopIfTrue="1" operator="lessThan">
      <formula>$B$2</formula>
    </cfRule>
  </conditionalFormatting>
  <conditionalFormatting sqref="A16:C16">
    <cfRule type="cellIs" dxfId="211" priority="30" stopIfTrue="1" operator="equal">
      <formula>"已过期"</formula>
    </cfRule>
  </conditionalFormatting>
  <conditionalFormatting sqref="E16:G16">
    <cfRule type="cellIs" dxfId="210" priority="29" stopIfTrue="1" operator="equal">
      <formula>"已过期"</formula>
    </cfRule>
  </conditionalFormatting>
  <conditionalFormatting sqref="G11">
    <cfRule type="cellIs" dxfId="209" priority="28" stopIfTrue="1" operator="lessThan">
      <formula>$B$2</formula>
    </cfRule>
  </conditionalFormatting>
  <conditionalFormatting sqref="F12">
    <cfRule type="cellIs" dxfId="208" priority="27" stopIfTrue="1" operator="equal">
      <formula>"已过期"</formula>
    </cfRule>
  </conditionalFormatting>
  <conditionalFormatting sqref="G12">
    <cfRule type="cellIs" dxfId="207" priority="26" stopIfTrue="1" operator="lessThan">
      <formula>$B$2</formula>
    </cfRule>
  </conditionalFormatting>
  <conditionalFormatting sqref="C12">
    <cfRule type="cellIs" dxfId="206" priority="25" stopIfTrue="1" operator="lessThan">
      <formula>$B$2</formula>
    </cfRule>
  </conditionalFormatting>
  <conditionalFormatting sqref="C12">
    <cfRule type="expression" dxfId="205" priority="23">
      <formula>AND($C12-TODAY()&lt;30,TODAY()&lt;$C12)</formula>
    </cfRule>
  </conditionalFormatting>
  <conditionalFormatting sqref="C12">
    <cfRule type="cellIs" dxfId="204" priority="24" stopIfTrue="1" operator="lessThan">
      <formula>$B$2</formula>
    </cfRule>
  </conditionalFormatting>
  <conditionalFormatting sqref="B12">
    <cfRule type="cellIs" dxfId="203" priority="22" stopIfTrue="1" operator="equal">
      <formula>"已过期"</formula>
    </cfRule>
  </conditionalFormatting>
  <conditionalFormatting sqref="C9:C10">
    <cfRule type="expression" dxfId="202" priority="20">
      <formula>AND($C9-TODAY()&lt;30,TODAY()&lt;$C9)</formula>
    </cfRule>
  </conditionalFormatting>
  <conditionalFormatting sqref="C9:C10">
    <cfRule type="cellIs" dxfId="201" priority="21" stopIfTrue="1" operator="lessThan">
      <formula>$B$2</formula>
    </cfRule>
  </conditionalFormatting>
  <conditionalFormatting sqref="G21">
    <cfRule type="expression" dxfId="200" priority="18" stopIfTrue="1">
      <formula>AND(#REF!-TODAY()&lt;30,TODAY()&lt;#REF!)</formula>
    </cfRule>
  </conditionalFormatting>
  <conditionalFormatting sqref="G21">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C14">
    <cfRule type="expression" dxfId="196" priority="14">
      <formula>AND($C14-TODAY()&lt;30,TODAY()&lt;$C14)</formula>
    </cfRule>
  </conditionalFormatting>
  <conditionalFormatting sqref="C14">
    <cfRule type="cellIs" dxfId="195" priority="15" stopIfTrue="1" operator="lessThan">
      <formula>$B$2</formula>
    </cfRule>
  </conditionalFormatting>
  <conditionalFormatting sqref="B14">
    <cfRule type="cellIs" dxfId="194" priority="13" stopIfTrue="1" operator="equal">
      <formula>"已过期"</formula>
    </cfRule>
  </conditionalFormatting>
  <conditionalFormatting sqref="G14">
    <cfRule type="cellIs" dxfId="193" priority="12"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D15">
    <cfRule type="expression" dxfId="190" priority="8">
      <formula>AND($C15-TODAY()&lt;30,TODAY()&lt;$C15)</formula>
    </cfRule>
  </conditionalFormatting>
  <conditionalFormatting sqref="D15">
    <cfRule type="cellIs" dxfId="189" priority="9" stopIfTrue="1" operator="lessThan">
      <formula>$B$2</formula>
    </cfRule>
  </conditionalFormatting>
  <conditionalFormatting sqref="F15">
    <cfRule type="cellIs" dxfId="188" priority="7" stopIfTrue="1" operator="equal">
      <formula>"已过期"</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C15">
    <cfRule type="expression" dxfId="185" priority="3">
      <formula>AND($C15-TODAY()&lt;30,TODAY()&lt;$C15)</formula>
    </cfRule>
  </conditionalFormatting>
  <conditionalFormatting sqref="C15">
    <cfRule type="cellIs" dxfId="184" priority="4" stopIfTrue="1" operator="lessThan">
      <formula>$B$2</formula>
    </cfRule>
  </conditionalFormatting>
  <conditionalFormatting sqref="B15">
    <cfRule type="cellIs" dxfId="183" priority="2" stopIfTrue="1" operator="equal">
      <formula>"已过期"</formula>
    </cfRule>
  </conditionalFormatting>
  <conditionalFormatting sqref="G15">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2022-03-25T05:42:40Z</cp:lastPrinted>
  <dcterms:created xsi:type="dcterms:W3CDTF">2015-07-13T07:17:23Z</dcterms:created>
  <dcterms:modified xsi:type="dcterms:W3CDTF">2022-06-17T06:21:52Z</dcterms:modified>
</cp:coreProperties>
</file>