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24226"/>
  <mc:AlternateContent xmlns:mc="http://schemas.openxmlformats.org/markup-compatibility/2006">
    <mc:Choice Requires="x15">
      <x15ac:absPath xmlns:x15ac="http://schemas.microsoft.com/office/spreadsheetml/2010/11/ac" url="E:\2024\进行中\2024-1-0816-F01、F02燕水佳园-吴琼-中行-市场价值\"/>
    </mc:Choice>
  </mc:AlternateContent>
  <xr:revisionPtr revIDLastSave="0" documentId="13_ncr:1_{65D980EE-DA7F-4686-9D42-9D06F140CC16}" xr6:coauthVersionLast="47" xr6:coauthVersionMax="47" xr10:uidLastSave="{00000000-0000-0000-0000-000000000000}"/>
  <bookViews>
    <workbookView xWindow="-108" yWindow="-108" windowWidth="20376" windowHeight="12216" tabRatio="899" firstSheet="15"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中指文成商务中心" sheetId="83" r:id="rId12"/>
    <sheet name="项目基本情况" sheetId="4" r:id="rId13"/>
    <sheet name="数据-基础表" sheetId="3" r:id="rId14"/>
    <sheet name="数据-汇总表" sheetId="6" r:id="rId15"/>
    <sheet name="数据-取费表" sheetId="1" r:id="rId16"/>
    <sheet name="估价对象房地状况" sheetId="20" r:id="rId17"/>
    <sheet name="系统读取表" sheetId="74" r:id="rId18"/>
    <sheet name="成本法" sheetId="68" state="hidden" r:id="rId19"/>
    <sheet name="假设开发法" sheetId="12" state="hidden" r:id="rId20"/>
    <sheet name="收益法" sheetId="15" state="hidden" r:id="rId21"/>
    <sheet name="中指辉煌云上" sheetId="82" r:id="rId22"/>
    <sheet name="信息" sheetId="80" r:id="rId23"/>
    <sheet name="案例" sheetId="81" r:id="rId24"/>
    <sheet name="结果表1号" sheetId="9" r:id="rId25"/>
    <sheet name="比较法-商业1号" sheetId="33" r:id="rId26"/>
    <sheet name="收益法 (元)1号" sheetId="67" r:id="rId27"/>
    <sheet name="收益法-酒店模型" sheetId="77" state="hidden" r:id="rId28"/>
    <sheet name="收益法（汇总）" sheetId="70"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结果表2号" sheetId="86" r:id="rId39"/>
    <sheet name="比较法-商业2号" sheetId="84" r:id="rId40"/>
    <sheet name="收益法 (元)2号" sheetId="85" r:id="rId41"/>
    <sheet name="成本法 (元)" sheetId="69" state="hidden" r:id="rId42"/>
    <sheet name="基准地价修正" sheetId="43" state="hidden" r:id="rId43"/>
    <sheet name="修正" sheetId="45" state="hidden" r:id="rId44"/>
    <sheet name="容积率修正" sheetId="46" state="hidden" r:id="rId45"/>
    <sheet name="成本法（废）" sheetId="11" state="hidden" r:id="rId46"/>
    <sheet name="区片价" sheetId="44" r:id="rId47"/>
    <sheet name="因素修正幅度" sheetId="65" state="hidden" r:id="rId48"/>
    <sheet name="区片价（范围）" sheetId="75" state="hidden" r:id="rId49"/>
    <sheet name="地价-分区" sheetId="79" r:id="rId50"/>
    <sheet name="地价" sheetId="71" r:id="rId51"/>
    <sheet name="存贷款利率" sheetId="73" r:id="rId52"/>
  </sheets>
  <externalReferences>
    <externalReference r:id="rId53"/>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5" hidden="1">'比较法-商业1号'!$A$1:$L$49</definedName>
    <definedName name="_xlnm._FilterDatabase" localSheetId="39" hidden="1">'比较法-商业2号'!$A$1:$L$49</definedName>
    <definedName name="_xlnm._FilterDatabase" localSheetId="29" hidden="1">'比较法-住宅'!$A$1:$L$49</definedName>
    <definedName name="_xlnm._FilterDatabase" localSheetId="13"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2"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5">'比较法-商业1号'!$A$1:$K$54,'比较法-商业1号'!$A$57:$M$131</definedName>
    <definedName name="_xlnm.Print_Area" localSheetId="39">'比较法-商业2号'!$A$1:$K$54,'比较法-商业2号'!$A$57:$M$131</definedName>
    <definedName name="_xlnm.Print_Area" localSheetId="29">'比较法-住宅'!$A$1:$K$54,'比较法-住宅'!$A$57:$M$131</definedName>
    <definedName name="_xlnm.Print_Area" localSheetId="18">成本法!$A$1:$G$57</definedName>
    <definedName name="_xlnm.Print_Area" localSheetId="41">'成本法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42">基准地价修正!$A$1:$J$44,基准地价修正!$A$47:$H$101,基准地价修正!$R$1:$V$16</definedName>
    <definedName name="_xlnm.Print_Area" localSheetId="19">假设开发法!$A$1:$K$32</definedName>
    <definedName name="_xlnm.Print_Area" localSheetId="24">结果表1号!$A$1:$I$127</definedName>
    <definedName name="_xlnm.Print_Area" localSheetId="38">结果表2号!$A$1:$I$127</definedName>
    <definedName name="_xlnm.Print_Area" localSheetId="20">收益法!$A$1:$F$43,收益法!$H$3:$M$29,收益法!$A$46:$F$71,收益法!$I$46:$N$65</definedName>
    <definedName name="_xlnm.Print_Area" localSheetId="26">'收益法 (元)1号'!$A$1:$F$43,'收益法 (元)1号'!$H$3:$M$29,'收益法 (元)1号'!$A$45:$F$71,'收益法 (元)1号'!$I$46:$N$65</definedName>
    <definedName name="_xlnm.Print_Area" localSheetId="40">'收益法 (元)2号'!$A$1:$F$43,'收益法 (元)2号'!$H$3:$M$29,'收益法 (元)2号'!$A$45:$F$71,'收益法 (元)2号'!$I$46:$N$65</definedName>
    <definedName name="_xlnm.Print_Area" localSheetId="28">'收益法（汇总）'!$A$1:$F$13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39">'比较法-商业2号'!$B$116:$M$116</definedName>
    <definedName name="商业层高">'比较法-商业1号'!$B$116:$M$116</definedName>
    <definedName name="商业成新度" localSheetId="39">'比较法-商业2号'!$B$109:$M$109</definedName>
    <definedName name="商业成新度">'比较法-商业1号'!$B$109:$M$109</definedName>
    <definedName name="商业繁华度">定义!$L$1:$L$6</definedName>
    <definedName name="商业公共部分装修" localSheetId="39">'比较法-商业2号'!$B$107:$M$107</definedName>
    <definedName name="商业公共部分装修">'比较法-商业1号'!$B$107:$M$107</definedName>
    <definedName name="商业基础设施水平" localSheetId="39">'比较法-商业2号'!$B$112:$M$112</definedName>
    <definedName name="商业基础设施水平">'比较法-商业1号'!$B$112:$M$112</definedName>
    <definedName name="商业建筑结构" localSheetId="39">'比较法-商业2号'!$B$105:$M$105</definedName>
    <definedName name="商业建筑结构">'比较法-商业1号'!$B$105:$M$105</definedName>
    <definedName name="商业交易情况" localSheetId="39">'比较法-商业2号'!$A$61:$M$61</definedName>
    <definedName name="商业交易情况">'比较法-商业1号'!$A$61:$M$61</definedName>
    <definedName name="商业街名称">修正!$C$71:$C$138</definedName>
    <definedName name="商业进深比" localSheetId="39">'比较法-商业2号'!$B$120:$M$120</definedName>
    <definedName name="商业进深比">'比较法-商业1号'!$B$120:$M$120</definedName>
    <definedName name="商业类型" localSheetId="39">'比较法-商业2号'!$B$100:$M$100</definedName>
    <definedName name="商业类型">'比较法-商业1号'!$B$100:$M$100</definedName>
    <definedName name="商业临街状况" localSheetId="39">'比较法-商业2号'!$B$86:$M$86</definedName>
    <definedName name="商业临街状况">'比较法-商业1号'!$B$86:$M$86</definedName>
    <definedName name="商业楼层" localSheetId="39">'比较法-商业2号'!$B$92:$M$92</definedName>
    <definedName name="商业楼层">'比较法-商业1号'!$B$92:$M$92</definedName>
    <definedName name="商业内部装修" localSheetId="39">'比较法-商业2号'!$B$122:$M$122</definedName>
    <definedName name="商业内部装修">'比较法-商业1号'!$B$122:$M$122</definedName>
    <definedName name="商业人流量" localSheetId="39">'比较法-商业2号'!$B$90:$M$90</definedName>
    <definedName name="商业人流量">'比较法-商业1号'!$B$90:$M$90</definedName>
    <definedName name="商业业态" localSheetId="39">'比较法-商业2号'!$B$114:$M$114</definedName>
    <definedName name="商业业态">'比较法-商业1号'!$B$114:$M$114</definedName>
    <definedName name="商业用途" localSheetId="39">'比较法-商业2号'!$B$63:$M$63</definedName>
    <definedName name="商业用途">'比较法-商业1号'!$B$63:$M$63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A124" i="86" l="1"/>
  <c r="A120" i="86"/>
  <c r="A118" i="86"/>
  <c r="E111" i="86"/>
  <c r="H112" i="86" s="1"/>
  <c r="H109" i="86"/>
  <c r="D124" i="86" s="1"/>
  <c r="D125" i="86" s="1"/>
  <c r="E109" i="86"/>
  <c r="E107" i="86"/>
  <c r="A122" i="86" s="1"/>
  <c r="H106" i="86"/>
  <c r="H105" i="86"/>
  <c r="H104" i="86"/>
  <c r="H103" i="86"/>
  <c r="D120" i="86" s="1"/>
  <c r="D101" i="86"/>
  <c r="C101" i="86"/>
  <c r="D93" i="86"/>
  <c r="C91" i="86"/>
  <c r="E90" i="86"/>
  <c r="D89" i="86"/>
  <c r="C89" i="86" s="1"/>
  <c r="C87" i="86" s="1"/>
  <c r="D78" i="86"/>
  <c r="H77" i="86"/>
  <c r="D77" i="86"/>
  <c r="C77" i="86"/>
  <c r="C76" i="86"/>
  <c r="C74" i="86"/>
  <c r="D68" i="86"/>
  <c r="F59" i="86"/>
  <c r="E59" i="86"/>
  <c r="N55" i="86" s="1"/>
  <c r="N56" i="86"/>
  <c r="M56" i="86"/>
  <c r="K56" i="86"/>
  <c r="J56" i="86"/>
  <c r="J57" i="86" s="1"/>
  <c r="J59" i="86" s="1"/>
  <c r="J61" i="86" s="1"/>
  <c r="F56" i="86"/>
  <c r="O55" i="86"/>
  <c r="K55" i="86"/>
  <c r="J55" i="86"/>
  <c r="I55" i="86"/>
  <c r="F55" i="86"/>
  <c r="O54" i="86"/>
  <c r="N54" i="86"/>
  <c r="F54" i="86"/>
  <c r="O53" i="86"/>
  <c r="N53" i="86"/>
  <c r="F53" i="86"/>
  <c r="F52" i="86"/>
  <c r="M49" i="86"/>
  <c r="L66" i="86" s="1"/>
  <c r="M66" i="86" s="1"/>
  <c r="K49" i="86"/>
  <c r="F48" i="86"/>
  <c r="O52" i="86" s="1"/>
  <c r="E48" i="86"/>
  <c r="N52" i="86" s="1"/>
  <c r="D48" i="86"/>
  <c r="M52" i="86" s="1"/>
  <c r="M47" i="86"/>
  <c r="C35" i="86"/>
  <c r="G118" i="86" s="1"/>
  <c r="C34" i="86"/>
  <c r="E118" i="86" s="1"/>
  <c r="F33" i="86"/>
  <c r="D27" i="86"/>
  <c r="C25" i="86"/>
  <c r="C24" i="86"/>
  <c r="M19" i="86"/>
  <c r="C118" i="86" s="1"/>
  <c r="L19" i="86"/>
  <c r="M18" i="86"/>
  <c r="B118" i="86" s="1"/>
  <c r="L18" i="86"/>
  <c r="C18" i="86"/>
  <c r="D18" i="86" s="1"/>
  <c r="D17" i="86"/>
  <c r="C17" i="86"/>
  <c r="L4" i="86"/>
  <c r="K4" i="86"/>
  <c r="A2" i="86"/>
  <c r="H1" i="86"/>
  <c r="C33" i="84"/>
  <c r="Q72" i="85"/>
  <c r="C62" i="85"/>
  <c r="C61" i="85"/>
  <c r="C60" i="85"/>
  <c r="Q59" i="85"/>
  <c r="K59" i="85"/>
  <c r="P74" i="85" s="1"/>
  <c r="Q58" i="85"/>
  <c r="Q51" i="85"/>
  <c r="J50" i="85"/>
  <c r="J49" i="85"/>
  <c r="M47" i="85"/>
  <c r="D46" i="85"/>
  <c r="F34" i="85"/>
  <c r="F62" i="85" s="1"/>
  <c r="C34" i="85"/>
  <c r="F33" i="85"/>
  <c r="F61" i="85" s="1"/>
  <c r="C33" i="85"/>
  <c r="F32" i="85"/>
  <c r="F60" i="85" s="1"/>
  <c r="C32" i="85"/>
  <c r="F28" i="85"/>
  <c r="C28" i="85"/>
  <c r="F23" i="85"/>
  <c r="D24" i="85" s="1"/>
  <c r="D23" i="85"/>
  <c r="D22" i="85"/>
  <c r="F21" i="85"/>
  <c r="M20" i="85"/>
  <c r="F20" i="85"/>
  <c r="M19" i="85"/>
  <c r="M18" i="85"/>
  <c r="F18" i="85"/>
  <c r="F17" i="85"/>
  <c r="F15" i="85"/>
  <c r="G1" i="85"/>
  <c r="B130" i="84"/>
  <c r="B128" i="84"/>
  <c r="B126" i="84"/>
  <c r="G125" i="84"/>
  <c r="D125" i="84"/>
  <c r="E125" i="84" s="1"/>
  <c r="F125" i="84" s="1"/>
  <c r="E123" i="84"/>
  <c r="F123" i="84" s="1"/>
  <c r="D123" i="84"/>
  <c r="D121" i="84"/>
  <c r="E121" i="84" s="1"/>
  <c r="F121" i="84" s="1"/>
  <c r="G121" i="84" s="1"/>
  <c r="H121" i="84" s="1"/>
  <c r="I121" i="84" s="1"/>
  <c r="J121" i="84" s="1"/>
  <c r="K121" i="84" s="1"/>
  <c r="L121" i="84" s="1"/>
  <c r="M121" i="84" s="1"/>
  <c r="D117" i="84"/>
  <c r="E117" i="84" s="1"/>
  <c r="F117" i="84" s="1"/>
  <c r="G117" i="84" s="1"/>
  <c r="I115" i="84"/>
  <c r="J115" i="84" s="1"/>
  <c r="K115" i="84" s="1"/>
  <c r="L115" i="84" s="1"/>
  <c r="M115" i="84" s="1"/>
  <c r="E115" i="84"/>
  <c r="F115" i="84" s="1"/>
  <c r="G115" i="84" s="1"/>
  <c r="H115" i="84" s="1"/>
  <c r="D115" i="84"/>
  <c r="G113" i="84"/>
  <c r="H113" i="84" s="1"/>
  <c r="I113" i="84" s="1"/>
  <c r="J113" i="84" s="1"/>
  <c r="K113" i="84" s="1"/>
  <c r="L113" i="84" s="1"/>
  <c r="M113" i="84" s="1"/>
  <c r="D113" i="84"/>
  <c r="E113" i="84" s="1"/>
  <c r="F113" i="84" s="1"/>
  <c r="E111" i="84"/>
  <c r="F111" i="84" s="1"/>
  <c r="G111" i="84" s="1"/>
  <c r="H111" i="84" s="1"/>
  <c r="I111" i="84" s="1"/>
  <c r="J111" i="84" s="1"/>
  <c r="K111" i="84" s="1"/>
  <c r="L111" i="84" s="1"/>
  <c r="M111" i="84" s="1"/>
  <c r="D111" i="84"/>
  <c r="G109" i="84"/>
  <c r="F109" i="84"/>
  <c r="E109" i="84"/>
  <c r="D109" i="84"/>
  <c r="C109" i="84"/>
  <c r="H108" i="84"/>
  <c r="I108" i="84" s="1"/>
  <c r="J108" i="84" s="1"/>
  <c r="K108" i="84" s="1"/>
  <c r="L108" i="84" s="1"/>
  <c r="M108" i="84" s="1"/>
  <c r="D108" i="84"/>
  <c r="E108" i="84" s="1"/>
  <c r="F108" i="84" s="1"/>
  <c r="G108" i="84" s="1"/>
  <c r="F106" i="84"/>
  <c r="G106" i="84" s="1"/>
  <c r="H106" i="84" s="1"/>
  <c r="I106" i="84" s="1"/>
  <c r="J106" i="84" s="1"/>
  <c r="K106" i="84" s="1"/>
  <c r="L106" i="84" s="1"/>
  <c r="M106" i="84" s="1"/>
  <c r="E106" i="84"/>
  <c r="D106" i="84"/>
  <c r="F104" i="84"/>
  <c r="G104" i="84" s="1"/>
  <c r="E104" i="84"/>
  <c r="D104" i="84"/>
  <c r="M102" i="84"/>
  <c r="L102" i="84"/>
  <c r="K102" i="84"/>
  <c r="J102" i="84"/>
  <c r="I102" i="84"/>
  <c r="H102" i="84"/>
  <c r="G102" i="84"/>
  <c r="F102" i="84"/>
  <c r="E102" i="84"/>
  <c r="D102" i="84"/>
  <c r="C102" i="84"/>
  <c r="D101" i="84"/>
  <c r="E101" i="84" s="1"/>
  <c r="F101" i="84" s="1"/>
  <c r="G101" i="84" s="1"/>
  <c r="H101" i="84" s="1"/>
  <c r="I101" i="84" s="1"/>
  <c r="J101" i="84" s="1"/>
  <c r="K101" i="84" s="1"/>
  <c r="L101" i="84" s="1"/>
  <c r="M101" i="84" s="1"/>
  <c r="B98" i="84"/>
  <c r="B96" i="84"/>
  <c r="B94" i="84"/>
  <c r="E93" i="84"/>
  <c r="D93" i="84"/>
  <c r="B92" i="84"/>
  <c r="G91" i="84"/>
  <c r="H91" i="84" s="1"/>
  <c r="I91" i="84" s="1"/>
  <c r="J91" i="84" s="1"/>
  <c r="K91" i="84" s="1"/>
  <c r="L91" i="84" s="1"/>
  <c r="M91" i="84" s="1"/>
  <c r="D91" i="84"/>
  <c r="E91" i="84" s="1"/>
  <c r="F91" i="84" s="1"/>
  <c r="B90" i="84"/>
  <c r="J27" i="84" s="1"/>
  <c r="B88" i="84"/>
  <c r="D87" i="84"/>
  <c r="E87" i="84" s="1"/>
  <c r="F87" i="84" s="1"/>
  <c r="G87" i="84" s="1"/>
  <c r="H87" i="84" s="1"/>
  <c r="I87" i="84" s="1"/>
  <c r="J87" i="84" s="1"/>
  <c r="K87" i="84" s="1"/>
  <c r="L87" i="84" s="1"/>
  <c r="M87" i="84" s="1"/>
  <c r="D85" i="84"/>
  <c r="E85" i="84" s="1"/>
  <c r="F85" i="84" s="1"/>
  <c r="G85" i="84" s="1"/>
  <c r="D83" i="84"/>
  <c r="E83" i="84" s="1"/>
  <c r="F83" i="84" s="1"/>
  <c r="G83" i="84" s="1"/>
  <c r="D81" i="84"/>
  <c r="E81" i="84" s="1"/>
  <c r="F81" i="84" s="1"/>
  <c r="G81" i="84" s="1"/>
  <c r="D79" i="84"/>
  <c r="E79" i="84" s="1"/>
  <c r="F79" i="84" s="1"/>
  <c r="G79" i="84" s="1"/>
  <c r="D77" i="84"/>
  <c r="E77" i="84" s="1"/>
  <c r="F77" i="84" s="1"/>
  <c r="G77" i="84" s="1"/>
  <c r="B74" i="84"/>
  <c r="B72" i="84"/>
  <c r="B70" i="84"/>
  <c r="D69" i="84"/>
  <c r="E69" i="84" s="1"/>
  <c r="F69" i="84" s="1"/>
  <c r="G69" i="84" s="1"/>
  <c r="H69" i="84" s="1"/>
  <c r="I69" i="84" s="1"/>
  <c r="J69" i="84" s="1"/>
  <c r="K69" i="84" s="1"/>
  <c r="L69" i="84" s="1"/>
  <c r="M69" i="84" s="1"/>
  <c r="M67" i="84"/>
  <c r="L67" i="84"/>
  <c r="K67" i="84"/>
  <c r="J67" i="84"/>
  <c r="I67" i="84"/>
  <c r="H67" i="84"/>
  <c r="G67" i="84"/>
  <c r="F67" i="84"/>
  <c r="E67" i="84"/>
  <c r="D67" i="84"/>
  <c r="C67" i="84"/>
  <c r="C63" i="84"/>
  <c r="E54" i="84"/>
  <c r="F54" i="84" s="1"/>
  <c r="P49" i="84"/>
  <c r="P48" i="84"/>
  <c r="K48" i="84"/>
  <c r="P47" i="84"/>
  <c r="I47" i="84"/>
  <c r="V47" i="84" s="1"/>
  <c r="G47" i="84"/>
  <c r="E47" i="84"/>
  <c r="R47" i="84" s="1"/>
  <c r="Q46" i="84"/>
  <c r="Z46" i="84" s="1"/>
  <c r="J46" i="84"/>
  <c r="AC46" i="84" s="1"/>
  <c r="H46" i="84"/>
  <c r="U46" i="84" s="1"/>
  <c r="F46" i="84"/>
  <c r="AA46" i="84" s="1"/>
  <c r="Q45" i="84"/>
  <c r="Z45" i="84" s="1"/>
  <c r="J45" i="84"/>
  <c r="AC45" i="84" s="1"/>
  <c r="H45" i="84"/>
  <c r="AB45" i="84" s="1"/>
  <c r="F45" i="84"/>
  <c r="AA45" i="84" s="1"/>
  <c r="Z44" i="84"/>
  <c r="Q44" i="84"/>
  <c r="J44" i="84"/>
  <c r="AC44" i="84" s="1"/>
  <c r="H44" i="84"/>
  <c r="AB44" i="84" s="1"/>
  <c r="F44" i="84"/>
  <c r="AA44" i="84" s="1"/>
  <c r="Q43" i="84"/>
  <c r="Z43" i="84" s="1"/>
  <c r="J43" i="84"/>
  <c r="AC43" i="84" s="1"/>
  <c r="H43" i="84"/>
  <c r="AB43" i="84" s="1"/>
  <c r="F43" i="84"/>
  <c r="AA43" i="84" s="1"/>
  <c r="U42" i="84"/>
  <c r="Q42" i="84"/>
  <c r="Z42" i="84" s="1"/>
  <c r="H42" i="84"/>
  <c r="AB42" i="84" s="1"/>
  <c r="Q41" i="84"/>
  <c r="Z41" i="84" s="1"/>
  <c r="J41" i="84"/>
  <c r="AC41" i="84" s="1"/>
  <c r="H41" i="84"/>
  <c r="AB41" i="84" s="1"/>
  <c r="F41" i="84"/>
  <c r="AA41" i="84" s="1"/>
  <c r="Q40" i="84"/>
  <c r="Z40" i="84" s="1"/>
  <c r="J40" i="84"/>
  <c r="AC40" i="84" s="1"/>
  <c r="H40" i="84"/>
  <c r="AB40" i="84" s="1"/>
  <c r="F40" i="84"/>
  <c r="AA40" i="84" s="1"/>
  <c r="AC39" i="84"/>
  <c r="Q39" i="84"/>
  <c r="Z39" i="84" s="1"/>
  <c r="J39" i="84"/>
  <c r="W39" i="84" s="1"/>
  <c r="H39" i="84"/>
  <c r="AB39" i="84" s="1"/>
  <c r="F39" i="84"/>
  <c r="AA39" i="84" s="1"/>
  <c r="Q38" i="84"/>
  <c r="Z38" i="84" s="1"/>
  <c r="J38" i="84"/>
  <c r="AC38" i="84" s="1"/>
  <c r="H38" i="84"/>
  <c r="U38" i="84" s="1"/>
  <c r="F38" i="84"/>
  <c r="AA38" i="84" s="1"/>
  <c r="Q37" i="84"/>
  <c r="Z37" i="84" s="1"/>
  <c r="J37" i="84"/>
  <c r="AC37" i="84" s="1"/>
  <c r="H37" i="84"/>
  <c r="AB37" i="84" s="1"/>
  <c r="F37" i="84"/>
  <c r="AA37" i="84" s="1"/>
  <c r="AA36" i="84"/>
  <c r="Q36" i="84"/>
  <c r="Z36" i="84" s="1"/>
  <c r="H36" i="84"/>
  <c r="G36" i="84"/>
  <c r="C36" i="84"/>
  <c r="Z35" i="84"/>
  <c r="Q35" i="84"/>
  <c r="J35" i="84"/>
  <c r="W35" i="84" s="1"/>
  <c r="H35" i="84"/>
  <c r="AB35" i="84" s="1"/>
  <c r="F35" i="84"/>
  <c r="AA35" i="84" s="1"/>
  <c r="W34" i="84"/>
  <c r="Q34" i="84"/>
  <c r="Z34" i="84" s="1"/>
  <c r="J34" i="84"/>
  <c r="AC34" i="84" s="1"/>
  <c r="H34" i="84"/>
  <c r="U34" i="84" s="1"/>
  <c r="F34" i="84"/>
  <c r="AA34" i="84" s="1"/>
  <c r="Q33" i="84"/>
  <c r="Z33" i="84" s="1"/>
  <c r="N33" i="84"/>
  <c r="I36" i="84" s="1"/>
  <c r="J36" i="84" s="1"/>
  <c r="J33" i="84"/>
  <c r="I33" i="84"/>
  <c r="G33" i="84"/>
  <c r="H33" i="84" s="1"/>
  <c r="AB33" i="84" s="1"/>
  <c r="E33" i="84"/>
  <c r="F33" i="84" s="1"/>
  <c r="AA32" i="84"/>
  <c r="Q32" i="84"/>
  <c r="Z32" i="84" s="1"/>
  <c r="J32" i="84"/>
  <c r="AC32" i="84" s="1"/>
  <c r="H32" i="84"/>
  <c r="AB32" i="84" s="1"/>
  <c r="F32" i="84"/>
  <c r="S32" i="84" s="1"/>
  <c r="Z31" i="84"/>
  <c r="S31" i="84"/>
  <c r="Q31" i="84"/>
  <c r="F31" i="84"/>
  <c r="AA31" i="84" s="1"/>
  <c r="AC30" i="84"/>
  <c r="Z30" i="84"/>
  <c r="W30" i="84"/>
  <c r="Q30" i="84"/>
  <c r="N30" i="84"/>
  <c r="E36" i="84" s="1"/>
  <c r="F36" i="84" s="1"/>
  <c r="S36" i="84" s="1"/>
  <c r="J30" i="84"/>
  <c r="H30" i="84"/>
  <c r="AB30" i="84" s="1"/>
  <c r="F30" i="84"/>
  <c r="Z29" i="84"/>
  <c r="Q29" i="84"/>
  <c r="J29" i="84"/>
  <c r="W29" i="84" s="1"/>
  <c r="H29" i="84"/>
  <c r="AB29" i="84" s="1"/>
  <c r="F29" i="84"/>
  <c r="AA29" i="84" s="1"/>
  <c r="W28" i="84"/>
  <c r="Q28" i="84"/>
  <c r="Z28" i="84" s="1"/>
  <c r="J28" i="84"/>
  <c r="AC28" i="84" s="1"/>
  <c r="H28" i="84"/>
  <c r="U28" i="84" s="1"/>
  <c r="F28" i="84"/>
  <c r="AA28" i="84" s="1"/>
  <c r="U27" i="84"/>
  <c r="Q27" i="84"/>
  <c r="Z27" i="84" s="1"/>
  <c r="H27" i="84"/>
  <c r="AB27" i="84" s="1"/>
  <c r="F27" i="84"/>
  <c r="S27" i="84" s="1"/>
  <c r="Q26" i="84"/>
  <c r="Z26" i="84" s="1"/>
  <c r="J26" i="84"/>
  <c r="AC26" i="84" s="1"/>
  <c r="H26" i="84"/>
  <c r="AB26" i="84" s="1"/>
  <c r="F26" i="84"/>
  <c r="AA26" i="84" s="1"/>
  <c r="Z25" i="84"/>
  <c r="W25" i="84"/>
  <c r="Q25" i="84"/>
  <c r="J25" i="84"/>
  <c r="AC25" i="84" s="1"/>
  <c r="H25" i="84"/>
  <c r="AB25" i="84" s="1"/>
  <c r="F25" i="84"/>
  <c r="S25" i="84" s="1"/>
  <c r="Q23" i="84"/>
  <c r="Z23" i="84" s="1"/>
  <c r="J23" i="84"/>
  <c r="AC23" i="84" s="1"/>
  <c r="H23" i="84"/>
  <c r="AB23" i="84" s="1"/>
  <c r="F23" i="84"/>
  <c r="AA23" i="84" s="1"/>
  <c r="C23" i="84"/>
  <c r="Q21" i="84"/>
  <c r="Z21" i="84" s="1"/>
  <c r="J21" i="84"/>
  <c r="AC21" i="84" s="1"/>
  <c r="H21" i="84"/>
  <c r="AB21" i="84" s="1"/>
  <c r="F21" i="84"/>
  <c r="S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AC8" i="84"/>
  <c r="W8" i="84"/>
  <c r="U8" i="84"/>
  <c r="J8" i="84"/>
  <c r="H8" i="84"/>
  <c r="AB8" i="84" s="1"/>
  <c r="F8" i="84"/>
  <c r="S8" i="84" s="1"/>
  <c r="I7" i="84"/>
  <c r="E7" i="84"/>
  <c r="C7" i="84"/>
  <c r="C58" i="84" s="1"/>
  <c r="G5" i="84"/>
  <c r="I5" i="84" s="1"/>
  <c r="E5" i="84"/>
  <c r="D3" i="84"/>
  <c r="N22" i="1"/>
  <c r="E47" i="33"/>
  <c r="G4" i="81"/>
  <c r="N20" i="1"/>
  <c r="C20" i="86"/>
  <c r="C19" i="86"/>
  <c r="F8" i="85"/>
  <c r="D2" i="84"/>
  <c r="C102" i="86" l="1"/>
  <c r="D118" i="86"/>
  <c r="D119" i="86" s="1"/>
  <c r="C21" i="86"/>
  <c r="C103" i="86"/>
  <c r="D121" i="86"/>
  <c r="K120" i="86"/>
  <c r="F118" i="86"/>
  <c r="F119" i="86" s="1"/>
  <c r="C92" i="86"/>
  <c r="C94" i="86"/>
  <c r="L63" i="86"/>
  <c r="M63" i="86" s="1"/>
  <c r="M69" i="86" s="1"/>
  <c r="N69" i="86" s="1"/>
  <c r="L65" i="86"/>
  <c r="M65" i="86" s="1"/>
  <c r="H111" i="86"/>
  <c r="D126" i="86" s="1"/>
  <c r="D127" i="86" s="1"/>
  <c r="A126" i="86"/>
  <c r="L67" i="86"/>
  <c r="M67" i="86" s="1"/>
  <c r="L68" i="86"/>
  <c r="M68" i="86" s="1"/>
  <c r="L64" i="86"/>
  <c r="M64" i="86" s="1"/>
  <c r="H110" i="86"/>
  <c r="U33" i="84"/>
  <c r="F51" i="85"/>
  <c r="P61" i="85"/>
  <c r="J51" i="85"/>
  <c r="S33" i="84"/>
  <c r="AA33" i="84"/>
  <c r="S15" i="84"/>
  <c r="S23" i="84"/>
  <c r="S26" i="84"/>
  <c r="U32" i="84"/>
  <c r="AC33" i="84"/>
  <c r="W33" i="84"/>
  <c r="AB36" i="84"/>
  <c r="U36" i="84"/>
  <c r="AB38" i="84"/>
  <c r="S41" i="84"/>
  <c r="AB46" i="84"/>
  <c r="AC27" i="84"/>
  <c r="W27" i="84"/>
  <c r="F42" i="84"/>
  <c r="G123" i="84"/>
  <c r="H123" i="84" s="1"/>
  <c r="I123" i="84" s="1"/>
  <c r="J123" i="84" s="1"/>
  <c r="K123" i="84" s="1"/>
  <c r="L123" i="84" s="1"/>
  <c r="M123" i="84" s="1"/>
  <c r="J42" i="84"/>
  <c r="U11" i="84"/>
  <c r="S19" i="84"/>
  <c r="AA21" i="84"/>
  <c r="U10" i="84"/>
  <c r="S13" i="84"/>
  <c r="U14" i="84"/>
  <c r="U19" i="84"/>
  <c r="U26" i="84"/>
  <c r="AA27" i="84"/>
  <c r="AB28" i="84"/>
  <c r="AC29" i="84"/>
  <c r="AC36" i="84"/>
  <c r="W36" i="84"/>
  <c r="AB34" i="84"/>
  <c r="AC35" i="84"/>
  <c r="S37" i="84"/>
  <c r="S45" i="84"/>
  <c r="D58" i="84"/>
  <c r="E58" i="84" s="1"/>
  <c r="F58" i="84" s="1"/>
  <c r="G58" i="84" s="1"/>
  <c r="H58" i="84" s="1"/>
  <c r="I58" i="84" s="1"/>
  <c r="J58" i="84" s="1"/>
  <c r="K58" i="84" s="1"/>
  <c r="L58" i="84" s="1"/>
  <c r="M58" i="84" s="1"/>
  <c r="N58" i="84" s="1"/>
  <c r="O58" i="84" s="1"/>
  <c r="J31" i="84"/>
  <c r="H31" i="84"/>
  <c r="S10" i="84"/>
  <c r="S17" i="84"/>
  <c r="U15" i="84"/>
  <c r="U21" i="84"/>
  <c r="AA8" i="84"/>
  <c r="W10" i="84"/>
  <c r="S12" i="84"/>
  <c r="U13" i="84"/>
  <c r="W14" i="84"/>
  <c r="W15" i="84"/>
  <c r="W17" i="84"/>
  <c r="W19" i="84"/>
  <c r="W21" i="84"/>
  <c r="W23" i="84"/>
  <c r="AA25" i="84"/>
  <c r="AA30" i="84"/>
  <c r="S30" i="84"/>
  <c r="W43" i="84"/>
  <c r="G54" i="84"/>
  <c r="H54" i="84" s="1"/>
  <c r="W12" i="84"/>
  <c r="S14" i="84"/>
  <c r="S9" i="84"/>
  <c r="W11" i="84"/>
  <c r="U17" i="84"/>
  <c r="U23" i="84"/>
  <c r="U9" i="84"/>
  <c r="W9" i="84"/>
  <c r="S11" i="84"/>
  <c r="U12" i="84"/>
  <c r="W13" i="84"/>
  <c r="I54" i="84"/>
  <c r="J54" i="84" s="1"/>
  <c r="U37" i="84"/>
  <c r="W38" i="84"/>
  <c r="S40" i="84"/>
  <c r="U41" i="84"/>
  <c r="S44" i="84"/>
  <c r="U45" i="84"/>
  <c r="W46" i="84"/>
  <c r="S29" i="84"/>
  <c r="W32" i="84"/>
  <c r="S35" i="84"/>
  <c r="W37" i="84"/>
  <c r="S39" i="84"/>
  <c r="U40" i="84"/>
  <c r="W41" i="84"/>
  <c r="S43" i="84"/>
  <c r="U44" i="84"/>
  <c r="W45" i="84"/>
  <c r="U25" i="84"/>
  <c r="W26" i="84"/>
  <c r="S28" i="84"/>
  <c r="U29" i="84"/>
  <c r="U30" i="84"/>
  <c r="S34" i="84"/>
  <c r="U35" i="84"/>
  <c r="S38" i="84"/>
  <c r="U39" i="84"/>
  <c r="W40" i="84"/>
  <c r="U43" i="84"/>
  <c r="W44" i="84"/>
  <c r="S46" i="84"/>
  <c r="T47" i="84"/>
  <c r="B16" i="81"/>
  <c r="J8" i="81" s="1"/>
  <c r="J6" i="81"/>
  <c r="B14" i="81"/>
  <c r="C12" i="81" s="1"/>
  <c r="I7" i="33"/>
  <c r="M24" i="85"/>
  <c r="F9" i="85"/>
  <c r="F26" i="85"/>
  <c r="F16" i="85"/>
  <c r="M28" i="85"/>
  <c r="F40" i="85"/>
  <c r="C76" i="85"/>
  <c r="M23" i="85"/>
  <c r="M8" i="85"/>
  <c r="F42" i="85"/>
  <c r="M9" i="85"/>
  <c r="F43" i="85"/>
  <c r="M27" i="85"/>
  <c r="M26" i="85"/>
  <c r="L47" i="85"/>
  <c r="F37" i="85"/>
  <c r="F6" i="85"/>
  <c r="M29" i="85"/>
  <c r="J15" i="85"/>
  <c r="M6" i="85"/>
  <c r="F7" i="85"/>
  <c r="F36" i="85"/>
  <c r="M22" i="85"/>
  <c r="L48" i="85"/>
  <c r="F38" i="85"/>
  <c r="F13" i="85"/>
  <c r="F31" i="85" l="1"/>
  <c r="C6" i="85"/>
  <c r="F68" i="85"/>
  <c r="F64" i="85"/>
  <c r="Q71" i="85"/>
  <c r="F65" i="85"/>
  <c r="F66" i="85"/>
  <c r="F50" i="85"/>
  <c r="F59" i="85" s="1"/>
  <c r="M7" i="85"/>
  <c r="M17" i="85" s="1"/>
  <c r="N59" i="85"/>
  <c r="L58" i="85"/>
  <c r="M59" i="85"/>
  <c r="L59" i="85"/>
  <c r="C27" i="85"/>
  <c r="L57" i="85"/>
  <c r="L56" i="85"/>
  <c r="L60" i="85"/>
  <c r="F71" i="85"/>
  <c r="J57" i="85"/>
  <c r="J55" i="85" s="1"/>
  <c r="J58" i="85" s="1"/>
  <c r="Q50" i="85" s="1"/>
  <c r="J53" i="85"/>
  <c r="I54" i="85"/>
  <c r="AA42" i="84"/>
  <c r="S42" i="84"/>
  <c r="AB31" i="84"/>
  <c r="U31" i="84"/>
  <c r="H7" i="84"/>
  <c r="AC31" i="84"/>
  <c r="W31" i="84"/>
  <c r="AC42" i="84"/>
  <c r="W42" i="84"/>
  <c r="F7" i="84"/>
  <c r="J7" i="84"/>
  <c r="Q22" i="81"/>
  <c r="E93" i="33"/>
  <c r="K9" i="81"/>
  <c r="C11" i="81"/>
  <c r="D93" i="33" s="1"/>
  <c r="J9" i="81"/>
  <c r="K5" i="81"/>
  <c r="K6" i="81"/>
  <c r="K7" i="81"/>
  <c r="D104" i="33"/>
  <c r="E104" i="33" s="1"/>
  <c r="F104" i="33" s="1"/>
  <c r="G104" i="33" s="1"/>
  <c r="C17" i="85"/>
  <c r="C16" i="85"/>
  <c r="C14" i="85"/>
  <c r="J6" i="85" l="1"/>
  <c r="C15" i="85"/>
  <c r="C18" i="85"/>
  <c r="C19" i="85" s="1"/>
  <c r="C49" i="85"/>
  <c r="F1" i="85"/>
  <c r="Q52" i="85"/>
  <c r="Q66" i="85"/>
  <c r="Q57" i="85"/>
  <c r="Q73" i="85"/>
  <c r="Q60" i="85"/>
  <c r="J18" i="85"/>
  <c r="J17" i="85"/>
  <c r="J19" i="85"/>
  <c r="C31" i="85"/>
  <c r="Q61" i="85"/>
  <c r="Q74" i="85"/>
  <c r="S7" i="84"/>
  <c r="AA7" i="84"/>
  <c r="R48" i="84" s="1"/>
  <c r="AC7" i="84"/>
  <c r="V48" i="84" s="1"/>
  <c r="I48" i="84" s="1"/>
  <c r="W7" i="84"/>
  <c r="U7" i="84"/>
  <c r="AB7" i="84"/>
  <c r="T48" i="84" s="1"/>
  <c r="G48" i="84" s="1"/>
  <c r="Q30" i="81"/>
  <c r="P79" i="81"/>
  <c r="I47" i="33" s="1"/>
  <c r="E7" i="33"/>
  <c r="N33" i="33"/>
  <c r="I36" i="33" s="1"/>
  <c r="N30" i="33"/>
  <c r="E36" i="33" s="1"/>
  <c r="C20" i="85" l="1"/>
  <c r="C59" i="85"/>
  <c r="I52" i="84"/>
  <c r="J52" i="84" s="1"/>
  <c r="G53" i="84"/>
  <c r="H53" i="84" s="1"/>
  <c r="G52" i="84"/>
  <c r="H52" i="84" s="1"/>
  <c r="E48" i="84"/>
  <c r="R49" i="84"/>
  <c r="G36" i="33"/>
  <c r="G47" i="33"/>
  <c r="I33" i="33"/>
  <c r="G33" i="33"/>
  <c r="E33" i="33"/>
  <c r="G5" i="33"/>
  <c r="I5" i="33" s="1"/>
  <c r="E5" i="33"/>
  <c r="N77" i="81"/>
  <c r="C26" i="85" l="1"/>
  <c r="C49" i="84"/>
  <c r="C48" i="84"/>
  <c r="E53" i="84"/>
  <c r="F53" i="84" s="1"/>
  <c r="E52" i="84"/>
  <c r="F52" i="84" s="1"/>
  <c r="I53" i="84"/>
  <c r="J53" i="84" s="1"/>
  <c r="F4" i="81"/>
  <c r="P19" i="1"/>
  <c r="P20" i="1" s="1"/>
  <c r="J49" i="67"/>
  <c r="H7" i="1"/>
  <c r="I7" i="1"/>
  <c r="J7" i="1"/>
  <c r="L7" i="1"/>
  <c r="Q7" i="1"/>
  <c r="V7" i="1"/>
  <c r="W7" i="1"/>
  <c r="AK7" i="1"/>
  <c r="AL7" i="1"/>
  <c r="AM7" i="1"/>
  <c r="B59" i="1"/>
  <c r="N6" i="1"/>
  <c r="C36" i="33" s="1"/>
  <c r="K37" i="1"/>
  <c r="J36" i="1"/>
  <c r="K26" i="1"/>
  <c r="K38" i="1" s="1"/>
  <c r="J26" i="1"/>
  <c r="J37" i="1" s="1"/>
  <c r="I26" i="1"/>
  <c r="I36" i="1" s="1"/>
  <c r="B3" i="84" l="1"/>
  <c r="B2" i="84"/>
  <c r="U7" i="1"/>
  <c r="Y6" i="1"/>
  <c r="Y7" i="1" s="1"/>
  <c r="N7" i="1"/>
  <c r="I38" i="1"/>
  <c r="I37" i="1"/>
  <c r="J38" i="1"/>
  <c r="K36" i="1"/>
  <c r="C20" i="6" l="1"/>
  <c r="C19" i="6"/>
  <c r="D3" i="4"/>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T30" i="79"/>
  <c r="W30" i="79" s="1"/>
  <c r="AD37" i="79"/>
  <c r="U40" i="79"/>
  <c r="AD41" i="79"/>
  <c r="V17" i="79"/>
  <c r="M26" i="79"/>
  <c r="P26" i="79" s="1"/>
  <c r="Z3" i="79"/>
  <c r="R13" i="79"/>
  <c r="V13" i="79"/>
  <c r="S14" i="79"/>
  <c r="T15" i="79"/>
  <c r="W15" i="79" s="1"/>
  <c r="U17" i="79"/>
  <c r="S28" i="79"/>
  <c r="AA26" i="79"/>
  <c r="AD26" i="79" s="1"/>
  <c r="U36" i="79"/>
  <c r="S38"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c r="C51"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8" i="71" s="1"/>
  <c r="O39" i="71"/>
  <c r="N39" i="71"/>
  <c r="X39" i="71"/>
  <c r="Q38" i="71"/>
  <c r="P38" i="71"/>
  <c r="O38" i="71"/>
  <c r="Y38" i="71" s="1"/>
  <c r="Z38" i="71" s="1"/>
  <c r="N38" i="71"/>
  <c r="Q37" i="71"/>
  <c r="P37" i="71"/>
  <c r="O37" i="71"/>
  <c r="N37" i="71"/>
  <c r="B38" i="71" s="1"/>
  <c r="B39" i="71" s="1"/>
  <c r="B40" i="71" s="1"/>
  <c r="S40" i="71" s="1"/>
  <c r="D37" i="71"/>
  <c r="Q36" i="71"/>
  <c r="P36" i="71"/>
  <c r="O36" i="71"/>
  <c r="N36" i="71"/>
  <c r="Q35" i="71"/>
  <c r="P35" i="71"/>
  <c r="O35" i="71"/>
  <c r="N35" i="71"/>
  <c r="Q34" i="71"/>
  <c r="AB34" i="71"/>
  <c r="P34" i="71"/>
  <c r="O34" i="71"/>
  <c r="N34" i="71"/>
  <c r="X34" i="71" s="1"/>
  <c r="Q33" i="71"/>
  <c r="F34" i="71" s="1"/>
  <c r="F35" i="71" s="1"/>
  <c r="F36" i="71" s="1"/>
  <c r="V36" i="71" s="1"/>
  <c r="P33" i="71"/>
  <c r="O33" i="71"/>
  <c r="N33" i="71"/>
  <c r="D33" i="71"/>
  <c r="Q32" i="71"/>
  <c r="P32" i="71"/>
  <c r="O32" i="71"/>
  <c r="N32" i="71"/>
  <c r="Q31" i="71"/>
  <c r="P31" i="71"/>
  <c r="O31" i="71"/>
  <c r="N31" i="71"/>
  <c r="X31" i="71" s="1"/>
  <c r="Q30" i="71"/>
  <c r="P30" i="71"/>
  <c r="O30" i="71"/>
  <c r="N30" i="71"/>
  <c r="Q29" i="71"/>
  <c r="F30" i="71" s="1"/>
  <c r="F31" i="71" s="1"/>
  <c r="F32" i="71" s="1"/>
  <c r="V32" i="71" s="1"/>
  <c r="P29" i="71"/>
  <c r="O29" i="71"/>
  <c r="C30" i="71" s="1"/>
  <c r="D30" i="71" s="1"/>
  <c r="N29" i="71"/>
  <c r="D29" i="71"/>
  <c r="O28" i="71"/>
  <c r="N28" i="71"/>
  <c r="B28" i="71" s="1"/>
  <c r="B27" i="71" s="1"/>
  <c r="B26" i="71" s="1"/>
  <c r="B30" i="71"/>
  <c r="B31" i="71" s="1"/>
  <c r="B32" i="71" s="1"/>
  <c r="S32" i="71" s="1"/>
  <c r="E30" i="71"/>
  <c r="E31" i="71" s="1"/>
  <c r="E32" i="71" s="1"/>
  <c r="U32" i="71" s="1"/>
  <c r="E34" i="71"/>
  <c r="C34" i="71"/>
  <c r="D34" i="71" s="1"/>
  <c r="C35" i="71"/>
  <c r="C36" i="71" s="1"/>
  <c r="Y27" i="71"/>
  <c r="Z27" i="71" s="1"/>
  <c r="P28" i="71"/>
  <c r="E28" i="71" s="1"/>
  <c r="U68" i="71"/>
  <c r="E67" i="71"/>
  <c r="Q28" i="71"/>
  <c r="F28" i="71" s="1"/>
  <c r="F27" i="71" s="1"/>
  <c r="F26" i="71" s="1"/>
  <c r="D58" i="71"/>
  <c r="D62" i="71"/>
  <c r="T68" i="71"/>
  <c r="O68" i="71"/>
  <c r="D68" i="71"/>
  <c r="C67" i="71"/>
  <c r="D67" i="71" s="1"/>
  <c r="Q68" i="71"/>
  <c r="E71" i="71"/>
  <c r="E70" i="71" s="1"/>
  <c r="D72" i="71"/>
  <c r="C75" i="71"/>
  <c r="D75" i="71" s="1"/>
  <c r="D76" i="71"/>
  <c r="E79" i="71"/>
  <c r="E78" i="71" s="1"/>
  <c r="D80" i="71"/>
  <c r="C87" i="71"/>
  <c r="C86" i="71" s="1"/>
  <c r="D86" i="71" s="1"/>
  <c r="AA3" i="71"/>
  <c r="C74" i="71"/>
  <c r="D74" i="71" s="1"/>
  <c r="D87" i="71"/>
  <c r="P67" i="71"/>
  <c r="E66" i="71"/>
  <c r="P65"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9" i="39"/>
  <c r="W29" i="39"/>
  <c r="W18" i="36"/>
  <c r="U21" i="34"/>
  <c r="AC18" i="35"/>
  <c r="J21" i="37"/>
  <c r="W21" i="37" s="1"/>
  <c r="J21" i="34"/>
  <c r="W21" i="34" s="1"/>
  <c r="J21" i="33"/>
  <c r="W21" i="33" s="1"/>
  <c r="H21" i="21"/>
  <c r="U21" i="21" s="1"/>
  <c r="F38" i="69"/>
  <c r="E37" i="69"/>
  <c r="F36" i="69"/>
  <c r="F35" i="69"/>
  <c r="F21" i="69"/>
  <c r="F40" i="69" s="1"/>
  <c r="F20" i="69"/>
  <c r="F39" i="69" s="1"/>
  <c r="E10" i="69"/>
  <c r="E9" i="69"/>
  <c r="G83" i="21"/>
  <c r="J21" i="21"/>
  <c r="W21" i="21" s="1"/>
  <c r="C40" i="69"/>
  <c r="F38" i="68"/>
  <c r="E37" i="68"/>
  <c r="F36" i="68"/>
  <c r="F35" i="68"/>
  <c r="F21" i="68"/>
  <c r="F40" i="68" s="1"/>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s="1"/>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A95" i="3" s="1"/>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A55" i="3" s="1"/>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A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A444" i="3" s="1"/>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G44" i="43" s="1"/>
  <c r="C15" i="4"/>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U42" i="34" s="1"/>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S37" i="33" s="1"/>
  <c r="D111" i="33"/>
  <c r="E111" i="33" s="1"/>
  <c r="F111" i="33" s="1"/>
  <c r="F36" i="33" s="1"/>
  <c r="AA36"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J38" i="40" s="1"/>
  <c r="AC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J40" i="37" s="1"/>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D70" i="36"/>
  <c r="H22" i="36"/>
  <c r="AB22" i="36" s="1"/>
  <c r="D68" i="36"/>
  <c r="E68" i="36" s="1"/>
  <c r="F68" i="36" s="1"/>
  <c r="G68" i="36"/>
  <c r="D64" i="36"/>
  <c r="E64" i="36" s="1"/>
  <c r="F64" i="36" s="1"/>
  <c r="G64" i="36" s="1"/>
  <c r="J16" i="36"/>
  <c r="W16" i="36" s="1"/>
  <c r="D62" i="36"/>
  <c r="E62" i="36"/>
  <c r="F62" i="36" s="1"/>
  <c r="G62" i="36" s="1"/>
  <c r="B59" i="36"/>
  <c r="B57" i="36"/>
  <c r="H12" i="36" s="1"/>
  <c r="J12" i="36"/>
  <c r="B55" i="36"/>
  <c r="F11" i="36" s="1"/>
  <c r="AA11" i="36" s="1"/>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c r="Q25" i="36"/>
  <c r="Z25" i="36" s="1"/>
  <c r="Q24" i="36"/>
  <c r="Z24" i="36" s="1"/>
  <c r="H24" i="36"/>
  <c r="AB24" i="36" s="1"/>
  <c r="Q23" i="36"/>
  <c r="Z23" i="36"/>
  <c r="J23" i="36"/>
  <c r="AC23" i="36" s="1"/>
  <c r="Q22" i="36"/>
  <c r="Z22" i="36" s="1"/>
  <c r="J22" i="36"/>
  <c r="AC22" i="36"/>
  <c r="Q20" i="36"/>
  <c r="Z20" i="36" s="1"/>
  <c r="Q16" i="36"/>
  <c r="Z16" i="36"/>
  <c r="Q14" i="36"/>
  <c r="Z14" i="36" s="1"/>
  <c r="Q13" i="36"/>
  <c r="Z13" i="36"/>
  <c r="Q12" i="36"/>
  <c r="Z12" i="36" s="1"/>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c r="AB36" i="35" s="1"/>
  <c r="B99" i="35"/>
  <c r="B97" i="35"/>
  <c r="H34" i="35" s="1"/>
  <c r="B77" i="35"/>
  <c r="B75" i="35"/>
  <c r="J24" i="35" s="1"/>
  <c r="AC24" i="35" s="1"/>
  <c r="B73" i="35"/>
  <c r="F23" i="35" s="1"/>
  <c r="AA23" i="35" s="1"/>
  <c r="B57" i="35"/>
  <c r="B61" i="35"/>
  <c r="B59" i="35"/>
  <c r="B131" i="34"/>
  <c r="B129" i="34"/>
  <c r="F46" i="34" s="1"/>
  <c r="B127" i="34"/>
  <c r="B99" i="34"/>
  <c r="B97" i="34"/>
  <c r="H31" i="34" s="1"/>
  <c r="B95" i="34"/>
  <c r="B93" i="34"/>
  <c r="B75" i="34"/>
  <c r="B73" i="34"/>
  <c r="H13" i="34" s="1"/>
  <c r="U13" i="34" s="1"/>
  <c r="B71" i="34"/>
  <c r="B130" i="33"/>
  <c r="B128" i="33"/>
  <c r="B126" i="33"/>
  <c r="H44" i="33" s="1"/>
  <c r="B98" i="33"/>
  <c r="H31" i="33" s="1"/>
  <c r="B96" i="33"/>
  <c r="B94" i="33"/>
  <c r="B74" i="33"/>
  <c r="J14" i="33" s="1"/>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H9" i="34"/>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E123" i="33" s="1"/>
  <c r="F123" i="33" s="1"/>
  <c r="D117" i="33"/>
  <c r="E117" i="33" s="1"/>
  <c r="F117" i="33" s="1"/>
  <c r="G117" i="33" s="1"/>
  <c r="D115" i="33"/>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F19" i="33" s="1"/>
  <c r="S19"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P49" i="33"/>
  <c r="P48" i="33"/>
  <c r="V47" i="33"/>
  <c r="T47" i="33"/>
  <c r="R47" i="33"/>
  <c r="P47" i="33"/>
  <c r="Q46" i="33"/>
  <c r="Z46" i="33" s="1"/>
  <c r="Q45" i="33"/>
  <c r="Z45" i="33" s="1"/>
  <c r="Q44" i="33"/>
  <c r="Z44" i="33" s="1"/>
  <c r="Q43" i="33"/>
  <c r="Z43" i="33" s="1"/>
  <c r="Q42" i="33"/>
  <c r="Z42" i="33" s="1"/>
  <c r="AC41" i="33"/>
  <c r="W41" i="33"/>
  <c r="Q41" i="33"/>
  <c r="Z41" i="33" s="1"/>
  <c r="Q40" i="33"/>
  <c r="Z40" i="33" s="1"/>
  <c r="J40" i="33"/>
  <c r="AC40" i="33" s="1"/>
  <c r="H40" i="33"/>
  <c r="AB40" i="33" s="1"/>
  <c r="AA40" i="33"/>
  <c r="Q39" i="33"/>
  <c r="Z39" i="33"/>
  <c r="J39" i="33"/>
  <c r="AC39" i="33" s="1"/>
  <c r="Q38" i="33"/>
  <c r="Z38" i="33" s="1"/>
  <c r="Q37" i="33"/>
  <c r="Z37" i="33"/>
  <c r="Q36" i="33"/>
  <c r="Z36" i="33" s="1"/>
  <c r="Q35" i="33"/>
  <c r="Z35" i="33"/>
  <c r="H35" i="33"/>
  <c r="AB35" i="33" s="1"/>
  <c r="Q34" i="33"/>
  <c r="Z34" i="33"/>
  <c r="Q33" i="33"/>
  <c r="Z33" i="33" s="1"/>
  <c r="Q32" i="33"/>
  <c r="Z32" i="33" s="1"/>
  <c r="Q31" i="33"/>
  <c r="Z31" i="33" s="1"/>
  <c r="Q30" i="33"/>
  <c r="Z30" i="33" s="1"/>
  <c r="Q29" i="33"/>
  <c r="Z29" i="33" s="1"/>
  <c r="Q28" i="33"/>
  <c r="Z28" i="33" s="1"/>
  <c r="Q27" i="33"/>
  <c r="Z27" i="33" s="1"/>
  <c r="Q26" i="33"/>
  <c r="Z26" i="33" s="1"/>
  <c r="Q25" i="33"/>
  <c r="Z25" i="33" s="1"/>
  <c r="Q23" i="33"/>
  <c r="Z23" i="33" s="1"/>
  <c r="Q19" i="33"/>
  <c r="Z19" i="33"/>
  <c r="Q17" i="33"/>
  <c r="Z17" i="33" s="1"/>
  <c r="Q15" i="33"/>
  <c r="Z15" i="33"/>
  <c r="Q14" i="33"/>
  <c r="Z14" i="33" s="1"/>
  <c r="Q13" i="33"/>
  <c r="Z13" i="33" s="1"/>
  <c r="Q12" i="33"/>
  <c r="Z12" i="33" s="1"/>
  <c r="H12" i="33"/>
  <c r="U12" i="33" s="1"/>
  <c r="Q11" i="33"/>
  <c r="Z11" i="33" s="1"/>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B96" i="21"/>
  <c r="B94" i="21"/>
  <c r="J29" i="21"/>
  <c r="AC29" i="21" s="1"/>
  <c r="B92" i="21"/>
  <c r="B90" i="21"/>
  <c r="H27" i="21" s="1"/>
  <c r="B74" i="21"/>
  <c r="B72" i="21"/>
  <c r="H13" i="21"/>
  <c r="B70" i="21"/>
  <c r="F12" i="21" s="1"/>
  <c r="C19" i="21"/>
  <c r="C17" i="21"/>
  <c r="C23" i="21"/>
  <c r="Q9" i="21"/>
  <c r="Z9" i="21" s="1"/>
  <c r="Q10" i="21"/>
  <c r="Z10" i="21"/>
  <c r="Q11" i="21"/>
  <c r="Z11" i="21" s="1"/>
  <c r="Q12" i="21"/>
  <c r="Z12" i="21"/>
  <c r="Q13" i="21"/>
  <c r="Z13" i="21" s="1"/>
  <c r="Q14" i="21"/>
  <c r="Z14" i="21" s="1"/>
  <c r="Q15" i="21"/>
  <c r="Z15" i="21" s="1"/>
  <c r="Q17" i="21"/>
  <c r="Z17" i="21"/>
  <c r="Q19" i="21"/>
  <c r="Z19" i="21" s="1"/>
  <c r="Q23" i="21"/>
  <c r="Z23" i="21"/>
  <c r="Q25" i="21"/>
  <c r="Z25" i="21" s="1"/>
  <c r="Q26" i="21"/>
  <c r="Z26" i="21"/>
  <c r="Q27" i="21"/>
  <c r="Z27" i="21" s="1"/>
  <c r="Q28" i="21"/>
  <c r="Z28" i="21" s="1"/>
  <c r="Q29" i="21"/>
  <c r="Z29" i="21" s="1"/>
  <c r="Q30" i="21"/>
  <c r="Z30" i="21"/>
  <c r="Q31" i="21"/>
  <c r="Z31" i="21" s="1"/>
  <c r="Q32" i="21"/>
  <c r="Z32" i="21"/>
  <c r="Q33" i="21"/>
  <c r="Z33" i="21" s="1"/>
  <c r="Q34" i="21"/>
  <c r="Z34" i="21"/>
  <c r="J35" i="21"/>
  <c r="W35" i="21" s="1"/>
  <c r="Q35" i="21"/>
  <c r="Z35" i="21" s="1"/>
  <c r="Q36" i="21"/>
  <c r="Z36" i="21" s="1"/>
  <c r="Q37" i="21"/>
  <c r="Z37" i="21" s="1"/>
  <c r="J38" i="21"/>
  <c r="W38" i="21" s="1"/>
  <c r="Q38" i="21"/>
  <c r="Z38" i="21"/>
  <c r="J39" i="21"/>
  <c r="AC39" i="21" s="1"/>
  <c r="Q39" i="21"/>
  <c r="Z39" i="21"/>
  <c r="H40" i="21"/>
  <c r="AB40" i="21" s="1"/>
  <c r="Q40" i="21"/>
  <c r="Z40" i="21" s="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s="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S26" i="21" s="1"/>
  <c r="AB41" i="21"/>
  <c r="AA41" i="21"/>
  <c r="F45" i="39"/>
  <c r="S45" i="39" s="1"/>
  <c r="F36" i="39"/>
  <c r="S36" i="39" s="1"/>
  <c r="H36" i="39"/>
  <c r="AB36" i="39"/>
  <c r="J35" i="39"/>
  <c r="AC35" i="39" s="1"/>
  <c r="F35" i="39"/>
  <c r="AA35" i="39" s="1"/>
  <c r="J36" i="39"/>
  <c r="AC36" i="39" s="1"/>
  <c r="U9" i="39"/>
  <c r="W40" i="39"/>
  <c r="U30" i="37"/>
  <c r="W31" i="37"/>
  <c r="F39" i="37"/>
  <c r="S39" i="37" s="1"/>
  <c r="F29" i="36"/>
  <c r="AA29" i="36" s="1"/>
  <c r="F16" i="36"/>
  <c r="AA16" i="36" s="1"/>
  <c r="W28" i="36"/>
  <c r="U31" i="36"/>
  <c r="H22" i="35"/>
  <c r="AB22" i="35" s="1"/>
  <c r="AC27" i="35"/>
  <c r="W28" i="35"/>
  <c r="U31" i="35"/>
  <c r="S31" i="35"/>
  <c r="F36" i="34"/>
  <c r="J35" i="34"/>
  <c r="U34" i="34"/>
  <c r="H39" i="33"/>
  <c r="AB39" i="33" s="1"/>
  <c r="F26" i="33"/>
  <c r="AA26" i="33" s="1"/>
  <c r="S40" i="33"/>
  <c r="H39" i="37"/>
  <c r="AB39" i="37"/>
  <c r="S27" i="35"/>
  <c r="F11" i="40"/>
  <c r="AA11" i="40" s="1"/>
  <c r="H11" i="40"/>
  <c r="AB11" i="40"/>
  <c r="W8" i="40"/>
  <c r="U9" i="40"/>
  <c r="S34" i="40"/>
  <c r="W31" i="40"/>
  <c r="U34" i="40"/>
  <c r="F42" i="39"/>
  <c r="AA42" i="39" s="1"/>
  <c r="F41" i="39"/>
  <c r="S41" i="39" s="1"/>
  <c r="H40" i="39"/>
  <c r="AB40" i="39" s="1"/>
  <c r="H39" i="39"/>
  <c r="U39" i="39" s="1"/>
  <c r="S38" i="39"/>
  <c r="S34" i="39"/>
  <c r="H34" i="39"/>
  <c r="U34"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J31" i="39"/>
  <c r="F100" i="39"/>
  <c r="H27" i="39"/>
  <c r="U27" i="39" s="1"/>
  <c r="J19" i="39"/>
  <c r="AC19" i="39" s="1"/>
  <c r="J17" i="39"/>
  <c r="J27" i="39"/>
  <c r="AC27" i="39" s="1"/>
  <c r="F27" i="39"/>
  <c r="F11" i="21"/>
  <c r="S11" i="21" s="1"/>
  <c r="S40" i="21"/>
  <c r="U34" i="21"/>
  <c r="H1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5"/>
  <c r="AB12" i="36"/>
  <c r="W32" i="40"/>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AA12" i="36" s="1"/>
  <c r="F24" i="36"/>
  <c r="AA24" i="36"/>
  <c r="F34" i="36"/>
  <c r="S34" i="36" s="1"/>
  <c r="F14" i="35"/>
  <c r="AA14"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U17" i="34" s="1"/>
  <c r="F15" i="34"/>
  <c r="AA15" i="34" s="1"/>
  <c r="J15" i="34"/>
  <c r="H15" i="34"/>
  <c r="AB15" i="34" s="1"/>
  <c r="W8" i="34"/>
  <c r="F41" i="33"/>
  <c r="AA41" i="33" s="1"/>
  <c r="E113" i="33"/>
  <c r="F113" i="33" s="1"/>
  <c r="G113" i="33" s="1"/>
  <c r="H113" i="33" s="1"/>
  <c r="I113" i="33" s="1"/>
  <c r="J113" i="33" s="1"/>
  <c r="K113" i="33" s="1"/>
  <c r="L113" i="33" s="1"/>
  <c r="M113" i="33" s="1"/>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S12" i="36"/>
  <c r="AB30" i="36"/>
  <c r="F29" i="35"/>
  <c r="S29" i="35" s="1"/>
  <c r="H29" i="35"/>
  <c r="AB29" i="35" s="1"/>
  <c r="H33" i="37"/>
  <c r="F33" i="37"/>
  <c r="AA33" i="37" s="1"/>
  <c r="U34" i="37"/>
  <c r="S34" i="37"/>
  <c r="AA34" i="37"/>
  <c r="J43" i="34"/>
  <c r="AB42" i="34"/>
  <c r="J40" i="34"/>
  <c r="H38" i="34"/>
  <c r="AB38" i="34" s="1"/>
  <c r="J36" i="34"/>
  <c r="AC36" i="34" s="1"/>
  <c r="H37" i="34"/>
  <c r="U37" i="34" s="1"/>
  <c r="H25" i="34"/>
  <c r="AB25" i="34" s="1"/>
  <c r="J25" i="34"/>
  <c r="AC25" i="34" s="1"/>
  <c r="F23" i="34"/>
  <c r="AA23" i="34"/>
  <c r="J19" i="34"/>
  <c r="AC19" i="34" s="1"/>
  <c r="F17" i="34"/>
  <c r="AA17" i="34" s="1"/>
  <c r="J17" i="34"/>
  <c r="W17" i="34" s="1"/>
  <c r="H37" i="33"/>
  <c r="AB37" i="33" s="1"/>
  <c r="H11" i="33"/>
  <c r="AB11" i="33" s="1"/>
  <c r="F28" i="40"/>
  <c r="AA28" i="40" s="1"/>
  <c r="AA42" i="34"/>
  <c r="S42" i="34"/>
  <c r="AC38" i="34"/>
  <c r="AA38" i="34"/>
  <c r="J37" i="34"/>
  <c r="AC37" i="34" s="1"/>
  <c r="J11" i="33"/>
  <c r="W11" i="33" s="1"/>
  <c r="S28" i="34"/>
  <c r="J42" i="21"/>
  <c r="AC42" i="21"/>
  <c r="H42" i="21"/>
  <c r="U42" i="21"/>
  <c r="J44" i="34"/>
  <c r="F44" i="34"/>
  <c r="S44" i="34" s="1"/>
  <c r="J10" i="35"/>
  <c r="AC10" i="35" s="1"/>
  <c r="J14" i="21"/>
  <c r="W14" i="21" s="1"/>
  <c r="F14" i="21"/>
  <c r="S14" i="21" s="1"/>
  <c r="H14" i="21"/>
  <c r="U14" i="21" s="1"/>
  <c r="H28" i="21"/>
  <c r="AB28" i="21" s="1"/>
  <c r="F28" i="21"/>
  <c r="AA28" i="21"/>
  <c r="J28" i="21"/>
  <c r="W28" i="21" s="1"/>
  <c r="H30" i="21"/>
  <c r="U30" i="21" s="1"/>
  <c r="F30" i="21"/>
  <c r="S30" i="21" s="1"/>
  <c r="J30" i="21"/>
  <c r="AC30" i="21" s="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AB27" i="21"/>
  <c r="F27" i="21"/>
  <c r="AA27" i="21" s="1"/>
  <c r="H29" i="21"/>
  <c r="U29" i="21" s="1"/>
  <c r="F31" i="21"/>
  <c r="S31" i="21"/>
  <c r="F45" i="21"/>
  <c r="AA45" i="21" s="1"/>
  <c r="J13" i="33"/>
  <c r="H13" i="33"/>
  <c r="U13" i="33" s="1"/>
  <c r="F13" i="33"/>
  <c r="S13" i="33" s="1"/>
  <c r="J29" i="33"/>
  <c r="H29" i="33"/>
  <c r="U29" i="33" s="1"/>
  <c r="F29" i="33"/>
  <c r="S29" i="33" s="1"/>
  <c r="J31" i="33"/>
  <c r="W31" i="33" s="1"/>
  <c r="F31" i="33"/>
  <c r="H45" i="33"/>
  <c r="U45" i="33" s="1"/>
  <c r="J45" i="33"/>
  <c r="W45" i="33" s="1"/>
  <c r="F45" i="33"/>
  <c r="AA45" i="33"/>
  <c r="J14" i="34"/>
  <c r="W14" i="34" s="1"/>
  <c r="F14" i="34"/>
  <c r="S14" i="34" s="1"/>
  <c r="H14" i="34"/>
  <c r="H30" i="34"/>
  <c r="F30" i="34"/>
  <c r="S30" i="34" s="1"/>
  <c r="J30" i="34"/>
  <c r="H32" i="34"/>
  <c r="F32" i="34"/>
  <c r="J32" i="34"/>
  <c r="W32" i="34" s="1"/>
  <c r="H46" i="34"/>
  <c r="U46" i="34" s="1"/>
  <c r="J46" i="34"/>
  <c r="H11" i="35"/>
  <c r="AB11" i="35" s="1"/>
  <c r="J11" i="35"/>
  <c r="F11" i="35"/>
  <c r="S11" i="35" s="1"/>
  <c r="J26" i="36"/>
  <c r="W26" i="36" s="1"/>
  <c r="H28" i="36"/>
  <c r="U28" i="36" s="1"/>
  <c r="H32" i="36"/>
  <c r="AB32" i="36" s="1"/>
  <c r="J32" i="36"/>
  <c r="W32" i="36" s="1"/>
  <c r="J11" i="36"/>
  <c r="AC11" i="36" s="1"/>
  <c r="H11" i="36"/>
  <c r="U11" i="36" s="1"/>
  <c r="H13" i="36"/>
  <c r="AB13" i="36" s="1"/>
  <c r="J13" i="36"/>
  <c r="F13" i="36"/>
  <c r="S13" i="36" s="1"/>
  <c r="E89" i="37"/>
  <c r="F89" i="37" s="1"/>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AC40" i="37"/>
  <c r="F40" i="37"/>
  <c r="AA40" i="37" s="1"/>
  <c r="AC12" i="40"/>
  <c r="W12" i="40"/>
  <c r="H14" i="33"/>
  <c r="U14" i="33" s="1"/>
  <c r="F14" i="33"/>
  <c r="S14" i="33" s="1"/>
  <c r="H30" i="33"/>
  <c r="U30" i="33" s="1"/>
  <c r="F30" i="33"/>
  <c r="J30" i="33"/>
  <c r="J44" i="33"/>
  <c r="AC44" i="33" s="1"/>
  <c r="F44" i="33"/>
  <c r="S44" i="33" s="1"/>
  <c r="J46" i="33"/>
  <c r="AC46" i="33" s="1"/>
  <c r="F46" i="33"/>
  <c r="AA46" i="33" s="1"/>
  <c r="H46" i="33"/>
  <c r="AB46" i="33"/>
  <c r="J13" i="34"/>
  <c r="W13" i="34" s="1"/>
  <c r="F13" i="34"/>
  <c r="AA13" i="34" s="1"/>
  <c r="J29" i="34"/>
  <c r="F29" i="34"/>
  <c r="S29" i="34" s="1"/>
  <c r="H29" i="34"/>
  <c r="AB29" i="34" s="1"/>
  <c r="J31" i="34"/>
  <c r="AC31" i="34" s="1"/>
  <c r="F31" i="34"/>
  <c r="S31" i="34" s="1"/>
  <c r="H45" i="34"/>
  <c r="U45" i="34" s="1"/>
  <c r="J45" i="34"/>
  <c r="W45" i="34" s="1"/>
  <c r="F45" i="34"/>
  <c r="S45" i="34" s="1"/>
  <c r="H47" i="34"/>
  <c r="U47" i="34" s="1"/>
  <c r="F47" i="34"/>
  <c r="S47" i="34" s="1"/>
  <c r="J47" i="34"/>
  <c r="AC47" i="34" s="1"/>
  <c r="F13" i="35"/>
  <c r="J13" i="35"/>
  <c r="W13" i="35" s="1"/>
  <c r="H13" i="35"/>
  <c r="U13" i="35" s="1"/>
  <c r="J25" i="35"/>
  <c r="W25" i="35"/>
  <c r="F25" i="35"/>
  <c r="S25" i="35" s="1"/>
  <c r="H25" i="35"/>
  <c r="AB25" i="35" s="1"/>
  <c r="J35" i="35"/>
  <c r="AC35" i="35" s="1"/>
  <c r="F35" i="35"/>
  <c r="AA35" i="35"/>
  <c r="H35" i="35"/>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F43" i="39"/>
  <c r="AA43" i="39" s="1"/>
  <c r="H43" i="39"/>
  <c r="J14" i="39"/>
  <c r="AC14" i="39" s="1"/>
  <c r="F14" i="39"/>
  <c r="H14" i="39"/>
  <c r="AB14" i="39" s="1"/>
  <c r="F12" i="40"/>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s="1"/>
  <c r="J14" i="40"/>
  <c r="W14" i="40" s="1"/>
  <c r="F14" i="40"/>
  <c r="AA14" i="40" s="1"/>
  <c r="J14" i="37"/>
  <c r="J27" i="37"/>
  <c r="AC27" i="37" s="1"/>
  <c r="AA44" i="33"/>
  <c r="U46" i="33"/>
  <c r="J36" i="37"/>
  <c r="AC36" i="37" s="1"/>
  <c r="J10" i="36"/>
  <c r="AC10" i="36" s="1"/>
  <c r="W31" i="34"/>
  <c r="S11" i="36"/>
  <c r="S45" i="33"/>
  <c r="AC28" i="21"/>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AZ522" i="3" s="1"/>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BA552" i="3"/>
  <c r="AZ552" i="3" s="1"/>
  <c r="BA548" i="3"/>
  <c r="BA546" i="3"/>
  <c r="BA544" i="3"/>
  <c r="BA542" i="3"/>
  <c r="AZ542" i="3" s="1"/>
  <c r="BA540" i="3"/>
  <c r="BA538" i="3"/>
  <c r="AZ538" i="3" s="1"/>
  <c r="BA536" i="3"/>
  <c r="AZ536" i="3"/>
  <c r="BA534" i="3"/>
  <c r="AZ534" i="3" s="1"/>
  <c r="BA532" i="3"/>
  <c r="AZ532" i="3"/>
  <c r="BA530" i="3"/>
  <c r="BA528" i="3"/>
  <c r="BA526" i="3"/>
  <c r="AZ526" i="3" s="1"/>
  <c r="BA524" i="3"/>
  <c r="AZ524" i="3" s="1"/>
  <c r="BA522" i="3"/>
  <c r="BA520" i="3"/>
  <c r="BA518" i="3"/>
  <c r="BA516" i="3"/>
  <c r="AZ516" i="3" s="1"/>
  <c r="BA514" i="3"/>
  <c r="BA512" i="3"/>
  <c r="AZ512" i="3" s="1"/>
  <c r="BA510" i="3"/>
  <c r="AZ510" i="3" s="1"/>
  <c r="BA508" i="3"/>
  <c r="AZ508" i="3" s="1"/>
  <c r="BA506" i="3"/>
  <c r="BA504" i="3"/>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BQ575" i="3"/>
  <c r="BL575" i="3"/>
  <c r="BQ573" i="3"/>
  <c r="BL573" i="3" s="1"/>
  <c r="BQ571" i="3"/>
  <c r="BL571" i="3" s="1"/>
  <c r="BQ569" i="3"/>
  <c r="BL569" i="3" s="1"/>
  <c r="BQ567" i="3"/>
  <c r="BL567" i="3" s="1"/>
  <c r="BQ565" i="3"/>
  <c r="BL565" i="3" s="1"/>
  <c r="AZ565" i="3"/>
  <c r="BQ563" i="3"/>
  <c r="BL563" i="3" s="1"/>
  <c r="AZ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BQ545" i="3"/>
  <c r="BL545" i="3" s="1"/>
  <c r="BQ543" i="3"/>
  <c r="BL543" i="3" s="1"/>
  <c r="AZ543" i="3"/>
  <c r="BQ541" i="3"/>
  <c r="BL541" i="3" s="1"/>
  <c r="AZ541" i="3" s="1"/>
  <c r="BQ539" i="3"/>
  <c r="BL539" i="3" s="1"/>
  <c r="BQ537" i="3"/>
  <c r="BL537" i="3" s="1"/>
  <c r="BQ535" i="3"/>
  <c r="BL535" i="3" s="1"/>
  <c r="AZ535" i="3" s="1"/>
  <c r="BQ533" i="3"/>
  <c r="BL533" i="3" s="1"/>
  <c r="AZ533" i="3" s="1"/>
  <c r="BQ531" i="3"/>
  <c r="BL531" i="3" s="1"/>
  <c r="BQ529" i="3"/>
  <c r="BL529" i="3" s="1"/>
  <c r="BQ527" i="3"/>
  <c r="BL527" i="3" s="1"/>
  <c r="BQ525" i="3"/>
  <c r="BL525" i="3" s="1"/>
  <c r="BQ523" i="3"/>
  <c r="BL523" i="3" s="1"/>
  <c r="BA521" i="3"/>
  <c r="AC521" i="3"/>
  <c r="BQ521" i="3"/>
  <c r="BL521" i="3" s="1"/>
  <c r="BL520" i="3"/>
  <c r="G519" i="3"/>
  <c r="G517" i="3"/>
  <c r="G515" i="3"/>
  <c r="G513" i="3"/>
  <c r="G511" i="3"/>
  <c r="BQ519" i="3"/>
  <c r="BL519" i="3" s="1"/>
  <c r="BQ517" i="3"/>
  <c r="BL517" i="3" s="1"/>
  <c r="BQ515" i="3"/>
  <c r="BL515" i="3" s="1"/>
  <c r="BQ513" i="3"/>
  <c r="BL513" i="3" s="1"/>
  <c r="BQ511" i="3"/>
  <c r="BL511" i="3" s="1"/>
  <c r="AZ511" i="3" s="1"/>
  <c r="BA509" i="3"/>
  <c r="AC509" i="3"/>
  <c r="BQ509" i="3"/>
  <c r="BL509" i="3" s="1"/>
  <c r="BL508" i="3"/>
  <c r="G507" i="3"/>
  <c r="G505" i="3"/>
  <c r="G503" i="3"/>
  <c r="G501" i="3"/>
  <c r="G499" i="3"/>
  <c r="G497" i="3"/>
  <c r="G495" i="3"/>
  <c r="BQ507" i="3"/>
  <c r="BQ505" i="3"/>
  <c r="BL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H28" i="34"/>
  <c r="AB28" i="34" s="1"/>
  <c r="F14" i="36"/>
  <c r="AA14" i="36" s="1"/>
  <c r="F22" i="36"/>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J43" i="33"/>
  <c r="AC43" i="33" s="1"/>
  <c r="S28" i="31"/>
  <c r="S27" i="31"/>
  <c r="S26" i="31"/>
  <c r="U14" i="40"/>
  <c r="U39" i="37"/>
  <c r="U26" i="37"/>
  <c r="W47" i="34"/>
  <c r="AA13"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F31" i="37"/>
  <c r="S31" i="37" s="1"/>
  <c r="F12" i="39"/>
  <c r="S12" i="39" s="1"/>
  <c r="J42" i="39"/>
  <c r="AC42" i="39" s="1"/>
  <c r="H21" i="40"/>
  <c r="AB21" i="40" s="1"/>
  <c r="G94" i="37"/>
  <c r="H94" i="37" s="1"/>
  <c r="I94" i="37" s="1"/>
  <c r="J94" i="37" s="1"/>
  <c r="K94" i="37" s="1"/>
  <c r="L94" i="37" s="1"/>
  <c r="M94" i="37" s="1"/>
  <c r="H31" i="37"/>
  <c r="U31" i="37" s="1"/>
  <c r="J15" i="37"/>
  <c r="W15" i="37"/>
  <c r="AT6" i="3"/>
  <c r="H5" i="3"/>
  <c r="H19" i="40"/>
  <c r="U19" i="40" s="1"/>
  <c r="F88" i="40"/>
  <c r="G88" i="40" s="1"/>
  <c r="F19" i="40"/>
  <c r="S19" i="40" s="1"/>
  <c r="S14" i="40"/>
  <c r="AC13" i="40"/>
  <c r="W23" i="39"/>
  <c r="AC43" i="39"/>
  <c r="W43"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S11" i="39" s="1"/>
  <c r="G4" i="4"/>
  <c r="I4" i="4"/>
  <c r="A2" i="9"/>
  <c r="F61" i="43"/>
  <c r="H64" i="43" s="1"/>
  <c r="BL549" i="3"/>
  <c r="AZ549" i="3" s="1"/>
  <c r="AZ494" i="3"/>
  <c r="AZ514" i="3"/>
  <c r="AZ530" i="3"/>
  <c r="G546" i="3"/>
  <c r="G524" i="3"/>
  <c r="G303" i="3"/>
  <c r="BL304" i="3"/>
  <c r="G305" i="3"/>
  <c r="BL306" i="3"/>
  <c r="BA308" i="3"/>
  <c r="AZ308" i="3" s="1"/>
  <c r="BA309" i="3"/>
  <c r="BL309" i="3"/>
  <c r="G310" i="3"/>
  <c r="BA311" i="3"/>
  <c r="G319" i="3"/>
  <c r="BL320" i="3"/>
  <c r="G321" i="3"/>
  <c r="BL322" i="3"/>
  <c r="BA324" i="3"/>
  <c r="AZ324" i="3" s="1"/>
  <c r="BA325" i="3"/>
  <c r="BL325" i="3"/>
  <c r="AZ325" i="3" s="1"/>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AZ116" i="3" s="1"/>
  <c r="G117" i="3"/>
  <c r="BA119" i="3"/>
  <c r="BL120" i="3"/>
  <c r="AZ120" i="3" s="1"/>
  <c r="G121" i="3"/>
  <c r="BA123" i="3"/>
  <c r="BL124" i="3"/>
  <c r="G125" i="3"/>
  <c r="BA127" i="3"/>
  <c r="AZ127" i="3"/>
  <c r="BL128" i="3"/>
  <c r="G129" i="3"/>
  <c r="BA131" i="3"/>
  <c r="BL132" i="3"/>
  <c r="G133" i="3"/>
  <c r="BA135" i="3"/>
  <c r="BL136" i="3"/>
  <c r="G137" i="3"/>
  <c r="BA139" i="3"/>
  <c r="BL140" i="3"/>
  <c r="G141" i="3"/>
  <c r="BA143" i="3"/>
  <c r="BL144" i="3"/>
  <c r="G145" i="3"/>
  <c r="BA147" i="3"/>
  <c r="BL148" i="3"/>
  <c r="AZ148" i="3" s="1"/>
  <c r="G149" i="3"/>
  <c r="BA151" i="3"/>
  <c r="BL152" i="3"/>
  <c r="G153" i="3"/>
  <c r="BA155" i="3"/>
  <c r="BL156" i="3"/>
  <c r="G157" i="3"/>
  <c r="BA159" i="3"/>
  <c r="BL160" i="3"/>
  <c r="G161" i="3"/>
  <c r="BA163" i="3"/>
  <c r="AZ163" i="3" s="1"/>
  <c r="BL164" i="3"/>
  <c r="G165" i="3"/>
  <c r="BA167" i="3"/>
  <c r="BL168" i="3"/>
  <c r="G169" i="3"/>
  <c r="BA171" i="3"/>
  <c r="BL172" i="3"/>
  <c r="G173" i="3"/>
  <c r="BA175" i="3"/>
  <c r="AZ175" i="3"/>
  <c r="BL176" i="3"/>
  <c r="G177" i="3"/>
  <c r="BA179" i="3"/>
  <c r="BL180" i="3"/>
  <c r="G181" i="3"/>
  <c r="BA183" i="3"/>
  <c r="AZ183" i="3" s="1"/>
  <c r="BL184" i="3"/>
  <c r="G185" i="3"/>
  <c r="BA187" i="3"/>
  <c r="BL188" i="3"/>
  <c r="G189" i="3"/>
  <c r="BA191" i="3"/>
  <c r="BL192" i="3"/>
  <c r="G193" i="3"/>
  <c r="BA195" i="3"/>
  <c r="BL196" i="3"/>
  <c r="G197" i="3"/>
  <c r="BA199" i="3"/>
  <c r="BL200" i="3"/>
  <c r="G201" i="3"/>
  <c r="BA203" i="3"/>
  <c r="AZ203" i="3" s="1"/>
  <c r="BL204" i="3"/>
  <c r="AZ204" i="3" s="1"/>
  <c r="G534" i="3"/>
  <c r="G530" i="3"/>
  <c r="G522" i="3"/>
  <c r="G516" i="3"/>
  <c r="G512" i="3"/>
  <c r="G506" i="3"/>
  <c r="G498" i="3"/>
  <c r="G494" i="3"/>
  <c r="G16" i="3"/>
  <c r="G15" i="3"/>
  <c r="BA304" i="3"/>
  <c r="BA305" i="3"/>
  <c r="BL305" i="3"/>
  <c r="G306" i="3"/>
  <c r="G309" i="3"/>
  <c r="BL310" i="3"/>
  <c r="AZ310" i="3" s="1"/>
  <c r="BA312" i="3"/>
  <c r="BA313" i="3"/>
  <c r="BL313" i="3"/>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AZ342" i="3" s="1"/>
  <c r="BL342" i="3"/>
  <c r="BA344" i="3"/>
  <c r="BL344" i="3"/>
  <c r="BA346" i="3"/>
  <c r="BA347" i="3"/>
  <c r="BL347" i="3"/>
  <c r="AZ347" i="3" s="1"/>
  <c r="G350" i="3"/>
  <c r="BA351" i="3"/>
  <c r="BL351" i="3"/>
  <c r="G352" i="3"/>
  <c r="G354" i="3"/>
  <c r="BA355" i="3"/>
  <c r="BA356" i="3"/>
  <c r="BL356" i="3"/>
  <c r="G357" i="3"/>
  <c r="G360" i="3"/>
  <c r="BL361" i="3"/>
  <c r="BA363" i="3"/>
  <c r="BA364" i="3"/>
  <c r="AZ364" i="3" s="1"/>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AZ311" i="3" s="1"/>
  <c r="G312" i="3"/>
  <c r="BA314" i="3"/>
  <c r="BL315" i="3"/>
  <c r="G316" i="3"/>
  <c r="BA318" i="3"/>
  <c r="AZ318" i="3" s="1"/>
  <c r="BL319" i="3"/>
  <c r="AZ319" i="3" s="1"/>
  <c r="G320" i="3"/>
  <c r="BA322" i="3"/>
  <c r="BL323" i="3"/>
  <c r="G324" i="3"/>
  <c r="BA326" i="3"/>
  <c r="BL327" i="3"/>
  <c r="G328" i="3"/>
  <c r="BA330" i="3"/>
  <c r="BL331" i="3"/>
  <c r="G332" i="3"/>
  <c r="BA334" i="3"/>
  <c r="AZ334" i="3" s="1"/>
  <c r="BL335" i="3"/>
  <c r="G336" i="3"/>
  <c r="BA338" i="3"/>
  <c r="BL339" i="3"/>
  <c r="G340" i="3"/>
  <c r="BL343" i="3"/>
  <c r="G344" i="3"/>
  <c r="G348" i="3"/>
  <c r="G355" i="3"/>
  <c r="AZ218" i="3"/>
  <c r="G342" i="3"/>
  <c r="BL345" i="3"/>
  <c r="G346" i="3"/>
  <c r="BL349" i="3"/>
  <c r="BL352" i="3"/>
  <c r="G353" i="3"/>
  <c r="BA357" i="3"/>
  <c r="BL358" i="3"/>
  <c r="G359" i="3"/>
  <c r="BA361" i="3"/>
  <c r="BL362" i="3"/>
  <c r="G363" i="3"/>
  <c r="BA365" i="3"/>
  <c r="BL366" i="3"/>
  <c r="AZ366" i="3" s="1"/>
  <c r="G367" i="3"/>
  <c r="BA369" i="3"/>
  <c r="AZ369" i="3" s="1"/>
  <c r="BL370" i="3"/>
  <c r="G371" i="3"/>
  <c r="BA373" i="3"/>
  <c r="AZ373" i="3" s="1"/>
  <c r="BL374" i="3"/>
  <c r="G375" i="3"/>
  <c r="BA377" i="3"/>
  <c r="BA379" i="3"/>
  <c r="AZ379" i="3" s="1"/>
  <c r="BL380" i="3"/>
  <c r="AZ380" i="3" s="1"/>
  <c r="G381" i="3"/>
  <c r="BA383" i="3"/>
  <c r="BL384" i="3"/>
  <c r="G385" i="3"/>
  <c r="BA387" i="3"/>
  <c r="BL388" i="3"/>
  <c r="G389" i="3"/>
  <c r="BA391" i="3"/>
  <c r="AZ391" i="3" s="1"/>
  <c r="BL392" i="3"/>
  <c r="G393" i="3"/>
  <c r="BO5" i="3"/>
  <c r="BM5" i="3"/>
  <c r="BJ5" i="3"/>
  <c r="BH5" i="3"/>
  <c r="BF5" i="3"/>
  <c r="BD5" i="3"/>
  <c r="AZ506" i="3"/>
  <c r="G548" i="3"/>
  <c r="G538" i="3"/>
  <c r="G520" i="3"/>
  <c r="G502" i="3"/>
  <c r="BS5" i="3"/>
  <c r="BP5" i="3"/>
  <c r="BN5" i="3"/>
  <c r="BK5" i="3"/>
  <c r="BI5" i="3"/>
  <c r="BG5" i="3"/>
  <c r="BE5" i="3"/>
  <c r="BC5" i="3"/>
  <c r="G17" i="3"/>
  <c r="BA17" i="3"/>
  <c r="BT5" i="3"/>
  <c r="BA15" i="3"/>
  <c r="BB5" i="3"/>
  <c r="BR5" i="3"/>
  <c r="AZ509" i="3"/>
  <c r="G509" i="3"/>
  <c r="BL493" i="3"/>
  <c r="AZ493" i="3" s="1"/>
  <c r="U36" i="40"/>
  <c r="F83" i="43"/>
  <c r="H85" i="43" s="1"/>
  <c r="F50" i="43"/>
  <c r="H54" i="43" s="1"/>
  <c r="F72" i="43"/>
  <c r="H75" i="43" s="1"/>
  <c r="U17" i="39"/>
  <c r="S14" i="35"/>
  <c r="U43" i="21"/>
  <c r="U35" i="21"/>
  <c r="AC35" i="21"/>
  <c r="G10" i="1"/>
  <c r="AC11" i="39"/>
  <c r="AZ501" i="3"/>
  <c r="W37" i="37"/>
  <c r="W44" i="34"/>
  <c r="AC44" i="34"/>
  <c r="U13" i="37"/>
  <c r="U12" i="40"/>
  <c r="J37" i="33"/>
  <c r="W37" i="33" s="1"/>
  <c r="AC17" i="34"/>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B29" i="36"/>
  <c r="U29" i="36"/>
  <c r="H32" i="37"/>
  <c r="AB32" i="37" s="1"/>
  <c r="F96" i="37"/>
  <c r="G96" i="37" s="1"/>
  <c r="H96" i="37" s="1"/>
  <c r="I96" i="37" s="1"/>
  <c r="J96" i="37" s="1"/>
  <c r="K96" i="37" s="1"/>
  <c r="L96" i="37" s="1"/>
  <c r="M96" i="37" s="1"/>
  <c r="H27" i="40"/>
  <c r="U27" i="40" s="1"/>
  <c r="J27" i="40"/>
  <c r="AC27" i="40"/>
  <c r="F27" i="40"/>
  <c r="AA27" i="40" s="1"/>
  <c r="J30" i="40"/>
  <c r="AC30" i="40"/>
  <c r="F30" i="40"/>
  <c r="AA30" i="40" s="1"/>
  <c r="AC21" i="40"/>
  <c r="S31" i="39"/>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1" i="3"/>
  <c r="F23" i="39"/>
  <c r="AA23" i="39" s="1"/>
  <c r="H27" i="36"/>
  <c r="U27" i="36" s="1"/>
  <c r="F27" i="36"/>
  <c r="AA27" i="36" s="1"/>
  <c r="H33" i="34"/>
  <c r="U33" i="34" s="1"/>
  <c r="F32" i="37"/>
  <c r="S32" i="37" s="1"/>
  <c r="F20" i="36"/>
  <c r="AA20" i="36" s="1"/>
  <c r="J33" i="34"/>
  <c r="AC33" i="34" s="1"/>
  <c r="H23" i="39"/>
  <c r="U23" i="39" s="1"/>
  <c r="D48" i="9"/>
  <c r="M52" i="9" s="1"/>
  <c r="K9" i="1"/>
  <c r="M9" i="1" s="1"/>
  <c r="D93" i="9"/>
  <c r="W27" i="34"/>
  <c r="AC27" i="34"/>
  <c r="AB34" i="36"/>
  <c r="U34" i="36"/>
  <c r="AB33" i="36"/>
  <c r="U33" i="36"/>
  <c r="AC12" i="39"/>
  <c r="W12" i="39"/>
  <c r="AC39" i="40"/>
  <c r="W39" i="40"/>
  <c r="W12" i="33"/>
  <c r="AC12" i="33"/>
  <c r="AA32" i="36"/>
  <c r="S32" i="36"/>
  <c r="AZ437" i="3"/>
  <c r="BL14" i="3"/>
  <c r="AC13" i="34"/>
  <c r="AA47" i="34"/>
  <c r="W28" i="37"/>
  <c r="S19" i="39"/>
  <c r="F12" i="33"/>
  <c r="H12" i="39"/>
  <c r="U12" i="39" s="1"/>
  <c r="AB12" i="39"/>
  <c r="F39" i="40"/>
  <c r="BA14" i="3"/>
  <c r="B12" i="1"/>
  <c r="E12" i="1" s="1"/>
  <c r="B10" i="1"/>
  <c r="E10" i="1" s="1"/>
  <c r="K12" i="1"/>
  <c r="M12" i="1" s="1"/>
  <c r="S13" i="1"/>
  <c r="AR13" i="1" s="1"/>
  <c r="R13" i="1"/>
  <c r="J51" i="67"/>
  <c r="C42" i="1"/>
  <c r="C24" i="12" s="1"/>
  <c r="B41" i="1"/>
  <c r="F48" i="9" s="1"/>
  <c r="O52" i="9" s="1"/>
  <c r="AB37" i="40"/>
  <c r="S35" i="40"/>
  <c r="U35" i="40"/>
  <c r="AC36" i="40"/>
  <c r="W38" i="40"/>
  <c r="AA32" i="40"/>
  <c r="S17" i="40"/>
  <c r="S23" i="40"/>
  <c r="AC17" i="40"/>
  <c r="AC15" i="40"/>
  <c r="AA19" i="40"/>
  <c r="S28" i="40"/>
  <c r="U21" i="40"/>
  <c r="AB19" i="40"/>
  <c r="U37" i="39"/>
  <c r="S43" i="39"/>
  <c r="S37" i="39"/>
  <c r="U35" i="39"/>
  <c r="F32" i="39"/>
  <c r="S32" i="39" s="1"/>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U13" i="36"/>
  <c r="U26" i="36"/>
  <c r="S33" i="36"/>
  <c r="AA26" i="36"/>
  <c r="AA34" i="36"/>
  <c r="AC26"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F9" i="35"/>
  <c r="S9" i="35" s="1"/>
  <c r="H9" i="35"/>
  <c r="U9" i="35" s="1"/>
  <c r="AB40" i="37"/>
  <c r="W27" i="37"/>
  <c r="AC29" i="37"/>
  <c r="U29" i="37"/>
  <c r="AB31" i="37"/>
  <c r="W30" i="37"/>
  <c r="S36" i="37"/>
  <c r="U32" i="37"/>
  <c r="W38" i="37"/>
  <c r="AC35" i="37"/>
  <c r="W39" i="37"/>
  <c r="S30" i="37"/>
  <c r="S37" i="37"/>
  <c r="AC15" i="37"/>
  <c r="J17" i="37"/>
  <c r="W17" i="37" s="1"/>
  <c r="G73" i="37"/>
  <c r="F17" i="37"/>
  <c r="AA17" i="37" s="1"/>
  <c r="AB17" i="37"/>
  <c r="F75" i="37"/>
  <c r="F19" i="37"/>
  <c r="S19" i="37" s="1"/>
  <c r="F79" i="37"/>
  <c r="G79" i="37" s="1"/>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AA35" i="33"/>
  <c r="H41" i="33"/>
  <c r="U41" i="33" s="1"/>
  <c r="F121" i="33"/>
  <c r="G121" i="33" s="1"/>
  <c r="H121" i="33" s="1"/>
  <c r="I121" i="33" s="1"/>
  <c r="J121" i="33" s="1"/>
  <c r="K121" i="33" s="1"/>
  <c r="L121" i="33" s="1"/>
  <c r="M121" i="33" s="1"/>
  <c r="G108" i="33"/>
  <c r="H108" i="33" s="1"/>
  <c r="I108" i="33" s="1"/>
  <c r="J108" i="33" s="1"/>
  <c r="K108" i="33" s="1"/>
  <c r="L108" i="33" s="1"/>
  <c r="M108" i="33" s="1"/>
  <c r="J35" i="33"/>
  <c r="W35" i="33" s="1"/>
  <c r="F101" i="33"/>
  <c r="G101" i="33" s="1"/>
  <c r="H101" i="33" s="1"/>
  <c r="I101" i="33" s="1"/>
  <c r="J101" i="33" s="1"/>
  <c r="K101" i="33" s="1"/>
  <c r="L101" i="33" s="1"/>
  <c r="M101" i="33" s="1"/>
  <c r="J32" i="33"/>
  <c r="AC32" i="33" s="1"/>
  <c r="S46" i="33"/>
  <c r="W43" i="33"/>
  <c r="H27" i="33"/>
  <c r="AB27" i="33" s="1"/>
  <c r="F87" i="33"/>
  <c r="H25" i="33"/>
  <c r="U25" i="33" s="1"/>
  <c r="F25" i="33"/>
  <c r="AA25" i="33" s="1"/>
  <c r="J23" i="33"/>
  <c r="AC23" i="33" s="1"/>
  <c r="F85" i="33"/>
  <c r="H23" i="33"/>
  <c r="AB23" i="33" s="1"/>
  <c r="F81" i="33"/>
  <c r="G81" i="33" s="1"/>
  <c r="J17" i="33"/>
  <c r="AC17" i="33" s="1"/>
  <c r="F79" i="33"/>
  <c r="G79" i="33" s="1"/>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G85" i="21" s="1"/>
  <c r="AA14" i="21"/>
  <c r="D120" i="9"/>
  <c r="D121" i="9" s="1"/>
  <c r="D7" i="52" s="1"/>
  <c r="F34" i="67"/>
  <c r="F62" i="67" s="1"/>
  <c r="M20" i="67"/>
  <c r="F34" i="15"/>
  <c r="F62" i="15" s="1"/>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C52" i="37"/>
  <c r="D52" i="37" s="1"/>
  <c r="L20" i="6"/>
  <c r="B6" i="1"/>
  <c r="E6" i="1" s="1"/>
  <c r="K11" i="1"/>
  <c r="M11" i="1" s="1"/>
  <c r="O11" i="1" s="1"/>
  <c r="B9" i="1"/>
  <c r="E9"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W46" i="33"/>
  <c r="U39" i="33"/>
  <c r="U44" i="33"/>
  <c r="AB44" i="33"/>
  <c r="S30" i="33"/>
  <c r="AA30" i="33"/>
  <c r="AC14" i="33"/>
  <c r="W14" i="33"/>
  <c r="AC30" i="33"/>
  <c r="W30" i="33"/>
  <c r="S31" i="33"/>
  <c r="AA31" i="33"/>
  <c r="W13" i="33"/>
  <c r="AC13" i="33"/>
  <c r="W9" i="33"/>
  <c r="S44" i="21"/>
  <c r="AB42" i="21"/>
  <c r="U28" i="21"/>
  <c r="S45" i="21"/>
  <c r="I101" i="21"/>
  <c r="J101" i="21" s="1"/>
  <c r="K101" i="21" s="1"/>
  <c r="L101" i="21" s="1"/>
  <c r="M101" i="21" s="1"/>
  <c r="F33" i="21"/>
  <c r="AA33" i="21" s="1"/>
  <c r="J33" i="21"/>
  <c r="AC33" i="21" s="1"/>
  <c r="H33" i="21"/>
  <c r="AB33" i="21" s="1"/>
  <c r="F37" i="21"/>
  <c r="AA37" i="21" s="1"/>
  <c r="AA26" i="21"/>
  <c r="AB14" i="21"/>
  <c r="AB46" i="21"/>
  <c r="U40" i="21"/>
  <c r="AC15" i="21"/>
  <c r="U13" i="21"/>
  <c r="AB13" i="21"/>
  <c r="S35" i="21"/>
  <c r="J37" i="21"/>
  <c r="W37" i="21" s="1"/>
  <c r="H15" i="21"/>
  <c r="U15" i="21"/>
  <c r="J17" i="21"/>
  <c r="W17" i="21" s="1"/>
  <c r="AC17" i="21"/>
  <c r="AC19" i="21"/>
  <c r="W39" i="21"/>
  <c r="AC14" i="21"/>
  <c r="W30" i="21"/>
  <c r="S46" i="21"/>
  <c r="H45" i="21"/>
  <c r="U45" i="21" s="1"/>
  <c r="F29" i="21"/>
  <c r="AA29" i="21" s="1"/>
  <c r="F13" i="21"/>
  <c r="AA13" i="21" s="1"/>
  <c r="AC38" i="21"/>
  <c r="H32" i="21"/>
  <c r="H9" i="21"/>
  <c r="AB9" i="21" s="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S27" i="21"/>
  <c r="S17" i="21"/>
  <c r="AA15" i="21"/>
  <c r="AC26" i="21"/>
  <c r="AB29" i="21"/>
  <c r="S28" i="21"/>
  <c r="AC34" i="21"/>
  <c r="AB36" i="21"/>
  <c r="W30" i="40"/>
  <c r="C19" i="39"/>
  <c r="C15" i="40"/>
  <c r="C17" i="40"/>
  <c r="C23" i="40"/>
  <c r="C21" i="40"/>
  <c r="U30" i="40"/>
  <c r="B56" i="43"/>
  <c r="B67" i="43"/>
  <c r="B54" i="43"/>
  <c r="B62" i="43"/>
  <c r="B65" i="43"/>
  <c r="D23" i="15"/>
  <c r="D22" i="15"/>
  <c r="E4" i="4"/>
  <c r="B5" i="62" s="1"/>
  <c r="B73" i="72" s="1"/>
  <c r="C4" i="4"/>
  <c r="AA39" i="40"/>
  <c r="S39" i="40"/>
  <c r="S12" i="33"/>
  <c r="AA12" i="33"/>
  <c r="J32" i="39"/>
  <c r="H32" i="39"/>
  <c r="AB32" i="39" s="1"/>
  <c r="AA32" i="39"/>
  <c r="U21" i="39"/>
  <c r="AA21" i="39"/>
  <c r="S21" i="39"/>
  <c r="AC17" i="37"/>
  <c r="S17" i="37"/>
  <c r="J19" i="37"/>
  <c r="W19" i="37" s="1"/>
  <c r="G75" i="37"/>
  <c r="AA19" i="37"/>
  <c r="AA23" i="37"/>
  <c r="J23" i="37"/>
  <c r="W23" i="37" s="1"/>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AC35" i="33"/>
  <c r="J27" i="33"/>
  <c r="W27" i="33" s="1"/>
  <c r="G87" i="33"/>
  <c r="H87" i="33" s="1"/>
  <c r="I87" i="33" s="1"/>
  <c r="J87" i="33" s="1"/>
  <c r="K87" i="33" s="1"/>
  <c r="L87" i="33" s="1"/>
  <c r="M87" i="33" s="1"/>
  <c r="J25" i="33"/>
  <c r="W25" i="33" s="1"/>
  <c r="F23" i="33"/>
  <c r="G85" i="33"/>
  <c r="H17" i="33"/>
  <c r="U17" i="33" s="1"/>
  <c r="F17" i="33"/>
  <c r="S17" i="33" s="1"/>
  <c r="S37" i="21"/>
  <c r="AA23" i="21"/>
  <c r="AB15" i="21"/>
  <c r="J23" i="21"/>
  <c r="W23" i="21" s="1"/>
  <c r="H23" i="21"/>
  <c r="AB23" i="21" s="1"/>
  <c r="D6" i="52"/>
  <c r="AP7" i="1"/>
  <c r="AB45" i="21"/>
  <c r="U9" i="21"/>
  <c r="AA32" i="21"/>
  <c r="S32" i="21"/>
  <c r="AB32" i="21"/>
  <c r="U32" i="21"/>
  <c r="A18" i="62"/>
  <c r="B64" i="72" s="1"/>
  <c r="AC32" i="39"/>
  <c r="W32" i="39"/>
  <c r="AC23" i="37"/>
  <c r="J11" i="37"/>
  <c r="AC11" i="37" s="1"/>
  <c r="J11" i="34"/>
  <c r="W11" i="34" s="1"/>
  <c r="H109" i="9"/>
  <c r="M49" i="9" s="1"/>
  <c r="H112" i="9"/>
  <c r="D21" i="53" s="1"/>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B8" i="76"/>
  <c r="F26" i="67"/>
  <c r="E8" i="76"/>
  <c r="F42" i="67"/>
  <c r="F7" i="73"/>
  <c r="F40" i="67"/>
  <c r="F3" i="73"/>
  <c r="B10" i="76"/>
  <c r="M8" i="67"/>
  <c r="J15" i="67"/>
  <c r="E11" i="76"/>
  <c r="M23" i="67"/>
  <c r="F16" i="67"/>
  <c r="F6" i="73"/>
  <c r="F20" i="31"/>
  <c r="AO13" i="1"/>
  <c r="F37" i="67"/>
  <c r="B13" i="76"/>
  <c r="B12" i="76"/>
  <c r="F6" i="67"/>
  <c r="E12" i="76"/>
  <c r="E13" i="76"/>
  <c r="M24" i="67"/>
  <c r="B7" i="76"/>
  <c r="E10" i="76"/>
  <c r="B9" i="76"/>
  <c r="E2" i="69"/>
  <c r="L47" i="67"/>
  <c r="E7" i="76"/>
  <c r="D6" i="73"/>
  <c r="F5" i="73"/>
  <c r="M6" i="67"/>
  <c r="B11" i="76"/>
  <c r="F4" i="73"/>
  <c r="E2" i="68"/>
  <c r="E9" i="76"/>
  <c r="B51" i="43" l="1"/>
  <c r="H19" i="33"/>
  <c r="AB19" i="33" s="1"/>
  <c r="AZ500" i="3"/>
  <c r="AZ540" i="3"/>
  <c r="H31" i="21"/>
  <c r="J31" i="21"/>
  <c r="J12" i="34"/>
  <c r="H12" i="34"/>
  <c r="F12" i="34"/>
  <c r="S12" i="34" s="1"/>
  <c r="AC22" i="35"/>
  <c r="W22" i="35"/>
  <c r="H45" i="39"/>
  <c r="J45" i="39"/>
  <c r="W45" i="39" s="1"/>
  <c r="S9" i="40"/>
  <c r="AA9" i="40"/>
  <c r="S30" i="40"/>
  <c r="AZ326" i="3"/>
  <c r="AZ344" i="3"/>
  <c r="AC12" i="37"/>
  <c r="AZ497" i="3"/>
  <c r="AZ505" i="3"/>
  <c r="AZ515" i="3"/>
  <c r="AZ561" i="3"/>
  <c r="AZ569" i="3"/>
  <c r="AZ527" i="3"/>
  <c r="E115" i="33"/>
  <c r="F115" i="33" s="1"/>
  <c r="G115" i="33" s="1"/>
  <c r="H115" i="33" s="1"/>
  <c r="I115" i="33" s="1"/>
  <c r="J115" i="33" s="1"/>
  <c r="K115" i="33" s="1"/>
  <c r="L115" i="33" s="1"/>
  <c r="M115" i="33" s="1"/>
  <c r="J38" i="33"/>
  <c r="AC38" i="33" s="1"/>
  <c r="H23" i="36"/>
  <c r="F23" i="36"/>
  <c r="U32" i="39"/>
  <c r="W33" i="34"/>
  <c r="AB33" i="34"/>
  <c r="AA40" i="34"/>
  <c r="AB27" i="40"/>
  <c r="S15" i="37"/>
  <c r="AZ345" i="3"/>
  <c r="AZ389" i="3"/>
  <c r="AZ377" i="3"/>
  <c r="AZ372" i="3"/>
  <c r="AZ361" i="3"/>
  <c r="AZ356" i="3"/>
  <c r="AZ329" i="3"/>
  <c r="AZ376" i="3"/>
  <c r="AZ327" i="3"/>
  <c r="AZ309" i="3"/>
  <c r="AA11" i="39"/>
  <c r="AZ499" i="3"/>
  <c r="AZ521" i="3"/>
  <c r="AZ525" i="3"/>
  <c r="AZ577" i="3"/>
  <c r="AZ496" i="3"/>
  <c r="AZ504" i="3"/>
  <c r="AZ520" i="3"/>
  <c r="AZ528" i="3"/>
  <c r="AZ544" i="3"/>
  <c r="AZ554" i="3"/>
  <c r="AZ584" i="3"/>
  <c r="J33" i="36"/>
  <c r="AC33" i="36" s="1"/>
  <c r="J27" i="21"/>
  <c r="AA40" i="39"/>
  <c r="S40" i="39"/>
  <c r="S27" i="40"/>
  <c r="F29" i="6"/>
  <c r="AZ355" i="3"/>
  <c r="AZ503" i="3"/>
  <c r="AZ575" i="3"/>
  <c r="AA14" i="33"/>
  <c r="W11" i="35"/>
  <c r="AC11" i="35"/>
  <c r="H44" i="39"/>
  <c r="F44" i="39"/>
  <c r="J44" i="39"/>
  <c r="BA400" i="3"/>
  <c r="BA406" i="3"/>
  <c r="AZ406" i="3" s="1"/>
  <c r="BA407" i="3"/>
  <c r="BL411" i="3"/>
  <c r="BL419" i="3"/>
  <c r="BL424" i="3"/>
  <c r="G427" i="3"/>
  <c r="BA433" i="3"/>
  <c r="AZ433" i="3" s="1"/>
  <c r="BA435" i="3"/>
  <c r="BA452" i="3"/>
  <c r="BL452" i="3"/>
  <c r="BL453" i="3"/>
  <c r="BL454" i="3"/>
  <c r="BL458" i="3"/>
  <c r="BL459" i="3"/>
  <c r="G462" i="3"/>
  <c r="BA469" i="3"/>
  <c r="BL472" i="3"/>
  <c r="BL475" i="3"/>
  <c r="BL316" i="3"/>
  <c r="BL383" i="3"/>
  <c r="AZ383" i="3" s="1"/>
  <c r="BA392" i="3"/>
  <c r="AZ392" i="3" s="1"/>
  <c r="BL211" i="3"/>
  <c r="BA217" i="3"/>
  <c r="G220" i="3"/>
  <c r="BA225" i="3"/>
  <c r="BA227" i="3"/>
  <c r="AZ227" i="3" s="1"/>
  <c r="BL230" i="3"/>
  <c r="BA235" i="3"/>
  <c r="BL235" i="3"/>
  <c r="BL236" i="3"/>
  <c r="G237" i="3"/>
  <c r="BL242" i="3"/>
  <c r="BL243" i="3"/>
  <c r="BA250" i="3"/>
  <c r="BL254" i="3"/>
  <c r="BA258" i="3"/>
  <c r="G287" i="3"/>
  <c r="BA168" i="3"/>
  <c r="AZ168" i="3" s="1"/>
  <c r="C64" i="71"/>
  <c r="D63" i="71"/>
  <c r="G13" i="3"/>
  <c r="F19" i="6"/>
  <c r="E19" i="6" s="1"/>
  <c r="G399" i="3"/>
  <c r="BL409" i="3"/>
  <c r="BL413" i="3"/>
  <c r="G416" i="3"/>
  <c r="BA420" i="3"/>
  <c r="BL423" i="3"/>
  <c r="G430" i="3"/>
  <c r="BA431" i="3"/>
  <c r="BA449" i="3"/>
  <c r="BL451" i="3"/>
  <c r="G458" i="3"/>
  <c r="BA463" i="3"/>
  <c r="BA465" i="3"/>
  <c r="AZ465" i="3" s="1"/>
  <c r="BA478" i="3"/>
  <c r="BL484" i="3"/>
  <c r="G489" i="3"/>
  <c r="BA489" i="3"/>
  <c r="BL340" i="3"/>
  <c r="AZ340" i="3" s="1"/>
  <c r="BA348" i="3"/>
  <c r="BA350" i="3"/>
  <c r="AZ350" i="3" s="1"/>
  <c r="BA354" i="3"/>
  <c r="BL381" i="3"/>
  <c r="AZ381" i="3" s="1"/>
  <c r="BA214" i="3"/>
  <c r="BA216" i="3"/>
  <c r="AZ216" i="3" s="1"/>
  <c r="BL219" i="3"/>
  <c r="BL224" i="3"/>
  <c r="BA233" i="3"/>
  <c r="BL233" i="3"/>
  <c r="BA249" i="3"/>
  <c r="BL249" i="3"/>
  <c r="BA253" i="3"/>
  <c r="BA270" i="3"/>
  <c r="BL272" i="3"/>
  <c r="BL294" i="3"/>
  <c r="BA297" i="3"/>
  <c r="BL297" i="3"/>
  <c r="G585" i="3"/>
  <c r="BL586" i="3"/>
  <c r="AZ586" i="3" s="1"/>
  <c r="BL400" i="3"/>
  <c r="G403" i="3"/>
  <c r="G408" i="3"/>
  <c r="G409" i="3"/>
  <c r="BL412" i="3"/>
  <c r="G413" i="3"/>
  <c r="G419" i="3"/>
  <c r="BA419" i="3"/>
  <c r="AZ419" i="3" s="1"/>
  <c r="BA424" i="3"/>
  <c r="BL427" i="3"/>
  <c r="G428" i="3"/>
  <c r="G432" i="3"/>
  <c r="BL440" i="3"/>
  <c r="BA441" i="3"/>
  <c r="G447" i="3"/>
  <c r="BL447" i="3"/>
  <c r="BL455" i="3"/>
  <c r="G466" i="3"/>
  <c r="BA467" i="3"/>
  <c r="BA468" i="3"/>
  <c r="G470" i="3"/>
  <c r="G471" i="3"/>
  <c r="BL471" i="3"/>
  <c r="BA477" i="3"/>
  <c r="BA481" i="3"/>
  <c r="G484" i="3"/>
  <c r="BA487" i="3"/>
  <c r="AZ487" i="3" s="1"/>
  <c r="BL490" i="3"/>
  <c r="G318" i="3"/>
  <c r="G323" i="3"/>
  <c r="BA331" i="3"/>
  <c r="AZ331" i="3" s="1"/>
  <c r="BA335" i="3"/>
  <c r="AZ335" i="3" s="1"/>
  <c r="BA339" i="3"/>
  <c r="AZ339" i="3" s="1"/>
  <c r="BL359" i="3"/>
  <c r="AZ359" i="3" s="1"/>
  <c r="BL367" i="3"/>
  <c r="BL375" i="3"/>
  <c r="AZ375" i="3" s="1"/>
  <c r="BA385" i="3"/>
  <c r="BL386" i="3"/>
  <c r="G392" i="3"/>
  <c r="BL395" i="3"/>
  <c r="G396" i="3"/>
  <c r="BA397" i="3"/>
  <c r="AZ397" i="3" s="1"/>
  <c r="BL397" i="3"/>
  <c r="BA212" i="3"/>
  <c r="G216" i="3"/>
  <c r="BL222" i="3"/>
  <c r="BL223" i="3"/>
  <c r="G224" i="3"/>
  <c r="G229" i="3"/>
  <c r="BA229" i="3"/>
  <c r="AZ229" i="3" s="1"/>
  <c r="BL229" i="3"/>
  <c r="BA231" i="3"/>
  <c r="BL231" i="3"/>
  <c r="G233" i="3"/>
  <c r="G241" i="3"/>
  <c r="BA248" i="3"/>
  <c r="BL252" i="3"/>
  <c r="BA256" i="3"/>
  <c r="AZ256" i="3" s="1"/>
  <c r="BL256" i="3"/>
  <c r="BL259" i="3"/>
  <c r="BA265" i="3"/>
  <c r="G268" i="3"/>
  <c r="BL269" i="3"/>
  <c r="G276" i="3"/>
  <c r="BL280" i="3"/>
  <c r="BL283" i="3"/>
  <c r="BL284" i="3"/>
  <c r="G285" i="3"/>
  <c r="G134" i="3"/>
  <c r="H39" i="40"/>
  <c r="G582" i="3"/>
  <c r="G574" i="3"/>
  <c r="G14" i="3"/>
  <c r="F20" i="6"/>
  <c r="E20" i="6" s="1"/>
  <c r="K7" i="1" s="1"/>
  <c r="M7" i="1" s="1"/>
  <c r="O7" i="1" s="1"/>
  <c r="P7" i="1" s="1"/>
  <c r="BL16" i="3"/>
  <c r="AZ16" i="3" s="1"/>
  <c r="AZ402" i="3"/>
  <c r="AZ413" i="3"/>
  <c r="G66" i="3"/>
  <c r="D46" i="71"/>
  <c r="C47" i="71"/>
  <c r="D47" i="71" s="1"/>
  <c r="X36" i="71"/>
  <c r="BA301" i="3"/>
  <c r="BL122" i="3"/>
  <c r="BA124" i="3"/>
  <c r="AZ124" i="3" s="1"/>
  <c r="BL139" i="3"/>
  <c r="AZ139" i="3" s="1"/>
  <c r="BL141" i="3"/>
  <c r="BL143" i="3"/>
  <c r="AZ143" i="3" s="1"/>
  <c r="BL154" i="3"/>
  <c r="BA157" i="3"/>
  <c r="BL161" i="3"/>
  <c r="BL177" i="3"/>
  <c r="BA189" i="3"/>
  <c r="BL205" i="3"/>
  <c r="BA207" i="3"/>
  <c r="BL24" i="3"/>
  <c r="BL29" i="3"/>
  <c r="BL34" i="3"/>
  <c r="BA40" i="3"/>
  <c r="G50" i="3"/>
  <c r="BA50" i="3"/>
  <c r="BA51" i="3"/>
  <c r="G55" i="3"/>
  <c r="BL67" i="3"/>
  <c r="BL74" i="3"/>
  <c r="BL75" i="3"/>
  <c r="BL79" i="3"/>
  <c r="BL81" i="3"/>
  <c r="BA82" i="3"/>
  <c r="AZ82" i="3" s="1"/>
  <c r="BA92" i="3"/>
  <c r="BL93" i="3"/>
  <c r="G95" i="3"/>
  <c r="BA97" i="3"/>
  <c r="BA105" i="3"/>
  <c r="P27" i="6"/>
  <c r="D35" i="71"/>
  <c r="D50" i="71"/>
  <c r="C31" i="71"/>
  <c r="X25" i="71"/>
  <c r="AB35" i="71"/>
  <c r="AA35" i="71"/>
  <c r="Y35" i="71"/>
  <c r="Z35" i="71" s="1"/>
  <c r="G256" i="3"/>
  <c r="BA257" i="3"/>
  <c r="G260" i="3"/>
  <c r="G261" i="3"/>
  <c r="BL266" i="3"/>
  <c r="BL273" i="3"/>
  <c r="G274" i="3"/>
  <c r="BA275" i="3"/>
  <c r="BA279" i="3"/>
  <c r="G294" i="3"/>
  <c r="G299" i="3"/>
  <c r="BL133" i="3"/>
  <c r="BL135" i="3"/>
  <c r="AZ135" i="3" s="1"/>
  <c r="G143" i="3"/>
  <c r="G150" i="3"/>
  <c r="G154" i="3"/>
  <c r="BA156" i="3"/>
  <c r="AZ156" i="3" s="1"/>
  <c r="BL166" i="3"/>
  <c r="G167" i="3"/>
  <c r="G172" i="3"/>
  <c r="BL181" i="3"/>
  <c r="BL186" i="3"/>
  <c r="AZ186" i="3" s="1"/>
  <c r="BA188" i="3"/>
  <c r="AZ188" i="3" s="1"/>
  <c r="BL195" i="3"/>
  <c r="AZ195" i="3" s="1"/>
  <c r="G196" i="3"/>
  <c r="BA197" i="3"/>
  <c r="BA201" i="3"/>
  <c r="AZ201" i="3" s="1"/>
  <c r="BL23" i="3"/>
  <c r="G48" i="3"/>
  <c r="BL48" i="3"/>
  <c r="BL57" i="3"/>
  <c r="G59" i="3"/>
  <c r="G62" i="3"/>
  <c r="G63" i="3"/>
  <c r="BL65" i="3"/>
  <c r="BL66" i="3"/>
  <c r="BL72" i="3"/>
  <c r="G74" i="3"/>
  <c r="G79" i="3"/>
  <c r="G84" i="3"/>
  <c r="G89" i="3"/>
  <c r="G93" i="3"/>
  <c r="BA94" i="3"/>
  <c r="G98" i="3"/>
  <c r="BA100" i="3"/>
  <c r="G102" i="3"/>
  <c r="G103" i="3"/>
  <c r="BA109" i="3"/>
  <c r="D54" i="43"/>
  <c r="AC21" i="37"/>
  <c r="U21" i="37"/>
  <c r="C29" i="39"/>
  <c r="AA18" i="35"/>
  <c r="C38" i="71"/>
  <c r="D38" i="71" s="1"/>
  <c r="Y26" i="71"/>
  <c r="Z26" i="71" s="1"/>
  <c r="AB36" i="71"/>
  <c r="AA37" i="71"/>
  <c r="C43" i="71"/>
  <c r="E51" i="71"/>
  <c r="E52" i="71" s="1"/>
  <c r="U52" i="71" s="1"/>
  <c r="C23" i="71"/>
  <c r="B22" i="71"/>
  <c r="B21" i="71" s="1"/>
  <c r="B20" i="71" s="1"/>
  <c r="G292" i="3"/>
  <c r="BA126" i="3"/>
  <c r="BA145" i="3"/>
  <c r="BL146" i="3"/>
  <c r="G147" i="3"/>
  <c r="BL157" i="3"/>
  <c r="BL159" i="3"/>
  <c r="AZ159" i="3" s="1"/>
  <c r="G160" i="3"/>
  <c r="BA177" i="3"/>
  <c r="AZ177" i="3" s="1"/>
  <c r="G190" i="3"/>
  <c r="G195" i="3"/>
  <c r="BL198" i="3"/>
  <c r="G18" i="3"/>
  <c r="G32" i="3"/>
  <c r="G46" i="3"/>
  <c r="G51" i="3"/>
  <c r="BA62" i="3"/>
  <c r="BL64" i="3"/>
  <c r="G65" i="3"/>
  <c r="BL70" i="3"/>
  <c r="BL71" i="3"/>
  <c r="G78" i="3"/>
  <c r="BL86" i="3"/>
  <c r="G87" i="3"/>
  <c r="BL91" i="3"/>
  <c r="BA98" i="3"/>
  <c r="BL100" i="3"/>
  <c r="BL105" i="3"/>
  <c r="G107" i="3"/>
  <c r="BL107" i="3"/>
  <c r="BL110" i="3"/>
  <c r="K13" i="1"/>
  <c r="M13" i="1" s="1"/>
  <c r="O13" i="1" s="1"/>
  <c r="P13" i="1" s="1"/>
  <c r="D53" i="43"/>
  <c r="U25" i="40"/>
  <c r="B68" i="43"/>
  <c r="AA34" i="71"/>
  <c r="B51" i="71"/>
  <c r="B52" i="71" s="1"/>
  <c r="S52" i="71" s="1"/>
  <c r="F79" i="71"/>
  <c r="F78" i="71" s="1"/>
  <c r="F6" i="1"/>
  <c r="G6" i="1" s="1"/>
  <c r="AC21" i="33"/>
  <c r="W8" i="33"/>
  <c r="G123" i="33"/>
  <c r="H123" i="33" s="1"/>
  <c r="I123" i="33" s="1"/>
  <c r="J123" i="33" s="1"/>
  <c r="K123" i="33" s="1"/>
  <c r="L123" i="33" s="1"/>
  <c r="M123" i="33" s="1"/>
  <c r="H42" i="33"/>
  <c r="AB42" i="33" s="1"/>
  <c r="H15" i="33"/>
  <c r="AB15" i="33" s="1"/>
  <c r="F15" i="33"/>
  <c r="AA15" i="33" s="1"/>
  <c r="G111" i="33"/>
  <c r="J36" i="33" s="1"/>
  <c r="W36" i="33" s="1"/>
  <c r="F42" i="33"/>
  <c r="AA42" i="33" s="1"/>
  <c r="J42" i="33"/>
  <c r="AC42" i="33" s="1"/>
  <c r="H38" i="33"/>
  <c r="U38" i="33" s="1"/>
  <c r="F38" i="33"/>
  <c r="AA38" i="33" s="1"/>
  <c r="S39" i="33"/>
  <c r="W39" i="33"/>
  <c r="H36" i="33"/>
  <c r="U36" i="33" s="1"/>
  <c r="H111" i="33"/>
  <c r="I111" i="33" s="1"/>
  <c r="J111" i="33" s="1"/>
  <c r="K111" i="33" s="1"/>
  <c r="L111" i="33" s="1"/>
  <c r="M111" i="33" s="1"/>
  <c r="AC28" i="33"/>
  <c r="AB28" i="33"/>
  <c r="S28" i="33"/>
  <c r="W26" i="33"/>
  <c r="C18" i="9"/>
  <c r="D18" i="9" s="1"/>
  <c r="B58" i="43"/>
  <c r="C25" i="39"/>
  <c r="B69" i="43"/>
  <c r="AB26" i="33"/>
  <c r="S26" i="33"/>
  <c r="AB29" i="33"/>
  <c r="AA29" i="33"/>
  <c r="AA37" i="33"/>
  <c r="U37" i="33"/>
  <c r="S43" i="33"/>
  <c r="AC37" i="33"/>
  <c r="S36" i="33"/>
  <c r="U35" i="33"/>
  <c r="AB25" i="33"/>
  <c r="AC25" i="33"/>
  <c r="S25" i="33"/>
  <c r="AC27" i="33"/>
  <c r="U27" i="33"/>
  <c r="S27" i="33"/>
  <c r="S32" i="33"/>
  <c r="U23" i="33"/>
  <c r="W15" i="33"/>
  <c r="U15" i="33"/>
  <c r="S15" i="33"/>
  <c r="AB34" i="33"/>
  <c r="AC34" i="33"/>
  <c r="W32" i="33"/>
  <c r="U32" i="33"/>
  <c r="U19" i="33"/>
  <c r="AA19" i="33"/>
  <c r="W19" i="33"/>
  <c r="W17" i="33"/>
  <c r="S11" i="33"/>
  <c r="F32" i="67"/>
  <c r="F60" i="67" s="1"/>
  <c r="F52" i="9"/>
  <c r="F54" i="9"/>
  <c r="F28" i="67"/>
  <c r="C28" i="67" s="1"/>
  <c r="F28" i="15"/>
  <c r="F32" i="15"/>
  <c r="F60" i="15" s="1"/>
  <c r="F30" i="68"/>
  <c r="F48" i="68" s="1"/>
  <c r="M18" i="15"/>
  <c r="M18" i="67"/>
  <c r="F30" i="11"/>
  <c r="C48" i="11" s="1"/>
  <c r="D68" i="9"/>
  <c r="F30" i="69"/>
  <c r="F48" i="69" s="1"/>
  <c r="F31" i="12"/>
  <c r="C21" i="68"/>
  <c r="G1" i="69"/>
  <c r="G1" i="15"/>
  <c r="G29" i="6"/>
  <c r="F7" i="1"/>
  <c r="G7" i="1" s="1"/>
  <c r="F16" i="4"/>
  <c r="A18" i="51" s="1"/>
  <c r="B13" i="72" s="1"/>
  <c r="U23" i="21"/>
  <c r="AZ14" i="3"/>
  <c r="AZ304" i="3"/>
  <c r="AZ306" i="3"/>
  <c r="AA14" i="37"/>
  <c r="S14" i="37"/>
  <c r="AC23" i="21"/>
  <c r="AC9" i="21"/>
  <c r="S13" i="21"/>
  <c r="AA32" i="37"/>
  <c r="AC5" i="3"/>
  <c r="G521" i="3"/>
  <c r="AZ513" i="3"/>
  <c r="S34" i="33"/>
  <c r="AA34" i="33"/>
  <c r="U33" i="40"/>
  <c r="AB33" i="40"/>
  <c r="AA12" i="40"/>
  <c r="S12" i="40"/>
  <c r="AB34" i="35"/>
  <c r="U34" i="35"/>
  <c r="AA17" i="33"/>
  <c r="AA20" i="35"/>
  <c r="S20" i="35"/>
  <c r="S22" i="36"/>
  <c r="AA22" i="36"/>
  <c r="AZ523" i="3"/>
  <c r="AZ547" i="3"/>
  <c r="AZ571" i="3"/>
  <c r="AZ579" i="3"/>
  <c r="AB46" i="34"/>
  <c r="AB30" i="21"/>
  <c r="S41" i="33"/>
  <c r="AB23" i="34"/>
  <c r="BL585" i="3"/>
  <c r="AZ585" i="3" s="1"/>
  <c r="B75" i="43"/>
  <c r="H9" i="33"/>
  <c r="G556" i="3"/>
  <c r="AZ387" i="3"/>
  <c r="AZ362" i="3"/>
  <c r="AZ338" i="3"/>
  <c r="AZ390" i="3"/>
  <c r="AZ371" i="3"/>
  <c r="AZ351" i="3"/>
  <c r="AZ336" i="3"/>
  <c r="AZ305" i="3"/>
  <c r="AZ360" i="3"/>
  <c r="AC31" i="33"/>
  <c r="AZ539" i="3"/>
  <c r="AZ529" i="3"/>
  <c r="AZ537" i="3"/>
  <c r="AZ518" i="3"/>
  <c r="AZ546" i="3"/>
  <c r="AB45" i="33"/>
  <c r="S38" i="37"/>
  <c r="AC13" i="35"/>
  <c r="AB30" i="33"/>
  <c r="AA44" i="34"/>
  <c r="AA29" i="35"/>
  <c r="AB17" i="34"/>
  <c r="W36" i="34"/>
  <c r="B79" i="43"/>
  <c r="BL587" i="3"/>
  <c r="AZ587" i="3" s="1"/>
  <c r="J23" i="35"/>
  <c r="H23" i="35"/>
  <c r="H25" i="37"/>
  <c r="F25" i="37"/>
  <c r="F38" i="40"/>
  <c r="H38" i="40"/>
  <c r="AZ384" i="3"/>
  <c r="AZ357" i="3"/>
  <c r="AZ322" i="3"/>
  <c r="AZ313" i="3"/>
  <c r="AZ394" i="3"/>
  <c r="AA25" i="21"/>
  <c r="AZ519" i="3"/>
  <c r="AZ531" i="3"/>
  <c r="AZ573" i="3"/>
  <c r="AZ583" i="3"/>
  <c r="AZ568" i="3"/>
  <c r="AZ576" i="3"/>
  <c r="AA14" i="34"/>
  <c r="G587" i="3"/>
  <c r="J9" i="34"/>
  <c r="F12" i="35"/>
  <c r="J12" i="35"/>
  <c r="J25" i="37"/>
  <c r="BL428" i="3"/>
  <c r="BL429" i="3"/>
  <c r="BL432" i="3"/>
  <c r="BL435" i="3"/>
  <c r="BL436" i="3"/>
  <c r="BA439" i="3"/>
  <c r="BA440" i="3"/>
  <c r="AZ440" i="3" s="1"/>
  <c r="BA443" i="3"/>
  <c r="AZ443" i="3" s="1"/>
  <c r="AZ444" i="3"/>
  <c r="BA445" i="3"/>
  <c r="BA447" i="3"/>
  <c r="AZ447" i="3" s="1"/>
  <c r="AZ451" i="3"/>
  <c r="G551" i="3"/>
  <c r="BL550" i="3"/>
  <c r="G542" i="3"/>
  <c r="BL398" i="3"/>
  <c r="G402" i="3"/>
  <c r="BL403" i="3"/>
  <c r="G405" i="3"/>
  <c r="G406" i="3"/>
  <c r="BA408" i="3"/>
  <c r="AZ408" i="3" s="1"/>
  <c r="BA409" i="3"/>
  <c r="AZ409" i="3" s="1"/>
  <c r="BA411" i="3"/>
  <c r="AZ411" i="3" s="1"/>
  <c r="BL414" i="3"/>
  <c r="BL415" i="3"/>
  <c r="BA417" i="3"/>
  <c r="AZ417" i="3" s="1"/>
  <c r="BL421" i="3"/>
  <c r="BL422" i="3"/>
  <c r="BL425" i="3"/>
  <c r="BL426" i="3"/>
  <c r="BA428" i="3"/>
  <c r="BA429" i="3"/>
  <c r="BA430" i="3"/>
  <c r="AZ430" i="3" s="1"/>
  <c r="BA432" i="3"/>
  <c r="G441" i="3"/>
  <c r="BL441" i="3"/>
  <c r="AZ441" i="3" s="1"/>
  <c r="G448" i="3"/>
  <c r="G449" i="3"/>
  <c r="BL449" i="3"/>
  <c r="BL450" i="3"/>
  <c r="AZ466" i="3"/>
  <c r="BL15" i="3"/>
  <c r="AZ15" i="3" s="1"/>
  <c r="BA398" i="3"/>
  <c r="AZ398" i="3" s="1"/>
  <c r="BA399" i="3"/>
  <c r="AZ399" i="3" s="1"/>
  <c r="BL401" i="3"/>
  <c r="BL404" i="3"/>
  <c r="BL405" i="3"/>
  <c r="BL407" i="3"/>
  <c r="AZ407" i="3" s="1"/>
  <c r="BA412" i="3"/>
  <c r="AZ412" i="3" s="1"/>
  <c r="BA414" i="3"/>
  <c r="AZ414" i="3" s="1"/>
  <c r="BA415" i="3"/>
  <c r="BA416" i="3"/>
  <c r="AZ416" i="3" s="1"/>
  <c r="BA418" i="3"/>
  <c r="AZ418" i="3" s="1"/>
  <c r="BA421" i="3"/>
  <c r="AZ421" i="3" s="1"/>
  <c r="BA423" i="3"/>
  <c r="AZ423" i="3" s="1"/>
  <c r="BA425" i="3"/>
  <c r="BA426" i="3"/>
  <c r="BA427" i="3"/>
  <c r="AZ427" i="3" s="1"/>
  <c r="AZ435" i="3"/>
  <c r="AZ448" i="3"/>
  <c r="AZ469" i="3"/>
  <c r="AZ217" i="3"/>
  <c r="BA551" i="3"/>
  <c r="AZ551" i="3" s="1"/>
  <c r="BA550" i="3"/>
  <c r="AZ550" i="3" s="1"/>
  <c r="BL548" i="3"/>
  <c r="AZ548" i="3" s="1"/>
  <c r="BA401" i="3"/>
  <c r="AZ401" i="3" s="1"/>
  <c r="BA403" i="3"/>
  <c r="AZ403" i="3" s="1"/>
  <c r="BA404" i="3"/>
  <c r="BA405" i="3"/>
  <c r="BL410" i="3"/>
  <c r="AZ410" i="3" s="1"/>
  <c r="G412" i="3"/>
  <c r="G418" i="3"/>
  <c r="BA422" i="3"/>
  <c r="AZ422" i="3" s="1"/>
  <c r="BL431" i="3"/>
  <c r="BL434" i="3"/>
  <c r="G437" i="3"/>
  <c r="BL438" i="3"/>
  <c r="BL439" i="3"/>
  <c r="AZ439" i="3" s="1"/>
  <c r="BA442" i="3"/>
  <c r="BL442" i="3"/>
  <c r="BL444" i="3"/>
  <c r="G446" i="3"/>
  <c r="BL448" i="3"/>
  <c r="G450" i="3"/>
  <c r="BA454" i="3"/>
  <c r="AZ454" i="3" s="1"/>
  <c r="BA457" i="3"/>
  <c r="BA459" i="3"/>
  <c r="AZ459" i="3" s="1"/>
  <c r="BA460" i="3"/>
  <c r="BA461" i="3"/>
  <c r="BL464" i="3"/>
  <c r="BL466" i="3"/>
  <c r="G468" i="3"/>
  <c r="G469" i="3"/>
  <c r="BL476" i="3"/>
  <c r="AZ476" i="3" s="1"/>
  <c r="BL477" i="3"/>
  <c r="BL478" i="3"/>
  <c r="G479" i="3"/>
  <c r="G480" i="3"/>
  <c r="BL480" i="3"/>
  <c r="AZ480" i="3" s="1"/>
  <c r="G482" i="3"/>
  <c r="BA483" i="3"/>
  <c r="BL483" i="3"/>
  <c r="AZ483" i="3" s="1"/>
  <c r="BA486" i="3"/>
  <c r="BL489" i="3"/>
  <c r="BL491" i="3"/>
  <c r="AZ491" i="3" s="1"/>
  <c r="BL492" i="3"/>
  <c r="G307" i="3"/>
  <c r="BA315" i="3"/>
  <c r="AZ315" i="3" s="1"/>
  <c r="BA333" i="3"/>
  <c r="BL346" i="3"/>
  <c r="AZ346" i="3" s="1"/>
  <c r="G349" i="3"/>
  <c r="G374" i="3"/>
  <c r="BA384" i="3"/>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A283" i="3"/>
  <c r="AZ283" i="3" s="1"/>
  <c r="BA284" i="3"/>
  <c r="AZ284" i="3" s="1"/>
  <c r="BL286" i="3"/>
  <c r="AZ286" i="3" s="1"/>
  <c r="BL298" i="3"/>
  <c r="G116" i="3"/>
  <c r="G454" i="3"/>
  <c r="BL456" i="3"/>
  <c r="AZ456" i="3" s="1"/>
  <c r="BA464" i="3"/>
  <c r="BL467" i="3"/>
  <c r="BL468" i="3"/>
  <c r="BL470" i="3"/>
  <c r="AZ470" i="3" s="1"/>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L260" i="3"/>
  <c r="G262" i="3"/>
  <c r="BL263" i="3"/>
  <c r="G264" i="3"/>
  <c r="BL270" i="3"/>
  <c r="AZ270" i="3" s="1"/>
  <c r="BA272" i="3"/>
  <c r="AZ272" i="3" s="1"/>
  <c r="BL275" i="3"/>
  <c r="AZ275" i="3" s="1"/>
  <c r="G277" i="3"/>
  <c r="BA282" i="3"/>
  <c r="BL282" i="3"/>
  <c r="BA134" i="3"/>
  <c r="AZ458" i="3"/>
  <c r="AZ462" i="3"/>
  <c r="BL214" i="3"/>
  <c r="AZ214" i="3" s="1"/>
  <c r="BL225" i="3"/>
  <c r="BL226" i="3"/>
  <c r="BA239" i="3"/>
  <c r="BL239" i="3"/>
  <c r="BA241" i="3"/>
  <c r="BL241" i="3"/>
  <c r="BA244" i="3"/>
  <c r="BL244" i="3"/>
  <c r="BA246" i="3"/>
  <c r="BA252" i="3"/>
  <c r="AZ252" i="3" s="1"/>
  <c r="BA254" i="3"/>
  <c r="AZ254" i="3" s="1"/>
  <c r="BA277" i="3"/>
  <c r="AZ277" i="3" s="1"/>
  <c r="BL277" i="3"/>
  <c r="BA281" i="3"/>
  <c r="BA288" i="3"/>
  <c r="BL290" i="3"/>
  <c r="AZ290" i="3" s="1"/>
  <c r="BL291" i="3"/>
  <c r="AZ291" i="3" s="1"/>
  <c r="BL293" i="3"/>
  <c r="G127" i="3"/>
  <c r="BA133" i="3"/>
  <c r="AZ133" i="3" s="1"/>
  <c r="G136" i="3"/>
  <c r="BA434" i="3"/>
  <c r="BA436" i="3"/>
  <c r="BA438" i="3"/>
  <c r="AZ438" i="3" s="1"/>
  <c r="G442" i="3"/>
  <c r="G443" i="3"/>
  <c r="BA446" i="3"/>
  <c r="BA450" i="3"/>
  <c r="AZ450" i="3" s="1"/>
  <c r="BA453" i="3"/>
  <c r="AZ453" i="3" s="1"/>
  <c r="BA455" i="3"/>
  <c r="AZ455" i="3" s="1"/>
  <c r="BL457" i="3"/>
  <c r="BL460" i="3"/>
  <c r="BL461" i="3"/>
  <c r="BL463" i="3"/>
  <c r="G465" i="3"/>
  <c r="BA471" i="3"/>
  <c r="AZ471" i="3" s="1"/>
  <c r="BL317" i="3"/>
  <c r="BA349" i="3"/>
  <c r="AZ349" i="3" s="1"/>
  <c r="BA353" i="3"/>
  <c r="BL353" i="3"/>
  <c r="BA358" i="3"/>
  <c r="AZ358" i="3" s="1"/>
  <c r="BL365" i="3"/>
  <c r="AZ365" i="3" s="1"/>
  <c r="BA368" i="3"/>
  <c r="BL368" i="3"/>
  <c r="BA374" i="3"/>
  <c r="AZ374" i="3" s="1"/>
  <c r="BA388" i="3"/>
  <c r="AZ388" i="3" s="1"/>
  <c r="BA396" i="3"/>
  <c r="BA209" i="3"/>
  <c r="BL217" i="3"/>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BA267" i="3"/>
  <c r="AZ267" i="3" s="1"/>
  <c r="BA269" i="3"/>
  <c r="AZ269" i="3" s="1"/>
  <c r="BA271" i="3"/>
  <c r="BL271" i="3"/>
  <c r="BA274" i="3"/>
  <c r="BL274" i="3"/>
  <c r="BA296" i="3"/>
  <c r="BL300" i="3"/>
  <c r="G126" i="3"/>
  <c r="BA132" i="3"/>
  <c r="AZ132" i="3" s="1"/>
  <c r="BA61" i="3"/>
  <c r="BA67" i="3"/>
  <c r="AZ67" i="3" s="1"/>
  <c r="C44" i="71"/>
  <c r="D43" i="71"/>
  <c r="V24" i="71"/>
  <c r="E23" i="71"/>
  <c r="E22" i="71" s="1"/>
  <c r="E21" i="71" s="1"/>
  <c r="E20" i="71" s="1"/>
  <c r="V20" i="71" s="1"/>
  <c r="G288" i="3"/>
  <c r="BL292" i="3"/>
  <c r="BA294" i="3"/>
  <c r="AZ294" i="3" s="1"/>
  <c r="BL295" i="3"/>
  <c r="BA298" i="3"/>
  <c r="AZ298" i="3" s="1"/>
  <c r="BL301" i="3"/>
  <c r="AZ301" i="3" s="1"/>
  <c r="BL302" i="3"/>
  <c r="AZ302" i="3" s="1"/>
  <c r="BA114" i="3"/>
  <c r="BL123" i="3"/>
  <c r="AZ123" i="3" s="1"/>
  <c r="BA128" i="3"/>
  <c r="AZ128" i="3" s="1"/>
  <c r="BL134" i="3"/>
  <c r="BL137" i="3"/>
  <c r="BA146" i="3"/>
  <c r="AZ146" i="3" s="1"/>
  <c r="BA150" i="3"/>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BA26" i="3"/>
  <c r="G28" i="3"/>
  <c r="BL28" i="3"/>
  <c r="BA29" i="3"/>
  <c r="AZ29" i="3" s="1"/>
  <c r="BA36" i="3"/>
  <c r="BL38" i="3"/>
  <c r="BA39" i="3"/>
  <c r="BA41" i="3"/>
  <c r="BA42" i="3"/>
  <c r="BL45" i="3"/>
  <c r="BA48" i="3"/>
  <c r="AZ48" i="3" s="1"/>
  <c r="BA49" i="3"/>
  <c r="BL62" i="3"/>
  <c r="BL63" i="3"/>
  <c r="BA65" i="3"/>
  <c r="AZ65" i="3" s="1"/>
  <c r="BA72" i="3"/>
  <c r="AZ72" i="3" s="1"/>
  <c r="BA78" i="3"/>
  <c r="G280" i="3"/>
  <c r="G282" i="3"/>
  <c r="BL285" i="3"/>
  <c r="BL287" i="3"/>
  <c r="BA290" i="3"/>
  <c r="G297" i="3"/>
  <c r="BL299" i="3"/>
  <c r="G300" i="3"/>
  <c r="BL113" i="3"/>
  <c r="BL115" i="3"/>
  <c r="AZ115" i="3" s="1"/>
  <c r="BA118" i="3"/>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AZ18" i="3" s="1"/>
  <c r="G19" i="3"/>
  <c r="BL19" i="3"/>
  <c r="BA20" i="3"/>
  <c r="AZ20" i="3" s="1"/>
  <c r="BL25" i="3"/>
  <c r="BL27" i="3"/>
  <c r="BA28" i="3"/>
  <c r="BA31" i="3"/>
  <c r="BA32" i="3"/>
  <c r="BA38" i="3"/>
  <c r="BL40" i="3"/>
  <c r="BL41" i="3"/>
  <c r="BA52" i="3"/>
  <c r="AZ52" i="3" s="1"/>
  <c r="BA53" i="3"/>
  <c r="BA54" i="3"/>
  <c r="BA70" i="3"/>
  <c r="AZ70" i="3" s="1"/>
  <c r="C52" i="71"/>
  <c r="D51" i="71"/>
  <c r="C55" i="71"/>
  <c r="D54" i="71"/>
  <c r="BA117" i="3"/>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AZ193" i="3" s="1"/>
  <c r="G194" i="3"/>
  <c r="BL194" i="3"/>
  <c r="AZ194" i="3" s="1"/>
  <c r="BA198" i="3"/>
  <c r="AZ198" i="3" s="1"/>
  <c r="G204" i="3"/>
  <c r="BL206" i="3"/>
  <c r="BA19" i="3"/>
  <c r="AZ19" i="3" s="1"/>
  <c r="G22" i="3"/>
  <c r="G24" i="3"/>
  <c r="G25" i="3"/>
  <c r="BA27" i="3"/>
  <c r="G30" i="3"/>
  <c r="BL30" i="3"/>
  <c r="BL31" i="3"/>
  <c r="G35" i="3"/>
  <c r="G36" i="3"/>
  <c r="BA43" i="3"/>
  <c r="BL47" i="3"/>
  <c r="AZ47" i="3" s="1"/>
  <c r="G49" i="3"/>
  <c r="BL54" i="3"/>
  <c r="BL55" i="3"/>
  <c r="AZ55" i="3" s="1"/>
  <c r="G57" i="3"/>
  <c r="G58" i="3"/>
  <c r="BA59" i="3"/>
  <c r="AZ59" i="3" s="1"/>
  <c r="AZ62" i="3"/>
  <c r="D31" i="71"/>
  <c r="C32" i="71"/>
  <c r="C60" i="71"/>
  <c r="D59" i="71"/>
  <c r="N67" i="71"/>
  <c r="B66" i="71"/>
  <c r="F66" i="71"/>
  <c r="Q67" i="71"/>
  <c r="G61" i="3"/>
  <c r="BL61" i="3"/>
  <c r="G64" i="3"/>
  <c r="BA64" i="3"/>
  <c r="AZ64" i="3" s="1"/>
  <c r="G67" i="3"/>
  <c r="BL68" i="3"/>
  <c r="BA69" i="3"/>
  <c r="AZ69" i="3" s="1"/>
  <c r="G72" i="3"/>
  <c r="BL73" i="3"/>
  <c r="BA74" i="3"/>
  <c r="AZ74" i="3" s="1"/>
  <c r="BA75" i="3"/>
  <c r="AZ75" i="3" s="1"/>
  <c r="G81" i="3"/>
  <c r="G85" i="3"/>
  <c r="BL85" i="3"/>
  <c r="BA86" i="3"/>
  <c r="AZ86" i="3" s="1"/>
  <c r="BA87" i="3"/>
  <c r="BA91" i="3"/>
  <c r="AZ91" i="3" s="1"/>
  <c r="G96" i="3"/>
  <c r="BL97" i="3"/>
  <c r="AZ97" i="3" s="1"/>
  <c r="BL101" i="3"/>
  <c r="BL102" i="3"/>
  <c r="AZ102" i="3" s="1"/>
  <c r="G104" i="3"/>
  <c r="G105" i="3"/>
  <c r="BL106" i="3"/>
  <c r="AZ106" i="3" s="1"/>
  <c r="BA108" i="3"/>
  <c r="BA110" i="3"/>
  <c r="AZ110" i="3" s="1"/>
  <c r="F3" i="35"/>
  <c r="S21" i="33"/>
  <c r="S21" i="37"/>
  <c r="S25" i="40"/>
  <c r="B77" i="43"/>
  <c r="O67" i="71"/>
  <c r="AA28" i="71"/>
  <c r="AB27" i="71"/>
  <c r="E75" i="71"/>
  <c r="E74" i="71" s="1"/>
  <c r="AB25" i="71"/>
  <c r="X26" i="71"/>
  <c r="Y25" i="71"/>
  <c r="Z25" i="71" s="1"/>
  <c r="X38" i="71"/>
  <c r="Y29" i="71"/>
  <c r="Z29" i="71" s="1"/>
  <c r="N68" i="71"/>
  <c r="E38" i="71"/>
  <c r="E39" i="71" s="1"/>
  <c r="E40" i="71" s="1"/>
  <c r="U40" i="71" s="1"/>
  <c r="B34" i="71"/>
  <c r="B35" i="71" s="1"/>
  <c r="B36" i="71" s="1"/>
  <c r="S36" i="71" s="1"/>
  <c r="AB32" i="71"/>
  <c r="X33" i="71"/>
  <c r="AB37" i="71"/>
  <c r="BA68" i="3"/>
  <c r="AZ68" i="3" s="1"/>
  <c r="BA73" i="3"/>
  <c r="BA80" i="3"/>
  <c r="BL84" i="3"/>
  <c r="BA89" i="3"/>
  <c r="BA103" i="3"/>
  <c r="AZ103" i="3" s="1"/>
  <c r="BA104" i="3"/>
  <c r="BA106" i="3"/>
  <c r="BL108" i="3"/>
  <c r="BL111" i="3"/>
  <c r="AZ111" i="3" s="1"/>
  <c r="P66" i="71"/>
  <c r="C66" i="71"/>
  <c r="AA27" i="71"/>
  <c r="AB26" i="71"/>
  <c r="S28" i="71"/>
  <c r="C83" i="71"/>
  <c r="C79" i="71"/>
  <c r="C71" i="71"/>
  <c r="C39" i="71"/>
  <c r="Y28" i="71"/>
  <c r="Z28" i="71" s="1"/>
  <c r="C28" i="71"/>
  <c r="Y37" i="71"/>
  <c r="Z37" i="71" s="1"/>
  <c r="X35" i="71"/>
  <c r="Y30" i="71"/>
  <c r="Z30" i="71" s="1"/>
  <c r="X28" i="71"/>
  <c r="X32" i="71"/>
  <c r="F38" i="71"/>
  <c r="F39" i="71" s="1"/>
  <c r="F40" i="71" s="1"/>
  <c r="V40" i="71" s="1"/>
  <c r="AB38" i="71"/>
  <c r="AA39" i="71"/>
  <c r="F75" i="71"/>
  <c r="F74" i="71" s="1"/>
  <c r="B79" i="71"/>
  <c r="B78" i="71" s="1"/>
  <c r="BA37" i="3"/>
  <c r="G39" i="3"/>
  <c r="BL39" i="3"/>
  <c r="G43" i="3"/>
  <c r="G44" i="3"/>
  <c r="BA45" i="3"/>
  <c r="AZ45" i="3" s="1"/>
  <c r="BA46" i="3"/>
  <c r="AZ46" i="3" s="1"/>
  <c r="BL49" i="3"/>
  <c r="BL50" i="3"/>
  <c r="AZ50" i="3" s="1"/>
  <c r="BL51" i="3"/>
  <c r="AZ51" i="3" s="1"/>
  <c r="G53" i="3"/>
  <c r="BL53" i="3"/>
  <c r="BA56" i="3"/>
  <c r="BA57" i="3"/>
  <c r="AZ57" i="3" s="1"/>
  <c r="BL58" i="3"/>
  <c r="AZ58" i="3" s="1"/>
  <c r="G60" i="3"/>
  <c r="BA60" i="3"/>
  <c r="BA63" i="3"/>
  <c r="AZ63" i="3" s="1"/>
  <c r="BA66" i="3"/>
  <c r="AZ66" i="3" s="1"/>
  <c r="BA71" i="3"/>
  <c r="AZ71" i="3" s="1"/>
  <c r="G76" i="3"/>
  <c r="BL77" i="3"/>
  <c r="AZ77" i="3" s="1"/>
  <c r="BA79" i="3"/>
  <c r="AZ79" i="3" s="1"/>
  <c r="G82" i="3"/>
  <c r="G83" i="3"/>
  <c r="BA84" i="3"/>
  <c r="AZ84" i="3" s="1"/>
  <c r="BL88" i="3"/>
  <c r="AZ88" i="3" s="1"/>
  <c r="G90" i="3"/>
  <c r="BL90" i="3"/>
  <c r="BL92" i="3"/>
  <c r="AZ92" i="3" s="1"/>
  <c r="G101" i="3"/>
  <c r="BA101" i="3"/>
  <c r="G108" i="3"/>
  <c r="G109" i="3"/>
  <c r="BL112" i="3"/>
  <c r="AB21" i="33"/>
  <c r="S21" i="34"/>
  <c r="B88" i="43"/>
  <c r="BA90" i="3"/>
  <c r="AZ90" i="3" s="1"/>
  <c r="BL94" i="3"/>
  <c r="AZ94" i="3" s="1"/>
  <c r="AZ100" i="3"/>
  <c r="AB28" i="71"/>
  <c r="AB33" i="71"/>
  <c r="AA30" i="71"/>
  <c r="E35" i="71"/>
  <c r="E36" i="71" s="1"/>
  <c r="U36" i="71" s="1"/>
  <c r="AB31" i="71"/>
  <c r="AA36" i="71"/>
  <c r="B47" i="71"/>
  <c r="B48" i="71" s="1"/>
  <c r="S48" i="71" s="1"/>
  <c r="S23" i="33"/>
  <c r="AA23" i="33"/>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31" i="3"/>
  <c r="AZ442" i="3"/>
  <c r="AZ445" i="3"/>
  <c r="AZ449" i="3"/>
  <c r="AZ452" i="3"/>
  <c r="AZ467" i="3"/>
  <c r="AZ468" i="3"/>
  <c r="W35" i="39"/>
  <c r="F27" i="34"/>
  <c r="C21" i="39"/>
  <c r="U9" i="36"/>
  <c r="U14" i="37"/>
  <c r="H12" i="21"/>
  <c r="G526" i="3"/>
  <c r="AZ420" i="3"/>
  <c r="AZ424" i="3"/>
  <c r="AZ434" i="3"/>
  <c r="AZ436" i="3"/>
  <c r="AZ446"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1" i="3"/>
  <c r="AZ225" i="3"/>
  <c r="G230" i="3"/>
  <c r="BA232" i="3"/>
  <c r="AZ232" i="3" s="1"/>
  <c r="BA234" i="3"/>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134" i="3"/>
  <c r="AZ207"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G298" i="3"/>
  <c r="BA299" i="3"/>
  <c r="AZ299" i="3" s="1"/>
  <c r="BA300" i="3"/>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AZ185" i="3"/>
  <c r="BL202" i="3"/>
  <c r="AZ202" i="3" s="1"/>
  <c r="AZ30" i="3"/>
  <c r="BL36" i="3"/>
  <c r="AZ36" i="3" s="1"/>
  <c r="AZ40" i="3"/>
  <c r="AZ73" i="3"/>
  <c r="G200" i="3"/>
  <c r="G207" i="3"/>
  <c r="BA23" i="3"/>
  <c r="AZ23" i="3" s="1"/>
  <c r="BA24" i="3"/>
  <c r="AZ24" i="3" s="1"/>
  <c r="BL26" i="3"/>
  <c r="AZ26" i="3" s="1"/>
  <c r="BL32" i="3"/>
  <c r="BA34" i="3"/>
  <c r="AZ34" i="3" s="1"/>
  <c r="BA35" i="3"/>
  <c r="AZ35" i="3" s="1"/>
  <c r="BL37" i="3"/>
  <c r="AZ37" i="3" s="1"/>
  <c r="BL42" i="3"/>
  <c r="AZ42" i="3" s="1"/>
  <c r="BA44" i="3"/>
  <c r="AZ44" i="3" s="1"/>
  <c r="AZ56" i="3"/>
  <c r="AZ60" i="3"/>
  <c r="BA206" i="3"/>
  <c r="AZ206" i="3" s="1"/>
  <c r="BL22" i="3"/>
  <c r="AZ22" i="3" s="1"/>
  <c r="BL33" i="3"/>
  <c r="AZ33" i="3" s="1"/>
  <c r="BL43" i="3"/>
  <c r="BL46" i="3"/>
  <c r="AZ54" i="3"/>
  <c r="BL78" i="3"/>
  <c r="BA83" i="3"/>
  <c r="AZ83" i="3" s="1"/>
  <c r="G91" i="3"/>
  <c r="BL95" i="3"/>
  <c r="AZ95" i="3" s="1"/>
  <c r="BL98" i="3"/>
  <c r="AZ98" i="3" s="1"/>
  <c r="BL109" i="3"/>
  <c r="AZ109" i="3" s="1"/>
  <c r="AB21" i="21"/>
  <c r="D36" i="71"/>
  <c r="T36" i="71"/>
  <c r="AZ78" i="3"/>
  <c r="G77" i="3"/>
  <c r="BA81" i="3"/>
  <c r="AZ81" i="3" s="1"/>
  <c r="BA85" i="3"/>
  <c r="AZ85" i="3" s="1"/>
  <c r="BL89" i="3"/>
  <c r="AZ89" i="3" s="1"/>
  <c r="G94" i="3"/>
  <c r="G97" i="3"/>
  <c r="G100" i="3"/>
  <c r="BA107" i="3"/>
  <c r="AZ107" i="3" s="1"/>
  <c r="BA112" i="3"/>
  <c r="AC21" i="34"/>
  <c r="E27" i="71"/>
  <c r="E26" i="71" s="1"/>
  <c r="V28" i="71"/>
  <c r="BA76" i="3"/>
  <c r="AZ76" i="3" s="1"/>
  <c r="BL80" i="3"/>
  <c r="AZ80" i="3" s="1"/>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65" i="67"/>
  <c r="C27" i="67"/>
  <c r="N59" i="67"/>
  <c r="L59" i="67"/>
  <c r="M59" i="67"/>
  <c r="B13" i="70"/>
  <c r="F68" i="67"/>
  <c r="C36" i="68"/>
  <c r="D9" i="68"/>
  <c r="D9" i="69"/>
  <c r="L47" i="15"/>
  <c r="D4" i="73"/>
  <c r="D5" i="73"/>
  <c r="M6" i="15"/>
  <c r="M29" i="15"/>
  <c r="M8" i="15"/>
  <c r="F40" i="15"/>
  <c r="F38" i="67"/>
  <c r="F9" i="15"/>
  <c r="J15" i="15"/>
  <c r="M28" i="67"/>
  <c r="F37" i="15"/>
  <c r="C76" i="15"/>
  <c r="M22" i="67"/>
  <c r="F6" i="15"/>
  <c r="F26" i="15"/>
  <c r="F13" i="15"/>
  <c r="D3" i="73"/>
  <c r="D7" i="73"/>
  <c r="F36" i="15"/>
  <c r="C36" i="69"/>
  <c r="L48" i="67"/>
  <c r="C76" i="67"/>
  <c r="M28" i="15"/>
  <c r="F13" i="67"/>
  <c r="M24" i="15"/>
  <c r="F16" i="15"/>
  <c r="M26" i="67"/>
  <c r="F38" i="15"/>
  <c r="F43" i="15"/>
  <c r="F8" i="15"/>
  <c r="F8" i="67"/>
  <c r="M23" i="15"/>
  <c r="L48" i="15"/>
  <c r="M9" i="67"/>
  <c r="F7" i="15"/>
  <c r="F36" i="67"/>
  <c r="F9" i="67"/>
  <c r="M9" i="15"/>
  <c r="M26" i="15"/>
  <c r="F42" i="15"/>
  <c r="F27" i="69"/>
  <c r="M22" i="15"/>
  <c r="M11" i="85" l="1"/>
  <c r="J10" i="85" s="1"/>
  <c r="J5" i="85" s="1"/>
  <c r="F11" i="85"/>
  <c r="W38" i="33"/>
  <c r="AB38" i="33"/>
  <c r="I24" i="43"/>
  <c r="C24" i="43" s="1"/>
  <c r="Q71" i="67"/>
  <c r="F66" i="67"/>
  <c r="F51" i="67"/>
  <c r="F64" i="67"/>
  <c r="AZ112" i="3"/>
  <c r="AZ300" i="3"/>
  <c r="AZ209" i="3"/>
  <c r="AZ234" i="3"/>
  <c r="E19" i="71"/>
  <c r="E18" i="71" s="1"/>
  <c r="E17" i="71" s="1"/>
  <c r="E16" i="71" s="1"/>
  <c r="AZ101" i="3"/>
  <c r="AZ130" i="3"/>
  <c r="AZ27" i="3"/>
  <c r="AZ118" i="3"/>
  <c r="AZ25" i="3"/>
  <c r="AZ5" i="3" s="1"/>
  <c r="AZ274" i="3"/>
  <c r="AZ241" i="3"/>
  <c r="AZ249" i="3"/>
  <c r="AC44" i="39"/>
  <c r="W44" i="39"/>
  <c r="S23" i="36"/>
  <c r="AA23" i="36"/>
  <c r="AC31" i="21"/>
  <c r="W31" i="21"/>
  <c r="B19" i="71"/>
  <c r="B18" i="71" s="1"/>
  <c r="B17" i="71" s="1"/>
  <c r="B16" i="71" s="1"/>
  <c r="S20" i="71"/>
  <c r="U39" i="40"/>
  <c r="AB39" i="40"/>
  <c r="C33" i="33"/>
  <c r="U3" i="43"/>
  <c r="U2" i="43"/>
  <c r="B14" i="74"/>
  <c r="K6" i="1"/>
  <c r="AA44" i="39"/>
  <c r="S44" i="39"/>
  <c r="W27" i="21"/>
  <c r="AC27" i="21"/>
  <c r="AB23" i="36"/>
  <c r="U23" i="36"/>
  <c r="AB31" i="21"/>
  <c r="U31" i="21"/>
  <c r="E28" i="6"/>
  <c r="K14" i="1" s="1"/>
  <c r="AZ87" i="3"/>
  <c r="AZ43" i="3"/>
  <c r="AZ32" i="3"/>
  <c r="AZ138" i="3"/>
  <c r="AZ114" i="3"/>
  <c r="AZ215" i="3"/>
  <c r="AZ137" i="3"/>
  <c r="AZ31" i="3"/>
  <c r="AZ38" i="3"/>
  <c r="AZ61" i="3"/>
  <c r="AZ271" i="3"/>
  <c r="AZ368" i="3"/>
  <c r="AZ353" i="3"/>
  <c r="AZ244" i="3"/>
  <c r="AZ239" i="3"/>
  <c r="AZ282" i="3"/>
  <c r="C31" i="12"/>
  <c r="C22" i="71"/>
  <c r="D23" i="71"/>
  <c r="AZ105" i="3"/>
  <c r="AZ157" i="3"/>
  <c r="AZ297" i="3"/>
  <c r="AZ233" i="3"/>
  <c r="AB44" i="39"/>
  <c r="U44" i="39"/>
  <c r="U45" i="39"/>
  <c r="AB45" i="39"/>
  <c r="AB12" i="34"/>
  <c r="U12" i="34"/>
  <c r="AZ295" i="3"/>
  <c r="AZ28" i="3"/>
  <c r="AZ460" i="3"/>
  <c r="S38" i="33"/>
  <c r="AZ235" i="3"/>
  <c r="AZ400" i="3"/>
  <c r="W12" i="34"/>
  <c r="AC12" i="34"/>
  <c r="I54" i="67"/>
  <c r="J57" i="67"/>
  <c r="J55" i="67" s="1"/>
  <c r="J58" i="67" s="1"/>
  <c r="Q50" i="67" s="1"/>
  <c r="L56" i="67"/>
  <c r="L58" i="67"/>
  <c r="Q60" i="67" s="1"/>
  <c r="J53" i="67"/>
  <c r="Q52" i="67" s="1"/>
  <c r="U42" i="33"/>
  <c r="S42" i="33"/>
  <c r="W42" i="33"/>
  <c r="AB36" i="33"/>
  <c r="A19" i="51"/>
  <c r="B14" i="72" s="1"/>
  <c r="C48" i="69"/>
  <c r="F31" i="15"/>
  <c r="C6" i="15"/>
  <c r="N59" i="15"/>
  <c r="L58" i="15"/>
  <c r="Q60" i="15" s="1"/>
  <c r="M59" i="15"/>
  <c r="L59" i="15"/>
  <c r="Q61" i="15" s="1"/>
  <c r="M7" i="15"/>
  <c r="J6" i="15" s="1"/>
  <c r="J18" i="15" s="1"/>
  <c r="F50" i="15"/>
  <c r="C27" i="15"/>
  <c r="F68" i="15"/>
  <c r="F71" i="15"/>
  <c r="F65" i="15"/>
  <c r="F66" i="15"/>
  <c r="F51" i="15"/>
  <c r="Q71" i="15"/>
  <c r="I54" i="15"/>
  <c r="J53" i="15"/>
  <c r="L56" i="15" s="1"/>
  <c r="J57" i="15"/>
  <c r="J55" i="15" s="1"/>
  <c r="J58" i="15" s="1"/>
  <c r="Q50" i="15" s="1"/>
  <c r="F64" i="15"/>
  <c r="P6" i="1"/>
  <c r="C13" i="12" s="1"/>
  <c r="K16" i="1"/>
  <c r="N370" i="46"/>
  <c r="E59" i="40"/>
  <c r="G26" i="43"/>
  <c r="J26" i="43"/>
  <c r="N94" i="46"/>
  <c r="F26" i="43"/>
  <c r="E26" i="43"/>
  <c r="C70" i="71"/>
  <c r="D70" i="71" s="1"/>
  <c r="D71" i="71"/>
  <c r="T52" i="71"/>
  <c r="D52" i="71"/>
  <c r="AZ39" i="3"/>
  <c r="AZ263" i="3"/>
  <c r="AZ415" i="3"/>
  <c r="AZ432" i="3"/>
  <c r="AA38" i="40"/>
  <c r="S38" i="40"/>
  <c r="AC23" i="35"/>
  <c r="W23" i="35"/>
  <c r="T28" i="71"/>
  <c r="D28" i="71"/>
  <c r="U28" i="71" s="1"/>
  <c r="C27" i="71"/>
  <c r="D79" i="71"/>
  <c r="C78" i="71"/>
  <c r="D78" i="71" s="1"/>
  <c r="D60" i="71"/>
  <c r="T60" i="71"/>
  <c r="AZ457" i="3"/>
  <c r="AC9" i="34"/>
  <c r="W9" i="34"/>
  <c r="AA25" i="37"/>
  <c r="S25" i="37"/>
  <c r="J7" i="36"/>
  <c r="D83" i="71"/>
  <c r="C82" i="71"/>
  <c r="D82" i="71" s="1"/>
  <c r="O65" i="71"/>
  <c r="D66" i="71"/>
  <c r="O66" i="71"/>
  <c r="N65" i="71"/>
  <c r="N66" i="71"/>
  <c r="T32" i="71"/>
  <c r="D32" i="71"/>
  <c r="C56" i="71"/>
  <c r="D55" i="71"/>
  <c r="AZ150" i="3"/>
  <c r="AZ332" i="3"/>
  <c r="AZ461" i="3"/>
  <c r="AZ405" i="3"/>
  <c r="AZ429" i="3"/>
  <c r="AC25" i="37"/>
  <c r="W25" i="37"/>
  <c r="U25" i="37"/>
  <c r="AB25" i="37"/>
  <c r="J7" i="37"/>
  <c r="G5" i="3"/>
  <c r="B3" i="3" s="1"/>
  <c r="E248" i="3" s="1"/>
  <c r="C40" i="71"/>
  <c r="D39" i="71"/>
  <c r="AZ108" i="3"/>
  <c r="AZ53" i="3"/>
  <c r="AZ178" i="3"/>
  <c r="AZ49" i="3"/>
  <c r="AZ41" i="3"/>
  <c r="D44" i="71"/>
  <c r="T44" i="71"/>
  <c r="AZ464" i="3"/>
  <c r="AZ404" i="3"/>
  <c r="AZ425" i="3"/>
  <c r="AZ428" i="3"/>
  <c r="W12" i="35"/>
  <c r="AC12" i="35"/>
  <c r="AB38" i="40"/>
  <c r="U38" i="40"/>
  <c r="U23" i="35"/>
  <c r="AB23" i="35"/>
  <c r="AB9" i="33"/>
  <c r="U9" i="33"/>
  <c r="K1" i="73"/>
  <c r="E537" i="3"/>
  <c r="E382" i="3"/>
  <c r="E271" i="3"/>
  <c r="E530" i="3"/>
  <c r="E528" i="3"/>
  <c r="E472" i="3"/>
  <c r="E89" i="3"/>
  <c r="E70" i="3"/>
  <c r="E526" i="3"/>
  <c r="E201" i="3"/>
  <c r="E215" i="3"/>
  <c r="E161" i="3"/>
  <c r="X6" i="3"/>
  <c r="E242" i="3"/>
  <c r="AA26" i="37"/>
  <c r="S26" i="37"/>
  <c r="BA5" i="3"/>
  <c r="E27" i="6" s="1"/>
  <c r="K26" i="6" s="1"/>
  <c r="M26" i="6" s="1"/>
  <c r="I26" i="6" s="1"/>
  <c r="S26" i="6" s="1"/>
  <c r="E219" i="3"/>
  <c r="W40" i="40"/>
  <c r="AC40" i="40"/>
  <c r="AC12" i="21"/>
  <c r="W12" i="21"/>
  <c r="AB12" i="21"/>
  <c r="U12" i="21"/>
  <c r="AA27" i="34"/>
  <c r="S27" i="34"/>
  <c r="AC26" i="37"/>
  <c r="W26" i="37"/>
  <c r="BL5" i="3"/>
  <c r="B15" i="71"/>
  <c r="B14" i="71" s="1"/>
  <c r="B13" i="71" s="1"/>
  <c r="B12" i="71" s="1"/>
  <c r="S16" i="71"/>
  <c r="F7" i="36"/>
  <c r="S7" i="36" s="1"/>
  <c r="H7" i="36"/>
  <c r="U7" i="36" s="1"/>
  <c r="E94"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E60" i="40"/>
  <c r="F31" i="6"/>
  <c r="E51" i="40"/>
  <c r="E16" i="6"/>
  <c r="E58" i="40"/>
  <c r="E62" i="39"/>
  <c r="M14" i="1"/>
  <c r="D5" i="43"/>
  <c r="C7" i="43"/>
  <c r="C5" i="43" s="1"/>
  <c r="D10" i="52"/>
  <c r="D125" i="9"/>
  <c r="D11" i="52" s="1"/>
  <c r="B7" i="74"/>
  <c r="C7" i="74" s="1"/>
  <c r="F67" i="39"/>
  <c r="E69" i="39"/>
  <c r="H7" i="37"/>
  <c r="AB7" i="37" s="1"/>
  <c r="T42" i="37" s="1"/>
  <c r="G42" i="37" s="1"/>
  <c r="H7" i="33"/>
  <c r="J7" i="33"/>
  <c r="D65" i="40"/>
  <c r="E63" i="40"/>
  <c r="F48" i="35"/>
  <c r="AC7" i="37"/>
  <c r="W7" i="37"/>
  <c r="F7" i="33"/>
  <c r="E58" i="21"/>
  <c r="AC7" i="36"/>
  <c r="V36" i="36" s="1"/>
  <c r="I36" i="36" s="1"/>
  <c r="W7" i="36"/>
  <c r="F7" i="37"/>
  <c r="P28" i="43"/>
  <c r="B66" i="40" s="1"/>
  <c r="P25" i="43"/>
  <c r="P29" i="43"/>
  <c r="P27" i="43"/>
  <c r="B70" i="39" s="1"/>
  <c r="C32" i="67"/>
  <c r="M11" i="67"/>
  <c r="J10" i="67" s="1"/>
  <c r="F11" i="15"/>
  <c r="M11" i="15"/>
  <c r="J10" i="15" s="1"/>
  <c r="F11" i="67"/>
  <c r="C32" i="15"/>
  <c r="F1" i="67"/>
  <c r="Q61" i="67"/>
  <c r="Q74" i="67"/>
  <c r="AE11" i="1"/>
  <c r="AE9" i="1"/>
  <c r="AE8" i="1"/>
  <c r="AE12" i="1"/>
  <c r="AE10" i="1"/>
  <c r="F7" i="67"/>
  <c r="AE6" i="1"/>
  <c r="AE7" i="1"/>
  <c r="C16" i="15"/>
  <c r="M29" i="67"/>
  <c r="F43" i="67"/>
  <c r="G1" i="73"/>
  <c r="C53" i="85" l="1"/>
  <c r="C48" i="85" s="1"/>
  <c r="C10" i="85"/>
  <c r="C5" i="85" s="1"/>
  <c r="J24" i="85"/>
  <c r="J26" i="85"/>
  <c r="F71" i="67"/>
  <c r="F31" i="67"/>
  <c r="M7" i="67"/>
  <c r="F50" i="67"/>
  <c r="F59" i="67" s="1"/>
  <c r="C6" i="67"/>
  <c r="C10" i="67" s="1"/>
  <c r="C5" i="67" s="1"/>
  <c r="C38" i="67" s="1"/>
  <c r="AA7" i="36"/>
  <c r="R36" i="36" s="1"/>
  <c r="R37" i="36" s="1"/>
  <c r="D26" i="43"/>
  <c r="C25" i="43" s="1"/>
  <c r="AP6" i="1"/>
  <c r="M6" i="1"/>
  <c r="O6" i="1" s="1"/>
  <c r="Q16" i="1"/>
  <c r="H16" i="1"/>
  <c r="H33" i="33"/>
  <c r="F33" i="33"/>
  <c r="J33" i="33"/>
  <c r="G16" i="1"/>
  <c r="C21" i="71"/>
  <c r="D22" i="71"/>
  <c r="Q73" i="67"/>
  <c r="F1" i="15"/>
  <c r="Q74" i="15"/>
  <c r="Q52" i="15"/>
  <c r="F59" i="15"/>
  <c r="J5" i="15"/>
  <c r="J24" i="15" s="1"/>
  <c r="Q73" i="15"/>
  <c r="C49" i="15"/>
  <c r="M17" i="15"/>
  <c r="E275" i="3"/>
  <c r="E246" i="3"/>
  <c r="E535" i="3"/>
  <c r="E335" i="3"/>
  <c r="E247" i="3"/>
  <c r="E217" i="3"/>
  <c r="E28" i="3"/>
  <c r="E362" i="3"/>
  <c r="E181" i="3"/>
  <c r="E231" i="3"/>
  <c r="E384" i="3"/>
  <c r="E72" i="3"/>
  <c r="E415" i="3"/>
  <c r="E419" i="3"/>
  <c r="E139" i="3"/>
  <c r="E369" i="3"/>
  <c r="E119" i="3"/>
  <c r="E423" i="3"/>
  <c r="E563" i="3"/>
  <c r="M6" i="3"/>
  <c r="E509" i="3"/>
  <c r="E377" i="3"/>
  <c r="E557" i="3"/>
  <c r="E146" i="3"/>
  <c r="E399" i="3"/>
  <c r="E561" i="3"/>
  <c r="AS6" i="3"/>
  <c r="E457" i="3"/>
  <c r="E334" i="3"/>
  <c r="E131" i="3"/>
  <c r="E148" i="3"/>
  <c r="E263" i="3"/>
  <c r="E278" i="3"/>
  <c r="E570" i="3"/>
  <c r="AJ6" i="3"/>
  <c r="E273" i="3"/>
  <c r="AO6" i="3"/>
  <c r="E577" i="3"/>
  <c r="E350" i="3"/>
  <c r="E388" i="3"/>
  <c r="E478" i="3"/>
  <c r="E45" i="3"/>
  <c r="E437" i="3"/>
  <c r="E378" i="3"/>
  <c r="AY6" i="3"/>
  <c r="E56" i="3"/>
  <c r="E308" i="3"/>
  <c r="E276" i="3"/>
  <c r="E62" i="3"/>
  <c r="E446" i="3"/>
  <c r="E87" i="3"/>
  <c r="E14" i="3"/>
  <c r="E285" i="3"/>
  <c r="E302" i="3"/>
  <c r="E238" i="3"/>
  <c r="E481" i="3"/>
  <c r="E394" i="3"/>
  <c r="AG6" i="3"/>
  <c r="E88" i="3"/>
  <c r="E125" i="3"/>
  <c r="E396" i="3"/>
  <c r="E320" i="3"/>
  <c r="E550" i="3"/>
  <c r="E293" i="3"/>
  <c r="E85" i="3"/>
  <c r="E519" i="3"/>
  <c r="E562" i="3"/>
  <c r="E111"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240" i="3"/>
  <c r="E142" i="3"/>
  <c r="E92" i="3"/>
  <c r="E177" i="3"/>
  <c r="E236" i="3"/>
  <c r="E316" i="3"/>
  <c r="E245" i="3"/>
  <c r="E99" i="3"/>
  <c r="E433" i="3"/>
  <c r="E269" i="3"/>
  <c r="E505" i="3"/>
  <c r="E331" i="3"/>
  <c r="E508" i="3"/>
  <c r="AR6" i="3"/>
  <c r="E380" i="3"/>
  <c r="E503" i="3"/>
  <c r="E124" i="3"/>
  <c r="E560" i="3"/>
  <c r="E106" i="3"/>
  <c r="E368" i="3"/>
  <c r="E345" i="3"/>
  <c r="E342" i="3"/>
  <c r="E473" i="3"/>
  <c r="E141" i="3"/>
  <c r="E149" i="3"/>
  <c r="E127" i="3"/>
  <c r="E411" i="3"/>
  <c r="E523" i="3"/>
  <c r="E159" i="3"/>
  <c r="E434" i="3"/>
  <c r="E429" i="3"/>
  <c r="E580" i="3"/>
  <c r="E448" i="3"/>
  <c r="E121" i="3"/>
  <c r="E366" i="3"/>
  <c r="E229" i="3"/>
  <c r="E294" i="3"/>
  <c r="E117" i="3"/>
  <c r="E336" i="3"/>
  <c r="E511" i="3"/>
  <c r="E573" i="3"/>
  <c r="E571" i="3"/>
  <c r="E279"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118" i="3"/>
  <c r="R6" i="3"/>
  <c r="E493" i="3"/>
  <c r="E234" i="3"/>
  <c r="E58" i="3"/>
  <c r="E584" i="3"/>
  <c r="E224" i="3"/>
  <c r="E321" i="3"/>
  <c r="E303" i="3"/>
  <c r="E73" i="3"/>
  <c r="E558" i="3"/>
  <c r="N6" i="3"/>
  <c r="E114" i="3"/>
  <c r="E253" i="3"/>
  <c r="E458" i="3"/>
  <c r="E351" i="3"/>
  <c r="E515" i="3"/>
  <c r="E27" i="3"/>
  <c r="E175" i="3"/>
  <c r="E337" i="3"/>
  <c r="E261" i="3"/>
  <c r="E301" i="3"/>
  <c r="E228" i="3"/>
  <c r="E587" i="3"/>
  <c r="E315" i="3"/>
  <c r="Z6" i="3"/>
  <c r="E559" i="3"/>
  <c r="E568" i="3"/>
  <c r="E581" i="3"/>
  <c r="E280" i="3"/>
  <c r="E163" i="3"/>
  <c r="E492" i="3"/>
  <c r="E551" i="3"/>
  <c r="E252" i="3"/>
  <c r="E304" i="3"/>
  <c r="E244" i="3"/>
  <c r="E277" i="3"/>
  <c r="E180" i="3"/>
  <c r="E143" i="3"/>
  <c r="E162" i="3"/>
  <c r="E318" i="3"/>
  <c r="E453" i="3"/>
  <c r="E239" i="3"/>
  <c r="E203" i="3"/>
  <c r="E319" i="3"/>
  <c r="E112" i="3"/>
  <c r="E328" i="3"/>
  <c r="E317" i="3"/>
  <c r="E547" i="3"/>
  <c r="E207" i="3"/>
  <c r="E168" i="3"/>
  <c r="E474" i="3"/>
  <c r="E136" i="3"/>
  <c r="E187" i="3"/>
  <c r="AD6" i="3"/>
  <c r="E374" i="3"/>
  <c r="E297" i="3"/>
  <c r="E48" i="3"/>
  <c r="E500" i="3"/>
  <c r="E24" i="3"/>
  <c r="E460" i="3"/>
  <c r="E365" i="3"/>
  <c r="E340" i="3"/>
  <c r="E392" i="3"/>
  <c r="E38" i="3"/>
  <c r="L6" i="3"/>
  <c r="E108" i="3"/>
  <c r="E490" i="3"/>
  <c r="E83" i="3"/>
  <c r="E420" i="3"/>
  <c r="E332" i="3"/>
  <c r="E258" i="3"/>
  <c r="E237" i="3"/>
  <c r="S6" i="3"/>
  <c r="E426" i="3"/>
  <c r="E291" i="3"/>
  <c r="E367" i="3"/>
  <c r="E196" i="3"/>
  <c r="E54" i="3"/>
  <c r="E529" i="3"/>
  <c r="E461" i="3"/>
  <c r="E413" i="3"/>
  <c r="E179" i="3"/>
  <c r="E542" i="3"/>
  <c r="E436" i="3"/>
  <c r="E354" i="3"/>
  <c r="E416" i="3"/>
  <c r="E386" i="3"/>
  <c r="E566" i="3"/>
  <c r="E265" i="3"/>
  <c r="E289" i="3"/>
  <c r="E325" i="3"/>
  <c r="E79" i="3"/>
  <c r="E372" i="3"/>
  <c r="E25" i="3"/>
  <c r="E422" i="3"/>
  <c r="E158" i="3"/>
  <c r="E556" i="3"/>
  <c r="E513" i="3"/>
  <c r="E510" i="3"/>
  <c r="E430" i="3"/>
  <c r="E544" i="3"/>
  <c r="E144" i="3"/>
  <c r="E482" i="3"/>
  <c r="E525" i="3"/>
  <c r="E115" i="3"/>
  <c r="E49" i="3"/>
  <c r="E16" i="3"/>
  <c r="E543" i="3"/>
  <c r="E376" i="3"/>
  <c r="E401"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517" i="3"/>
  <c r="E425" i="3"/>
  <c r="E68" i="3"/>
  <c r="E383" i="3"/>
  <c r="E469" i="3"/>
  <c r="E428" i="3"/>
  <c r="E370" i="3"/>
  <c r="E223" i="3"/>
  <c r="E486" i="3"/>
  <c r="AH6"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AE6" i="3"/>
  <c r="E120" i="3"/>
  <c r="E353" i="3"/>
  <c r="E17" i="3"/>
  <c r="E338" i="3"/>
  <c r="E359" i="3"/>
  <c r="E53" i="3"/>
  <c r="E71" i="3"/>
  <c r="U6" i="3"/>
  <c r="E357" i="3"/>
  <c r="W6" i="3"/>
  <c r="E157" i="3"/>
  <c r="E307" i="3"/>
  <c r="E195" i="3"/>
  <c r="E462" i="3"/>
  <c r="E266" i="3"/>
  <c r="E323" i="3"/>
  <c r="E110" i="3"/>
  <c r="E222" i="3"/>
  <c r="E348" i="3"/>
  <c r="E165" i="3"/>
  <c r="E20" i="3"/>
  <c r="E36" i="3"/>
  <c r="E194" i="3"/>
  <c r="E540" i="3"/>
  <c r="E226" i="3"/>
  <c r="E498" i="3"/>
  <c r="E105" i="3"/>
  <c r="E220" i="3"/>
  <c r="E251" i="3"/>
  <c r="E160" i="3"/>
  <c r="E212" i="3"/>
  <c r="E507" i="3"/>
  <c r="E564" i="3"/>
  <c r="E116" i="3"/>
  <c r="E329" i="3"/>
  <c r="E80" i="3"/>
  <c r="E35" i="3"/>
  <c r="E190" i="3"/>
  <c r="E356" i="3"/>
  <c r="E41" i="3"/>
  <c r="E470" i="3"/>
  <c r="E360" i="3"/>
  <c r="E456" i="3"/>
  <c r="E197" i="3"/>
  <c r="E287" i="3"/>
  <c r="E206" i="3"/>
  <c r="E174" i="3"/>
  <c r="E75" i="3"/>
  <c r="E281" i="3"/>
  <c r="E283" i="3"/>
  <c r="E381" i="3"/>
  <c r="E33" i="3"/>
  <c r="E371" i="3"/>
  <c r="E103" i="3"/>
  <c r="E484" i="3"/>
  <c r="E349" i="3"/>
  <c r="E192" i="3"/>
  <c r="E479" i="3"/>
  <c r="AP6" i="3"/>
  <c r="E541" i="3"/>
  <c r="E499" i="3"/>
  <c r="E539" i="3"/>
  <c r="E3" i="6"/>
  <c r="E78" i="3"/>
  <c r="E243" i="3"/>
  <c r="E104" i="3"/>
  <c r="E452" i="3"/>
  <c r="E451" i="3"/>
  <c r="T6" i="3"/>
  <c r="E140" i="3"/>
  <c r="E113" i="3"/>
  <c r="E86" i="3"/>
  <c r="E129" i="3"/>
  <c r="E42" i="3"/>
  <c r="E494" i="3"/>
  <c r="E264" i="3"/>
  <c r="E355" i="3"/>
  <c r="E84" i="3"/>
  <c r="E300" i="3"/>
  <c r="E46" i="3"/>
  <c r="E59" i="3"/>
  <c r="E363" i="3"/>
  <c r="E152" i="3"/>
  <c r="E491" i="3"/>
  <c r="I3" i="6"/>
  <c r="E466" i="3"/>
  <c r="E286" i="3"/>
  <c r="E463" i="3"/>
  <c r="J6" i="3"/>
  <c r="E440" i="3"/>
  <c r="E427" i="3"/>
  <c r="E393" i="3"/>
  <c r="E188" i="3"/>
  <c r="E326" i="3"/>
  <c r="E232" i="3"/>
  <c r="E324" i="3"/>
  <c r="E412" i="3"/>
  <c r="E225" i="3"/>
  <c r="E26" i="3"/>
  <c r="E13" i="3"/>
  <c r="E512" i="3"/>
  <c r="E534" i="3"/>
  <c r="E205" i="3"/>
  <c r="AF6" i="3"/>
  <c r="E522" i="3"/>
  <c r="E96" i="3"/>
  <c r="E391" i="3"/>
  <c r="E21" i="3"/>
  <c r="E81" i="3"/>
  <c r="E184" i="3"/>
  <c r="E23" i="3"/>
  <c r="E249" i="3"/>
  <c r="E467" i="3"/>
  <c r="E76" i="3"/>
  <c r="E292" i="3"/>
  <c r="E37" i="3"/>
  <c r="E435" i="3"/>
  <c r="E255" i="3"/>
  <c r="E502" i="3"/>
  <c r="E199" i="3"/>
  <c r="AB7" i="36"/>
  <c r="T36" i="36" s="1"/>
  <c r="G36" i="36" s="1"/>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T40" i="71"/>
  <c r="D40" i="71"/>
  <c r="D56" i="71"/>
  <c r="T56" i="71"/>
  <c r="C26" i="71"/>
  <c r="D26" i="71" s="1"/>
  <c r="D27" i="71"/>
  <c r="B40" i="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40" i="43"/>
  <c r="C37" i="43"/>
  <c r="C41" i="43"/>
  <c r="K21" i="6"/>
  <c r="S8" i="1" s="1"/>
  <c r="E8" i="70" s="1"/>
  <c r="K25" i="6"/>
  <c r="K20" i="6"/>
  <c r="K23" i="6"/>
  <c r="K22" i="6"/>
  <c r="E31"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U7" i="37"/>
  <c r="G67" i="39"/>
  <c r="F69" i="39"/>
  <c r="I53" i="34"/>
  <c r="J53" i="34" s="1"/>
  <c r="F58" i="21"/>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C53" i="67"/>
  <c r="C53" i="15"/>
  <c r="C10" i="15"/>
  <c r="C5" i="15" s="1"/>
  <c r="C38" i="15" s="1"/>
  <c r="C35" i="9"/>
  <c r="F41" i="85"/>
  <c r="M27" i="67"/>
  <c r="F41" i="67"/>
  <c r="C16" i="67"/>
  <c r="F41" i="15"/>
  <c r="M27" i="15"/>
  <c r="F69" i="85" l="1"/>
  <c r="J29" i="85"/>
  <c r="C38" i="85"/>
  <c r="C66" i="85"/>
  <c r="L36" i="43"/>
  <c r="L37" i="43" s="1"/>
  <c r="O37" i="43" s="1"/>
  <c r="F24" i="85"/>
  <c r="C49" i="67"/>
  <c r="C48" i="67" s="1"/>
  <c r="C66" i="67" s="1"/>
  <c r="E36" i="36"/>
  <c r="D21" i="71"/>
  <c r="C20" i="71"/>
  <c r="AB33" i="33"/>
  <c r="U33" i="33"/>
  <c r="F10" i="39"/>
  <c r="J10" i="39"/>
  <c r="J10" i="40"/>
  <c r="H10" i="40"/>
  <c r="F10" i="40"/>
  <c r="H10" i="39"/>
  <c r="T48" i="33"/>
  <c r="G48" i="33" s="1"/>
  <c r="AA33" i="33"/>
  <c r="R48" i="33" s="1"/>
  <c r="S33" i="33"/>
  <c r="J6" i="67"/>
  <c r="M17" i="67"/>
  <c r="M16" i="1"/>
  <c r="AC33" i="33"/>
  <c r="V48" i="33" s="1"/>
  <c r="I48" i="33" s="1"/>
  <c r="W33" i="33"/>
  <c r="F28" i="12"/>
  <c r="C29" i="12" s="1"/>
  <c r="D28" i="12" s="1"/>
  <c r="F27" i="68"/>
  <c r="F27" i="11"/>
  <c r="F69" i="67"/>
  <c r="V2" i="43"/>
  <c r="C6" i="69"/>
  <c r="C7" i="69" s="1"/>
  <c r="C48" i="15"/>
  <c r="C66" i="15" s="1"/>
  <c r="H6" i="3"/>
  <c r="AC6" i="3"/>
  <c r="F22" i="11"/>
  <c r="C24" i="11" s="1"/>
  <c r="F24" i="67"/>
  <c r="C24" i="67" s="1"/>
  <c r="F24" i="15"/>
  <c r="C24" i="15" s="1"/>
  <c r="F22" i="69"/>
  <c r="F41" i="69" s="1"/>
  <c r="F22" i="68"/>
  <c r="C26" i="68" s="1"/>
  <c r="D22" i="68" s="1"/>
  <c r="F25" i="12"/>
  <c r="C26" i="12" s="1"/>
  <c r="D25" i="12" s="1"/>
  <c r="D116" i="43"/>
  <c r="N36" i="43"/>
  <c r="M36" i="43"/>
  <c r="M37" i="43"/>
  <c r="Q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C18"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G52" i="33"/>
  <c r="H52" i="33" s="1"/>
  <c r="H48" i="35"/>
  <c r="C49" i="34"/>
  <c r="C50" i="34"/>
  <c r="I41" i="36"/>
  <c r="J41" i="36" s="1"/>
  <c r="R43" i="37"/>
  <c r="E42" i="37"/>
  <c r="G63" i="40"/>
  <c r="F65" i="40"/>
  <c r="C37" i="36"/>
  <c r="C36" i="36"/>
  <c r="G58" i="21"/>
  <c r="C60" i="15"/>
  <c r="C34" i="9"/>
  <c r="C60" i="67"/>
  <c r="D10" i="68"/>
  <c r="C17" i="67"/>
  <c r="C17" i="15"/>
  <c r="C14" i="67"/>
  <c r="D10" i="69"/>
  <c r="C34" i="69"/>
  <c r="F41" i="68" l="1"/>
  <c r="N37" i="43"/>
  <c r="P37" i="43"/>
  <c r="Q36" i="43"/>
  <c r="P36" i="43"/>
  <c r="O36" i="43"/>
  <c r="C24" i="85"/>
  <c r="C23" i="85"/>
  <c r="C29" i="85" s="1"/>
  <c r="I52" i="33"/>
  <c r="J52" i="33" s="1"/>
  <c r="G53" i="33"/>
  <c r="H53" i="33" s="1"/>
  <c r="E48" i="33"/>
  <c r="I53" i="33" s="1"/>
  <c r="J53" i="33" s="1"/>
  <c r="R49" i="33"/>
  <c r="C48" i="33" s="1"/>
  <c r="C29" i="11"/>
  <c r="D27" i="11" s="1"/>
  <c r="C47" i="11"/>
  <c r="D45" i="11" s="1"/>
  <c r="S10" i="40"/>
  <c r="AA10" i="40"/>
  <c r="AA10" i="39"/>
  <c r="S10" i="39"/>
  <c r="M19" i="9"/>
  <c r="C118" i="9" s="1"/>
  <c r="B2" i="74" s="1"/>
  <c r="D8" i="74" s="1"/>
  <c r="F45" i="68"/>
  <c r="C47" i="68"/>
  <c r="D45" i="68" s="1"/>
  <c r="C29" i="68"/>
  <c r="D27" i="68" s="1"/>
  <c r="AB10" i="40"/>
  <c r="U10" i="40"/>
  <c r="AC10" i="40"/>
  <c r="W10" i="40"/>
  <c r="C28" i="11"/>
  <c r="C27" i="11" s="1"/>
  <c r="J18" i="67"/>
  <c r="J5" i="67"/>
  <c r="J24" i="67" s="1"/>
  <c r="U10" i="39"/>
  <c r="AB10" i="39"/>
  <c r="W10" i="39"/>
  <c r="AC10" i="39"/>
  <c r="C19" i="71"/>
  <c r="D20" i="71"/>
  <c r="U20" i="71" s="1"/>
  <c r="T20" i="71"/>
  <c r="C23" i="11"/>
  <c r="C26" i="11"/>
  <c r="D22" i="11" s="1"/>
  <c r="C25" i="11"/>
  <c r="C23" i="68"/>
  <c r="C44" i="11"/>
  <c r="D41" i="11" s="1"/>
  <c r="C44" i="68"/>
  <c r="D41" i="68" s="1"/>
  <c r="E6" i="3"/>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H58" i="21"/>
  <c r="E47" i="37"/>
  <c r="F47" i="37" s="1"/>
  <c r="E46" i="37"/>
  <c r="F46" i="37" s="1"/>
  <c r="I47" i="37"/>
  <c r="J47" i="37" s="1"/>
  <c r="C33" i="15"/>
  <c r="C33" i="67"/>
  <c r="J19" i="67"/>
  <c r="C34" i="68"/>
  <c r="C14" i="15"/>
  <c r="E6" i="76"/>
  <c r="B6" i="76"/>
  <c r="C36" i="85" l="1"/>
  <c r="C57" i="85"/>
  <c r="C64" i="85" s="1"/>
  <c r="Q49" i="85"/>
  <c r="C13" i="85"/>
  <c r="J14" i="85"/>
  <c r="J59" i="85"/>
  <c r="J60" i="85" s="1"/>
  <c r="C49" i="33"/>
  <c r="C18" i="71"/>
  <c r="D19" i="71"/>
  <c r="D7" i="74"/>
  <c r="E53" i="33"/>
  <c r="F53" i="33" s="1"/>
  <c r="E52" i="33"/>
  <c r="F52" i="33" s="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6" i="85" l="1"/>
  <c r="C65" i="85" s="1"/>
  <c r="C58" i="85" s="1"/>
  <c r="C67" i="85" s="1"/>
  <c r="C68" i="85" s="1"/>
  <c r="C75" i="85"/>
  <c r="Q70" i="85"/>
  <c r="C37" i="85"/>
  <c r="C30" i="85" s="1"/>
  <c r="C39" i="85" s="1"/>
  <c r="Q48" i="85"/>
  <c r="L46" i="85"/>
  <c r="J22" i="85"/>
  <c r="J13" i="85"/>
  <c r="J23" i="85" s="1"/>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71" i="85" l="1"/>
  <c r="C40" i="85"/>
  <c r="Q69" i="85"/>
  <c r="Q68" i="85" s="1"/>
  <c r="H41" i="85"/>
  <c r="C80" i="85"/>
  <c r="C79" i="85" s="1"/>
  <c r="J16" i="85"/>
  <c r="J25" i="85" s="1"/>
  <c r="D17" i="7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85"/>
  <c r="M21" i="15"/>
  <c r="L51" i="85"/>
  <c r="F35" i="15"/>
  <c r="F35" i="67"/>
  <c r="F35" i="85"/>
  <c r="M21" i="67"/>
  <c r="Q67" i="85" l="1"/>
  <c r="F63" i="85"/>
  <c r="J20" i="85"/>
  <c r="Q47" i="85"/>
  <c r="Q53" i="85" s="1"/>
  <c r="C43" i="85"/>
  <c r="Q65" i="85"/>
  <c r="Q75" i="85" s="1"/>
  <c r="Q56" i="85"/>
  <c r="Q62" i="85" s="1"/>
  <c r="D2" i="85"/>
  <c r="C83" i="85"/>
  <c r="C82" i="85" s="1"/>
  <c r="C45" i="85"/>
  <c r="C46" i="85" s="1"/>
  <c r="M23" i="43"/>
  <c r="D16" i="71"/>
  <c r="U16" i="71" s="1"/>
  <c r="C15" i="71"/>
  <c r="T16"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B2" i="85" l="1"/>
  <c r="B3" i="85"/>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3" i="71" l="1"/>
  <c r="D14" i="71"/>
  <c r="Q69" i="67"/>
  <c r="Q68" i="67" s="1"/>
  <c r="H41"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D2" i="34"/>
  <c r="D19" i="9"/>
  <c r="D2" i="37"/>
  <c r="D2" i="36"/>
  <c r="L51" i="15"/>
  <c r="D2" i="35"/>
  <c r="D19" i="86"/>
  <c r="D102" i="9" l="1"/>
  <c r="C102" i="9"/>
  <c r="D102" i="86"/>
  <c r="D21" i="86"/>
  <c r="D22" i="86"/>
  <c r="G19" i="86"/>
  <c r="G21" i="86" s="1"/>
  <c r="D12" i="71"/>
  <c r="U12" i="71" s="1"/>
  <c r="T12" i="71"/>
  <c r="C11" i="71"/>
  <c r="C21" i="9"/>
  <c r="B3" i="33"/>
  <c r="D21" i="9"/>
  <c r="D22" i="9"/>
  <c r="G19" i="9"/>
  <c r="G21" i="9"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AO7" i="1"/>
  <c r="AO9" i="1"/>
  <c r="AO10" i="1"/>
  <c r="AO8" i="1"/>
  <c r="AO6" i="1"/>
  <c r="AO12" i="1"/>
  <c r="D20" i="86"/>
  <c r="AO11" i="1"/>
  <c r="D20" i="9"/>
  <c r="D103" i="86" l="1"/>
  <c r="G20" i="86"/>
  <c r="C32" i="86" s="1"/>
  <c r="C10" i="71"/>
  <c r="D11" i="71"/>
  <c r="C103" i="9"/>
  <c r="D103" i="9"/>
  <c r="G20" i="9"/>
  <c r="C32" i="9" s="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I118" i="86" l="1"/>
  <c r="H118" i="86" s="1"/>
  <c r="D34" i="86"/>
  <c r="D35" i="86"/>
  <c r="D10" i="71"/>
  <c r="C9" i="71"/>
  <c r="D35" i="9"/>
  <c r="D34"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105" i="86" l="1"/>
  <c r="H102" i="86"/>
  <c r="D9" i="71"/>
  <c r="C8" i="71"/>
  <c r="C42" i="40"/>
  <c r="C43" i="40"/>
  <c r="E47" i="40"/>
  <c r="F47" i="40" s="1"/>
  <c r="E46" i="40"/>
  <c r="F46" i="40" s="1"/>
  <c r="I47" i="40"/>
  <c r="J47" i="40" s="1"/>
  <c r="H119" i="86" l="1"/>
  <c r="H101" i="86"/>
  <c r="C104" i="86"/>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M48" i="86" l="1"/>
  <c r="D45" i="86"/>
  <c r="H107" i="86"/>
  <c r="D7" i="71"/>
  <c r="C6" i="71"/>
  <c r="B6" i="74"/>
  <c r="D6" i="74" s="1"/>
  <c r="I118" i="9"/>
  <c r="G118" i="9"/>
  <c r="G4" i="52" s="1"/>
  <c r="B52" i="72" s="1"/>
  <c r="H102" i="9" l="1"/>
  <c r="E14" i="74" s="1"/>
  <c r="H118" i="9"/>
  <c r="D122" i="86"/>
  <c r="D123" i="86" s="1"/>
  <c r="H108" i="86"/>
  <c r="C72" i="86"/>
  <c r="C64" i="86"/>
  <c r="C63" i="86" s="1"/>
  <c r="C67" i="86" s="1"/>
  <c r="D53" i="86"/>
  <c r="C78" i="86"/>
  <c r="C73" i="86" s="1"/>
  <c r="D52" i="86"/>
  <c r="C93" i="86"/>
  <c r="C86" i="86" s="1"/>
  <c r="C85" i="86"/>
  <c r="D55" i="86"/>
  <c r="M53" i="86" s="1"/>
  <c r="D6" i="71"/>
  <c r="C5" i="71"/>
  <c r="D5" i="71" s="1"/>
  <c r="M24" i="43" s="1"/>
  <c r="D7" i="53"/>
  <c r="B21" i="72" s="1"/>
  <c r="F118" i="9"/>
  <c r="I4" i="52"/>
  <c r="E118" i="9"/>
  <c r="C105" i="9"/>
  <c r="C79" i="86" l="1"/>
  <c r="C95" i="86"/>
  <c r="D59" i="86"/>
  <c r="M55" i="86" s="1"/>
  <c r="C68" i="86"/>
  <c r="D54" i="86" s="1"/>
  <c r="C80" i="86"/>
  <c r="E80" i="86" s="1"/>
  <c r="E81" i="86" s="1"/>
  <c r="C96" i="86"/>
  <c r="E96" i="86" s="1"/>
  <c r="E97" i="86" s="1"/>
  <c r="F119" i="9"/>
  <c r="F5" i="52" s="1"/>
  <c r="B53" i="72" s="1"/>
  <c r="F4" i="52"/>
  <c r="B51" i="72" s="1"/>
  <c r="H4" i="52"/>
  <c r="H101" i="9"/>
  <c r="D14" i="74" s="1"/>
  <c r="H119" i="9"/>
  <c r="H5" i="52" s="1"/>
  <c r="C104" i="9"/>
  <c r="D118" i="9"/>
  <c r="E4" i="52"/>
  <c r="B48" i="72" s="1"/>
  <c r="C81" i="86" l="1"/>
  <c r="C97" i="86"/>
  <c r="D58" i="86" s="1"/>
  <c r="D56" i="86" s="1"/>
  <c r="M54" i="86" s="1"/>
  <c r="N57" i="86" s="1"/>
  <c r="F14" i="74"/>
  <c r="B5" i="74"/>
  <c r="H107" i="9"/>
  <c r="M48" i="9"/>
  <c r="D5" i="53"/>
  <c r="D45" i="9"/>
  <c r="D119" i="9"/>
  <c r="D5" i="52" s="1"/>
  <c r="B49" i="72" s="1"/>
  <c r="D4" i="52"/>
  <c r="B47" i="72" s="1"/>
  <c r="N58" i="86" l="1"/>
  <c r="P57" i="86"/>
  <c r="N59" i="86"/>
  <c r="D5" i="74"/>
  <c r="C5" i="74"/>
  <c r="D6" i="53"/>
  <c r="B22" i="72" s="1"/>
  <c r="B20" i="72"/>
  <c r="C85" i="9"/>
  <c r="D53" i="9"/>
  <c r="C72" i="9"/>
  <c r="D52" i="9"/>
  <c r="C93" i="9"/>
  <c r="C86" i="9" s="1"/>
  <c r="D55" i="9"/>
  <c r="M53" i="9" s="1"/>
  <c r="C64" i="9"/>
  <c r="C63" i="9" s="1"/>
  <c r="C67" i="9" s="1"/>
  <c r="C78" i="9"/>
  <c r="C73" i="9" s="1"/>
  <c r="D122" i="9"/>
  <c r="D13" i="53"/>
  <c r="H108" i="9"/>
  <c r="N61" i="86" l="1"/>
  <c r="N60" i="86"/>
  <c r="C95" i="9"/>
  <c r="D14" i="53"/>
  <c r="B32" i="72" s="1"/>
  <c r="B30" i="72"/>
  <c r="D8" i="52"/>
  <c r="D123" i="9"/>
  <c r="D9" i="52" s="1"/>
  <c r="D15" i="53"/>
  <c r="B31" i="72" s="1"/>
  <c r="C6" i="74"/>
  <c r="C68" i="9"/>
  <c r="D54" i="9" s="1"/>
  <c r="D59" i="9"/>
  <c r="M55" i="9" s="1"/>
  <c r="C79" i="9"/>
  <c r="C80" i="9" l="1"/>
  <c r="E80" i="9" s="1"/>
  <c r="E81" i="9" s="1"/>
  <c r="C96" i="9"/>
  <c r="E96" i="9" s="1"/>
  <c r="E97" i="9" s="1"/>
  <c r="C81" i="9" l="1"/>
  <c r="C97" i="9"/>
  <c r="D58" i="9" s="1"/>
  <c r="D56" i="9" s="1"/>
  <c r="M54" i="9" s="1"/>
  <c r="N57" i="9" s="1"/>
  <c r="N59" i="9" s="1"/>
  <c r="P57" i="9" l="1"/>
  <c r="N58"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2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C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C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C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C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C00-000005000000}">
      <text>
        <r>
          <rPr>
            <sz val="12"/>
            <color indexed="81"/>
            <rFont val="宋体"/>
            <family val="3"/>
            <charset val="134"/>
          </rPr>
          <t xml:space="preserve">名称在右侧单元格录入
</t>
        </r>
      </text>
    </comment>
    <comment ref="B16" authorId="0" shapeId="0" xr:uid="{00000000-0006-0000-0C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C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C00-000008000000}">
      <text>
        <r>
          <rPr>
            <sz val="11"/>
            <color indexed="81"/>
            <rFont val="宋体"/>
            <family val="3"/>
            <charset val="134"/>
          </rPr>
          <t xml:space="preserve">有相同面积依据时，仅在土地面积依据处录入。
</t>
        </r>
      </text>
    </comment>
    <comment ref="C28" authorId="1" shapeId="0" xr:uid="{00000000-0006-0000-0C00-000009000000}">
      <text>
        <r>
          <rPr>
            <sz val="11"/>
            <color indexed="81"/>
            <rFont val="楷体_GB2312"/>
            <family val="3"/>
            <charset val="134"/>
          </rPr>
          <t>其他特殊项请在右侧录入</t>
        </r>
      </text>
    </comment>
    <comment ref="C30" authorId="1" shapeId="0" xr:uid="{00000000-0006-0000-0C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C00-00000B000000}">
      <text>
        <r>
          <rPr>
            <sz val="11"/>
            <color indexed="81"/>
            <rFont val="宋体"/>
            <family val="3"/>
            <charset val="134"/>
          </rPr>
          <t xml:space="preserve">工程停工、土地闲置、年久失修等
</t>
        </r>
      </text>
    </comment>
    <comment ref="E32" authorId="1" shapeId="0" xr:uid="{00000000-0006-0000-0C00-00000C000000}">
      <text>
        <r>
          <rPr>
            <sz val="11"/>
            <color indexed="81"/>
            <rFont val="宋体"/>
            <family val="3"/>
            <charset val="134"/>
          </rPr>
          <t xml:space="preserve">工程停工、土地闲置、年久失修等
</t>
        </r>
      </text>
    </comment>
    <comment ref="E33" authorId="1" shapeId="0" xr:uid="{00000000-0006-0000-0C00-00000D000000}">
      <text>
        <r>
          <rPr>
            <sz val="11"/>
            <color indexed="81"/>
            <rFont val="宋体"/>
            <family val="3"/>
            <charset val="134"/>
          </rPr>
          <t xml:space="preserve">工程停工、土地闲置、年久失修等
</t>
        </r>
      </text>
    </comment>
    <comment ref="K42" authorId="1" shapeId="0" xr:uid="{00000000-0006-0000-0C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C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C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C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C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C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C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C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C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C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C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D9BD8C31-77AC-4EA1-B979-014D42A411E2}">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4F0769CF-796C-4CA3-B5FB-8C51A0681004}">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EA05E88-E761-447E-9C58-D74609085EBE}">
      <text>
        <r>
          <rPr>
            <sz val="11"/>
            <color indexed="81"/>
            <rFont val="宋体"/>
            <family val="3"/>
            <charset val="134"/>
          </rPr>
          <t>需在下方列示计算过程</t>
        </r>
        <r>
          <rPr>
            <sz val="9"/>
            <color indexed="81"/>
            <rFont val="宋体"/>
            <family val="3"/>
            <charset val="134"/>
          </rPr>
          <t xml:space="preserve">
</t>
        </r>
      </text>
    </comment>
    <comment ref="H75" authorId="2" shapeId="0" xr:uid="{0A8DF420-B9A9-4306-A273-5A28EFB86608}">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D60EC867-4077-4B43-9F18-0556096FF7E4}">
      <text>
        <r>
          <rPr>
            <b/>
            <sz val="9"/>
            <color indexed="81"/>
            <rFont val="宋体"/>
            <family val="3"/>
            <charset val="134"/>
          </rPr>
          <t>权重验证</t>
        </r>
        <r>
          <rPr>
            <sz val="9"/>
            <color indexed="81"/>
            <rFont val="宋体"/>
            <family val="3"/>
            <charset val="134"/>
          </rPr>
          <t xml:space="preserve">
</t>
        </r>
      </text>
    </comment>
    <comment ref="C58" authorId="1" shapeId="0" xr:uid="{B290C5C2-A6BC-4D0C-849A-E3331308CA14}">
      <text>
        <r>
          <rPr>
            <b/>
            <sz val="12"/>
            <color indexed="81"/>
            <rFont val="宋体"/>
            <family val="3"/>
            <charset val="134"/>
          </rPr>
          <t>价值时点所在月度</t>
        </r>
        <r>
          <rPr>
            <sz val="12"/>
            <color indexed="81"/>
            <rFont val="宋体"/>
            <family val="3"/>
            <charset val="134"/>
          </rPr>
          <t xml:space="preserve">
</t>
        </r>
      </text>
    </comment>
    <comment ref="B102" authorId="1" shapeId="0" xr:uid="{08907F92-CD3E-4577-9972-2DA5E8DB04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47BD5E33-1AF9-4B25-AA6C-8E1C29D9C826}">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14465034-3D85-4FEC-903F-69063C4230AD}">
      <text>
        <r>
          <rPr>
            <sz val="10"/>
            <color indexed="81"/>
            <rFont val="宋体"/>
            <family val="3"/>
            <charset val="134"/>
          </rPr>
          <t xml:space="preserve">需注意，采用基准地价系数修正法中土地结果计算时，土地报酬率应采用该方法中报酬率（还原率）。
</t>
        </r>
      </text>
    </comment>
    <comment ref="L55" authorId="0" shapeId="0" xr:uid="{7E6CD612-E372-4BBE-B878-8CFE0AA41FCD}">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AA71D0EE-32C2-4F56-A7CB-8AF2D4341077}">
      <text>
        <r>
          <rPr>
            <sz val="11"/>
            <color indexed="81"/>
            <rFont val="宋体"/>
            <family val="3"/>
            <charset val="134"/>
          </rPr>
          <t xml:space="preserve">在建项目均选择“是”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700-000002000000}">
      <text>
        <r>
          <rPr>
            <sz val="11"/>
            <color indexed="81"/>
            <rFont val="宋体"/>
            <family val="3"/>
            <charset val="134"/>
          </rPr>
          <t xml:space="preserve">录入层数，将对应的结果录入至左侧相应层的楼层修正系数单元格中
</t>
        </r>
      </text>
    </comment>
    <comment ref="C16" authorId="1" shapeId="0" xr:uid="{00000000-0006-0000-27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700-000004000000}">
      <text>
        <r>
          <rPr>
            <sz val="12"/>
            <color indexed="81"/>
            <rFont val="宋体"/>
            <family val="3"/>
            <charset val="134"/>
          </rPr>
          <t>1.05~1.1</t>
        </r>
        <r>
          <rPr>
            <sz val="9"/>
            <color indexed="81"/>
            <rFont val="宋体"/>
            <family val="3"/>
            <charset val="134"/>
          </rPr>
          <t xml:space="preserve">
</t>
        </r>
      </text>
    </comment>
    <comment ref="E16" authorId="1" shapeId="0" xr:uid="{00000000-0006-0000-27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7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7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7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color indexed="81"/>
            <rFont val="宋体"/>
            <family val="3"/>
            <charset val="134"/>
          </rPr>
          <t xml:space="preserve">需在此处填写剩余土地年限
</t>
        </r>
      </text>
    </comment>
    <comment ref="C111" authorId="0" shapeId="0" xr:uid="{00000000-0006-0000-27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7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7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7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7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7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7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7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7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7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7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7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7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sharedStrings.xml><?xml version="1.0" encoding="utf-8"?>
<sst xmlns="http://schemas.openxmlformats.org/spreadsheetml/2006/main" count="9199" uniqueCount="3557">
  <si>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</si>
  <si>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</si>
  <si>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</si>
  <si>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</si>
  <si>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</si>
  <si>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</si>
  <si>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</si>
  <si>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</si>
  <si>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</si>
  <si>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</si>
  <si>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</si>
  <si>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</si>
  <si>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</si>
  <si>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</si>
  <si>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</si>
  <si>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</si>
  <si>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</si>
  <si>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</si>
  <si>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</si>
  <si>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</si>
  <si>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</si>
  <si>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</si>
  <si>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</si>
  <si>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</si>
  <si>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</si>
  <si>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</si>
  <si>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</si>
  <si>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</si>
  <si>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</si>
  <si>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</si>
  <si>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</si>
  <si>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</si>
  <si>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</si>
  <si>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</si>
  <si>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</si>
  <si>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</si>
  <si>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</si>
  <si>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</si>
  <si>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</si>
  <si>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</si>
  <si>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</si>
  <si>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</si>
  <si>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</si>
  <si>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</si>
  <si>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</si>
  <si>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</si>
  <si>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</si>
  <si>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</si>
  <si>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</si>
  <si>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</si>
  <si>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</si>
  <si>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</si>
  <si>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</si>
  <si>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</si>
  <si>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</si>
  <si>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</si>
  <si>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</si>
  <si>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</si>
  <si>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</si>
  <si>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</si>
  <si>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</si>
  <si>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</si>
  <si>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</si>
  <si>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</si>
  <si>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</si>
  <si>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</si>
  <si>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</si>
  <si>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</si>
  <si>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</si>
  <si>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</si>
  <si>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</si>
  <si>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</si>
  <si>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</si>
  <si>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</si>
  <si>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</si>
  <si>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</si>
  <si>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</si>
  <si>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</si>
  <si>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</si>
  <si>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</si>
  <si>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</si>
  <si>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</si>
  <si>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</si>
  <si>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</si>
  <si>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</si>
  <si>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</si>
  <si>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</si>
  <si>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</si>
  <si>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</si>
  <si>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</si>
  <si>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</si>
  <si>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</si>
  <si>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</si>
  <si>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</si>
  <si>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</si>
  <si>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</si>
  <si>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</si>
  <si>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</si>
  <si>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</si>
  <si>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</si>
  <si>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</si>
  <si>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</si>
  <si>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</si>
  <si>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</si>
  <si>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</si>
  <si>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</si>
  <si>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</si>
  <si>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</si>
  <si>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</si>
  <si>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</si>
  <si>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</si>
  <si>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</si>
  <si>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</si>
  <si>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</si>
  <si>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</si>
  <si>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</si>
  <si>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</si>
  <si>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</si>
  <si>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</si>
  <si>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</si>
  <si>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</si>
  <si>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</si>
  <si>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</si>
  <si>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</si>
  <si>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</si>
  <si>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</si>
  <si>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</si>
  <si>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</si>
  <si>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</si>
  <si>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</si>
  <si>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</si>
  <si>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</si>
  <si>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</si>
  <si>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</si>
  <si>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</si>
  <si>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</si>
  <si>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</si>
  <si>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</si>
  <si>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</si>
  <si>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</si>
  <si>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</si>
  <si>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</si>
  <si>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</si>
  <si>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</si>
  <si>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</si>
  <si>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</si>
  <si>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</si>
  <si>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</si>
  <si>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</si>
  <si>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</si>
  <si>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</si>
  <si>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</si>
  <si>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</si>
  <si>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</si>
  <si>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</si>
  <si>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</si>
  <si>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</si>
  <si>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</si>
  <si>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</si>
  <si>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</si>
  <si>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</si>
  <si>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</si>
  <si>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</si>
  <si>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</si>
  <si>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</si>
  <si>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</si>
  <si>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</si>
  <si>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</si>
  <si>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</si>
  <si>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</si>
  <si>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</si>
  <si>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</si>
  <si>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</si>
  <si>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</si>
  <si>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</si>
  <si>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</si>
  <si>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</si>
  <si>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</si>
  <si>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</si>
  <si>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</si>
  <si>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</si>
  <si>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</si>
  <si>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</si>
  <si>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</si>
  <si>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</si>
  <si>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</si>
  <si>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</si>
  <si>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</si>
  <si>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</si>
  <si>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</si>
  <si>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</si>
  <si>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</si>
  <si>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</si>
  <si>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</si>
  <si>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</si>
  <si>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</si>
  <si>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</si>
  <si>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</si>
  <si>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</si>
  <si>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</si>
  <si>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</si>
  <si>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</si>
  <si>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</si>
  <si>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</si>
  <si>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</si>
  <si>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</si>
  <si>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</si>
  <si>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</si>
  <si>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</si>
  <si>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</si>
  <si>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</si>
  <si>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</si>
  <si>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</si>
  <si>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</si>
  <si>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</si>
  <si>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</si>
  <si>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</si>
  <si>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</si>
  <si>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</si>
  <si>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</si>
  <si>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</si>
  <si>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</si>
  <si>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</si>
  <si>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</si>
  <si>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</si>
  <si>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</si>
  <si>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</si>
  <si>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</si>
  <si>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</si>
  <si>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</si>
  <si>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</si>
  <si>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</si>
  <si>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</si>
  <si>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</si>
  <si>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</si>
  <si>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</si>
  <si>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</si>
  <si>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</si>
  <si>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</si>
  <si>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</si>
  <si>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</si>
  <si>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</si>
  <si>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</si>
  <si>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</si>
  <si>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</si>
  <si>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</si>
  <si>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</si>
  <si>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</si>
  <si>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</si>
  <si>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</si>
  <si>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</si>
  <si>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</si>
  <si>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</si>
  <si>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</si>
  <si>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</si>
  <si>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</si>
  <si>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</si>
  <si>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</si>
  <si>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</si>
  <si>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</si>
  <si>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</si>
  <si>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</si>
  <si>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</si>
  <si>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</si>
  <si>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</si>
  <si>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</si>
  <si>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</si>
  <si>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</si>
  <si>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</si>
  <si>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</si>
  <si>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</si>
  <si>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</si>
  <si>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</si>
  <si>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</si>
  <si>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</si>
  <si>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</si>
  <si>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</si>
  <si>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</si>
  <si>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</si>
  <si>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</si>
  <si>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</si>
  <si>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</si>
  <si>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</si>
  <si>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</si>
  <si>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</si>
  <si>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</si>
  <si>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</si>
  <si>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</si>
  <si>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</si>
  <si>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</si>
  <si>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</si>
  <si>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</si>
  <si>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</si>
  <si>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</si>
  <si>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</si>
  <si>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</si>
  <si>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</si>
  <si>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</si>
  <si>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</si>
  <si>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</si>
  <si>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</si>
  <si>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</si>
  <si>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</si>
  <si>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</si>
  <si>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</si>
  <si>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</si>
  <si>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</si>
  <si>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</si>
  <si>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</si>
  <si>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</si>
  <si>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</si>
  <si>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</si>
  <si>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</si>
  <si>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</si>
  <si>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</si>
  <si>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</si>
  <si>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</si>
  <si>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</si>
  <si>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</si>
  <si>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</si>
  <si>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</si>
  <si>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</si>
  <si>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</si>
  <si>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</si>
  <si>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</si>
  <si>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</si>
  <si>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</si>
  <si>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</si>
  <si>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</si>
  <si>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</si>
  <si>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</si>
  <si>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</si>
  <si>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</si>
  <si>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</si>
  <si>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</si>
  <si>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</si>
  <si>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</si>
  <si>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</si>
  <si>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</si>
  <si>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</si>
  <si>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</si>
  <si>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</si>
  <si>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</si>
  <si>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</si>
  <si>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</si>
  <si>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</si>
  <si>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</si>
  <si>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</si>
  <si>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</si>
  <si>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</si>
  <si>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</si>
  <si>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</si>
  <si>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</si>
  <si>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</si>
  <si>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</si>
  <si>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</si>
  <si>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</si>
  <si>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</si>
  <si>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</si>
  <si>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</si>
  <si>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</si>
  <si>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</si>
  <si>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</si>
  <si>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</si>
  <si>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</si>
  <si>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</si>
  <si>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</si>
  <si>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</si>
  <si>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</si>
  <si>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</si>
  <si>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</si>
  <si>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</si>
  <si>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</si>
  <si>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</si>
  <si>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</si>
  <si>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</si>
  <si>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</si>
  <si>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</si>
  <si>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</si>
  <si>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</si>
  <si>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</si>
  <si>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</si>
  <si>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</si>
  <si>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</si>
  <si>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</si>
  <si>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</si>
  <si>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</si>
  <si>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</si>
  <si>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</si>
  <si>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</si>
  <si>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</si>
  <si>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</si>
  <si>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</si>
  <si>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</si>
  <si>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</si>
  <si>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</si>
  <si>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</si>
  <si>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</si>
  <si>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</si>
  <si>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</si>
  <si>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</si>
  <si>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</si>
  <si>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</si>
  <si>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</si>
  <si>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</si>
  <si>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</si>
  <si>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</si>
  <si>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</si>
  <si>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</si>
  <si>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</si>
  <si>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</si>
  <si>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</si>
  <si>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</si>
  <si>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</si>
  <si>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</si>
  <si>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</si>
  <si>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</si>
  <si>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</si>
  <si>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</si>
  <si>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</si>
  <si>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</si>
  <si>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</si>
  <si>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</si>
  <si>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</si>
  <si>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</si>
  <si>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</si>
  <si>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</si>
  <si>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</si>
  <si>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</si>
  <si>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</si>
  <si>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</si>
  <si>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</si>
  <si>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</si>
  <si>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</si>
  <si>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</si>
  <si>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</si>
  <si>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</si>
  <si>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</si>
  <si>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</si>
  <si>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</si>
  <si>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</si>
  <si>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</si>
  <si>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</si>
  <si>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</si>
  <si>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</si>
  <si>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</si>
  <si>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</si>
  <si>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</si>
  <si>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</si>
  <si>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</si>
  <si>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</si>
  <si>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</si>
  <si>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</si>
  <si>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</si>
  <si>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</si>
  <si>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</si>
  <si>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</si>
  <si>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</si>
  <si>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</si>
  <si>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</si>
  <si>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</si>
  <si>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</si>
  <si>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</si>
  <si>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</si>
  <si>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</si>
  <si>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</si>
  <si>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</si>
  <si>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</si>
  <si>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</si>
  <si>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</si>
  <si>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</si>
  <si>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</si>
  <si>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</si>
  <si>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</si>
  <si>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</si>
  <si>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</si>
  <si>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</si>
  <si>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</si>
  <si>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</si>
  <si>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</si>
  <si>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</si>
  <si>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</si>
  <si>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</si>
  <si>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</si>
  <si>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</si>
  <si>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</si>
  <si>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</si>
  <si>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</si>
  <si>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</si>
  <si>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</si>
  <si>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</si>
  <si>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</si>
  <si>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</si>
  <si>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</si>
  <si>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</si>
  <si>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</si>
  <si>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</si>
  <si>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</si>
  <si>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</si>
  <si>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</si>
  <si>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</si>
  <si>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</si>
  <si>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</si>
  <si>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</si>
  <si>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</si>
  <si>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</si>
  <si>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</si>
  <si>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</si>
  <si>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</si>
  <si>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</si>
  <si>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</si>
  <si>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</si>
  <si>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</si>
  <si>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</si>
  <si>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</si>
  <si>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</si>
  <si>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</si>
  <si>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</si>
  <si>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</si>
  <si>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</si>
  <si>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</si>
  <si>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</si>
  <si>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</si>
  <si>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</si>
  <si>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</si>
  <si>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</si>
  <si>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</si>
  <si>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</si>
  <si>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</si>
  <si>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</si>
  <si>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</si>
  <si>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</si>
  <si>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</si>
  <si>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</si>
  <si>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</si>
  <si>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</si>
  <si>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</si>
  <si>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</si>
  <si>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</si>
  <si>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</si>
  <si>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</si>
  <si>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</si>
  <si>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</si>
  <si>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</si>
  <si>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</si>
  <si>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</si>
  <si>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</si>
  <si>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</si>
  <si>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</si>
  <si>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</si>
  <si>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</si>
  <si>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</si>
  <si>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</si>
  <si>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</si>
  <si>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</si>
  <si>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</si>
  <si>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</si>
  <si>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</si>
  <si>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</si>
  <si>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</si>
  <si>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</si>
  <si>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</si>
  <si>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</si>
  <si>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</si>
  <si>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</si>
  <si>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</si>
  <si>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</si>
  <si>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</si>
  <si>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</si>
  <si>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</si>
  <si>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</si>
  <si>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</si>
  <si>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</si>
  <si>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</si>
  <si>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</si>
  <si>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</si>
  <si>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</si>
  <si>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</si>
  <si>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</si>
  <si>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</si>
  <si>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</si>
  <si>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</si>
  <si>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</si>
  <si>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</si>
  <si>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</si>
  <si>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</si>
  <si>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</si>
  <si>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</si>
  <si>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</si>
  <si>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</si>
  <si>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</si>
  <si>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</si>
  <si>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</si>
  <si>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</si>
  <si>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</si>
  <si>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</si>
  <si>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</si>
  <si>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</si>
  <si>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</si>
  <si>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</si>
  <si>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</si>
  <si>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</si>
  <si>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</si>
  <si>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</si>
  <si>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</si>
  <si>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</si>
  <si>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</si>
  <si>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</si>
  <si>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</si>
  <si>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</si>
  <si>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</si>
  <si>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</si>
  <si>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</si>
  <si>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</si>
  <si>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</si>
  <si>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</si>
  <si>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</si>
  <si>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</si>
  <si>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</si>
  <si>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</si>
  <si>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</si>
  <si>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</si>
  <si>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</si>
  <si>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</si>
  <si>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</si>
  <si>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</si>
  <si>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</si>
  <si>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</si>
  <si>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</si>
  <si>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</si>
  <si>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</si>
  <si>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</si>
  <si>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</si>
  <si>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</si>
  <si>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</si>
  <si>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</si>
  <si>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</si>
  <si>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</si>
  <si>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</si>
  <si>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</si>
  <si>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</si>
  <si>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</si>
  <si>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</si>
  <si>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</si>
  <si>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</si>
  <si>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</si>
  <si>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</si>
  <si>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</si>
  <si>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</si>
  <si>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</si>
  <si>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</si>
  <si>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</si>
  <si>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</si>
  <si>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</si>
  <si>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</si>
  <si>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</si>
  <si>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</si>
  <si>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</si>
  <si>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</si>
  <si>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</si>
  <si>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</si>
  <si>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</si>
  <si>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</si>
  <si>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</si>
  <si>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</si>
  <si>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</si>
  <si>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</si>
  <si>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</si>
  <si>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</si>
  <si>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</si>
  <si>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</si>
  <si>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</si>
  <si>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</si>
  <si>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</si>
  <si>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</si>
  <si>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</si>
  <si>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</si>
  <si>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</si>
  <si>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</si>
  <si>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</si>
  <si>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</si>
  <si>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</si>
  <si>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</si>
  <si>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</si>
  <si>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</si>
  <si>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</si>
  <si>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</si>
  <si>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</si>
  <si>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</si>
  <si>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</si>
  <si>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</si>
  <si>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</si>
  <si>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</si>
  <si>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</si>
  <si>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</si>
  <si>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</si>
  <si>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</si>
  <si>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</si>
  <si>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</si>
  <si>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</si>
  <si>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</si>
  <si>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</si>
  <si>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</si>
  <si>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</si>
  <si>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</si>
  <si>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</si>
  <si>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</si>
  <si>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</si>
  <si>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</si>
  <si>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</si>
  <si>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</si>
  <si>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</si>
  <si>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</si>
  <si>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</si>
  <si>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</si>
  <si>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</si>
  <si>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</si>
  <si>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</si>
  <si>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</si>
  <si>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</si>
  <si>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</si>
  <si>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</si>
  <si>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</si>
  <si>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</si>
  <si>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</si>
  <si>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</si>
  <si>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</si>
  <si>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</si>
  <si>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</si>
  <si>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</si>
  <si>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</si>
  <si>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</si>
  <si>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</si>
  <si>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</si>
  <si>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</si>
  <si>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</si>
  <si>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</si>
  <si>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</si>
  <si>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</si>
  <si>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</si>
  <si>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</si>
  <si>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</si>
  <si>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</si>
  <si>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</si>
  <si>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</si>
  <si>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</si>
  <si>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</si>
  <si>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</si>
  <si>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</si>
  <si>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</si>
  <si>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</si>
  <si>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</si>
  <si>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</si>
  <si>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</si>
  <si>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</si>
  <si>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</si>
  <si>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</si>
  <si>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</si>
  <si>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</si>
  <si>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</si>
  <si>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</si>
  <si>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</si>
  <si>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</si>
  <si>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</si>
  <si>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</si>
  <si>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</si>
  <si>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</si>
  <si>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</si>
  <si>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</si>
  <si>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</si>
  <si>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</si>
  <si>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</si>
  <si>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</si>
  <si>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</si>
  <si>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</si>
  <si>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</si>
  <si>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</si>
  <si>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</si>
  <si>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</si>
  <si>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</si>
  <si>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</si>
  <si>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</si>
  <si>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</si>
  <si>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</si>
  <si>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</si>
  <si>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</si>
  <si>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</si>
  <si>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</si>
  <si>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</si>
  <si>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</si>
  <si>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</si>
  <si>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</si>
  <si>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</si>
  <si>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</si>
  <si>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</si>
  <si>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</si>
  <si>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</si>
  <si>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</si>
  <si>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</si>
  <si>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</si>
  <si>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</si>
  <si>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</si>
  <si>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</si>
  <si>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</si>
  <si>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</si>
  <si>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</si>
  <si>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</si>
  <si>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</si>
  <si>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</si>
  <si>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</si>
  <si>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</si>
  <si>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</si>
  <si>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</si>
  <si>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</si>
  <si>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</si>
  <si>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</si>
  <si>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</si>
  <si>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</si>
  <si>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</si>
  <si>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</si>
  <si>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</si>
  <si>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</si>
  <si>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</si>
  <si>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</si>
  <si>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</si>
  <si>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</si>
  <si>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</si>
  <si>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</si>
  <si>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</si>
  <si>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</si>
  <si>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</si>
  <si>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</si>
  <si>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</si>
  <si>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</si>
  <si>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</si>
  <si>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</si>
  <si>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</si>
  <si>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</si>
  <si>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</si>
  <si>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</si>
  <si>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</si>
  <si>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</si>
  <si>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</si>
  <si>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</si>
  <si>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</si>
  <si>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</si>
  <si>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</si>
  <si>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</si>
  <si>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</si>
  <si>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</si>
  <si>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</si>
  <si>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</si>
  <si>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</si>
  <si>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</si>
  <si>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</si>
  <si>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</si>
  <si>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</si>
  <si>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</si>
  <si>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</si>
  <si>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</si>
  <si>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</si>
  <si>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</si>
  <si>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</si>
  <si>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</si>
  <si>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</si>
  <si>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</si>
  <si>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</si>
  <si>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</si>
  <si>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</si>
  <si>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</si>
  <si>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</si>
  <si>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</si>
  <si>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</si>
  <si>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</si>
  <si>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</si>
  <si>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</si>
  <si>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</si>
  <si>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</si>
  <si>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</si>
  <si>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</si>
  <si>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</si>
  <si>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</si>
  <si>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</si>
  <si>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</si>
  <si>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</si>
  <si>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</si>
  <si>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</si>
  <si>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</si>
  <si>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</si>
  <si>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</si>
  <si>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</si>
  <si>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</si>
  <si>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</si>
  <si>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</si>
  <si>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</si>
  <si>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</si>
  <si>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</si>
  <si>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</si>
  <si>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</si>
  <si>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</si>
  <si>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</si>
  <si>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</si>
  <si>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</si>
  <si>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</si>
  <si>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</si>
  <si>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</si>
  <si>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</si>
  <si>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</si>
  <si>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</si>
  <si>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</si>
  <si>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</si>
  <si>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</si>
  <si>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</si>
  <si>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</si>
  <si>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</si>
  <si>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</si>
  <si>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</si>
  <si>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</si>
  <si>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</si>
  <si>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</si>
  <si>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</si>
  <si>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</si>
  <si>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</si>
  <si>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</si>
  <si>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</si>
  <si>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</si>
  <si>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</si>
  <si>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</si>
  <si>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</si>
  <si>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</si>
  <si>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</si>
  <si>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</si>
  <si>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</si>
  <si>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</si>
  <si>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</si>
  <si>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</si>
  <si>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</si>
  <si>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</si>
  <si>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</si>
  <si>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</si>
  <si>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</si>
  <si>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</si>
  <si>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</si>
  <si>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</si>
  <si>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</si>
  <si>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</si>
  <si>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</si>
  <si>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</si>
  <si>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</si>
  <si>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</si>
  <si>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</si>
  <si>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</si>
  <si>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</si>
  <si>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</si>
  <si>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</si>
  <si>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</si>
  <si>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</si>
  <si>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</si>
  <si>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</si>
  <si>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</si>
  <si>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</si>
  <si>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</si>
  <si>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</si>
  <si>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</si>
  <si>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</si>
  <si>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</si>
  <si>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</si>
  <si>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</si>
  <si>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</si>
  <si>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</si>
  <si>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</si>
  <si>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</si>
  <si>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</si>
  <si>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</si>
  <si>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</si>
  <si>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</si>
  <si>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</si>
  <si>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</si>
  <si>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</si>
  <si>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</si>
  <si>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</si>
  <si>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</si>
  <si>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</si>
  <si>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</si>
  <si>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</si>
  <si>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</si>
  <si>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</si>
  <si>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</si>
  <si>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</si>
  <si>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</si>
  <si>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</si>
  <si>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</si>
  <si>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</si>
  <si>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</si>
  <si>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</si>
  <si>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</si>
  <si>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</si>
  <si>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</si>
  <si>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</si>
  <si>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</si>
  <si>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</si>
  <si>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</si>
  <si>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</si>
  <si>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</si>
  <si>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</si>
  <si>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</si>
  <si>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</si>
  <si>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</si>
  <si>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</si>
  <si>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</si>
  <si>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</si>
  <si>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</si>
  <si>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</si>
  <si>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</si>
  <si>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</si>
  <si>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</si>
  <si>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</si>
  <si>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</si>
  <si>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</si>
  <si>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</si>
  <si>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</si>
  <si>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</si>
  <si>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</si>
  <si>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</si>
  <si>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</si>
  <si>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</si>
  <si>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</si>
  <si>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</si>
  <si>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</si>
  <si>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</si>
  <si>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</si>
  <si>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</si>
  <si>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</si>
  <si>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</si>
  <si>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</si>
  <si>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</si>
  <si>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</si>
  <si>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</si>
  <si>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</si>
  <si>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</si>
  <si>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</si>
  <si>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</si>
  <si>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</si>
  <si>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</si>
  <si>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</si>
  <si>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</si>
  <si>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</si>
  <si>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</si>
  <si>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</si>
  <si>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</si>
  <si>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</si>
  <si>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</si>
  <si>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</si>
  <si>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</si>
  <si>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</si>
  <si>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</si>
  <si>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</si>
  <si>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</si>
  <si>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</si>
  <si>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</si>
  <si>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</si>
  <si>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</si>
  <si>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</si>
  <si>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</si>
  <si>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</si>
  <si>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</si>
  <si>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</si>
  <si>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</si>
  <si>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</si>
  <si>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</si>
  <si>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</si>
  <si>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</si>
  <si>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</si>
  <si>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</si>
  <si>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</si>
  <si>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</si>
  <si>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</si>
  <si>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</si>
  <si>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</si>
  <si>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</si>
  <si>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</si>
  <si>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</si>
  <si>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</si>
  <si>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</si>
  <si>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</si>
  <si>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</si>
  <si>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</si>
  <si>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</si>
  <si>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</si>
  <si>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</si>
  <si>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</si>
  <si>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</si>
  <si>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</si>
  <si>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</si>
  <si>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</si>
  <si>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</si>
  <si>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</si>
  <si>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</si>
  <si>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</si>
  <si>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</si>
  <si>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</si>
  <si>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</si>
  <si>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</si>
  <si>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</si>
  <si>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</si>
  <si>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</si>
  <si>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</si>
  <si>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</si>
  <si>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</si>
  <si>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</si>
  <si>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</si>
  <si>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</si>
  <si>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</si>
  <si>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</si>
  <si>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</si>
  <si>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</si>
  <si>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</si>
  <si>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</si>
  <si>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</si>
  <si>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</si>
  <si>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</si>
  <si>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</si>
  <si>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</si>
  <si>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</si>
  <si>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</si>
  <si>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</si>
  <si>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</si>
  <si>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</si>
  <si>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</si>
  <si>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</si>
  <si>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</si>
  <si>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</si>
  <si>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</si>
  <si>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</si>
  <si>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</si>
  <si>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</si>
  <si>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</si>
  <si>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</si>
  <si>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</si>
  <si>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</si>
  <si>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</si>
  <si>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</si>
  <si>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</si>
  <si>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</si>
  <si>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</si>
  <si>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</si>
  <si>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</si>
  <si>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</si>
  <si>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</si>
  <si>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</si>
  <si>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</si>
  <si>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</si>
  <si>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</si>
  <si>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</si>
  <si>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</si>
  <si>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</si>
  <si>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</si>
  <si>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</si>
  <si>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</si>
  <si>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</si>
  <si>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</si>
  <si>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</si>
  <si>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</si>
  <si>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</si>
  <si>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</si>
  <si>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</si>
  <si>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</si>
  <si>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</si>
  <si>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</si>
  <si>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</si>
  <si>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</si>
  <si>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</si>
  <si>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</si>
  <si>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</si>
  <si>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</si>
  <si>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</si>
  <si>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</si>
  <si>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</si>
  <si>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</si>
  <si>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</si>
  <si>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</si>
  <si>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</si>
  <si>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</si>
  <si>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</si>
  <si>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</si>
  <si>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</si>
  <si>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</si>
  <si>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</si>
  <si>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</si>
  <si>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</si>
  <si>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</si>
  <si>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</si>
  <si>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</si>
  <si>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</si>
  <si>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</si>
  <si>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</si>
  <si>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</si>
  <si>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</si>
  <si>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</si>
  <si>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</si>
  <si>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</si>
  <si>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</si>
  <si>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</si>
  <si>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</si>
  <si>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</si>
  <si>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</si>
  <si>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</si>
  <si>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</si>
  <si>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</si>
  <si>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</si>
  <si>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</si>
  <si>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</si>
  <si>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</si>
  <si>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</si>
  <si>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</si>
  <si>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</si>
  <si>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</si>
  <si>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</si>
  <si>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</si>
  <si>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</si>
  <si>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</si>
  <si>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</si>
  <si>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</si>
  <si>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</si>
  <si>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</si>
  <si>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</si>
  <si>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</si>
  <si>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</si>
  <si>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</si>
  <si>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</si>
  <si>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</si>
  <si>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</si>
  <si>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</si>
  <si>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</si>
  <si>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</si>
  <si>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</si>
  <si>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</si>
  <si>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</si>
  <si>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</si>
  <si>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</si>
  <si>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</si>
  <si>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</si>
  <si>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</si>
  <si>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</si>
  <si>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</si>
  <si>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</si>
  <si>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</si>
  <si>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</si>
  <si>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</si>
  <si>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</si>
  <si>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</si>
  <si>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</si>
  <si>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</si>
  <si>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</si>
  <si>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</si>
  <si>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</si>
  <si>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</si>
  <si>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</si>
  <si>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</si>
  <si>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</si>
  <si>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</si>
  <si>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</si>
  <si>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</si>
  <si>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</si>
  <si>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</si>
  <si>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</si>
  <si>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</si>
  <si>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</si>
  <si>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</si>
  <si>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</si>
  <si>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</si>
  <si>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</si>
  <si>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</si>
  <si>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</si>
  <si>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</si>
  <si>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</si>
  <si>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</si>
  <si>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</si>
  <si>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</si>
  <si>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</si>
  <si>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</si>
  <si>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</si>
  <si>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</si>
  <si>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</si>
  <si>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</si>
  <si>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</si>
  <si>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</si>
  <si>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</si>
  <si>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</si>
  <si>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</si>
  <si>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</si>
  <si>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</si>
  <si>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</si>
  <si>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</si>
  <si>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</si>
  <si>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</si>
  <si>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</si>
  <si>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</si>
  <si>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</si>
  <si>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</si>
  <si>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</si>
  <si>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</si>
  <si>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</si>
  <si>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</si>
  <si>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</si>
  <si>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</si>
  <si>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</si>
  <si>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</si>
  <si>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</si>
  <si>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</si>
  <si>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</si>
  <si>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</si>
  <si>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</si>
  <si>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</si>
  <si>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</si>
  <si>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</si>
  <si>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</si>
  <si>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</si>
  <si>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</si>
  <si>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</si>
  <si>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</si>
  <si>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</si>
  <si>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</si>
  <si>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</si>
  <si>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</si>
  <si>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</si>
  <si>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</si>
  <si>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</si>
  <si>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</si>
  <si>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</si>
  <si>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</si>
  <si>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</si>
  <si>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</si>
  <si>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</si>
  <si>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</si>
  <si>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</si>
  <si>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</si>
  <si>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</si>
  <si>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</si>
  <si>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</si>
  <si>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</si>
  <si>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</si>
  <si>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</si>
  <si>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</si>
  <si>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</si>
  <si>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</si>
  <si>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</si>
  <si>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</si>
  <si>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</si>
  <si>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</si>
  <si>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</si>
  <si>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</si>
  <si>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</si>
  <si>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</si>
  <si>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</si>
  <si>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</si>
  <si>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</si>
  <si>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</si>
  <si>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</si>
  <si>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</si>
  <si>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</si>
  <si>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</si>
  <si>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</si>
  <si>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</si>
  <si>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</si>
  <si>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</si>
  <si>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</si>
  <si>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</si>
  <si>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</si>
  <si>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</si>
  <si>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</si>
  <si>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</si>
  <si>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</si>
  <si>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</si>
  <si>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</si>
  <si>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</si>
  <si>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</si>
  <si>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</si>
  <si>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</si>
  <si>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</si>
  <si>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</si>
  <si>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</si>
  <si>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</si>
  <si>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</si>
  <si>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</si>
  <si>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</si>
  <si>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</si>
  <si>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</si>
  <si>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</si>
  <si>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</si>
  <si>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</si>
  <si>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</si>
  <si>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</si>
  <si>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</si>
  <si>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</si>
  <si>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</si>
  <si>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</si>
  <si>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</si>
  <si>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</si>
  <si>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</si>
  <si>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</si>
  <si>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</si>
  <si>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</si>
  <si>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</si>
  <si>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</si>
  <si>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</si>
  <si>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</si>
  <si>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</si>
  <si>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</si>
  <si>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</si>
  <si>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</si>
  <si>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</si>
  <si>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</si>
  <si>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</si>
  <si>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</si>
  <si>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</si>
  <si>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</si>
  <si>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</si>
  <si>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</si>
  <si>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</si>
  <si>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</si>
  <si>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</si>
  <si>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</si>
  <si>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</si>
  <si>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</si>
  <si>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</si>
  <si>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</si>
  <si>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</si>
  <si>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</si>
  <si>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</si>
  <si>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</si>
  <si>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</si>
  <si>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</si>
  <si>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</si>
  <si>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</si>
  <si>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</si>
  <si>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</si>
  <si>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</si>
  <si>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</si>
  <si>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</si>
  <si>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</si>
  <si>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</si>
  <si>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</si>
  <si>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</si>
  <si>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</si>
  <si>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</si>
  <si>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</si>
  <si>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</si>
  <si>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</si>
  <si>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</si>
  <si>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</si>
  <si>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</si>
  <si>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</si>
  <si>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</si>
  <si>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</si>
  <si>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</si>
  <si>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</si>
  <si>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</si>
  <si>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</si>
  <si>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</si>
  <si>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</si>
  <si>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</si>
  <si>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</si>
  <si>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</si>
  <si>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</si>
  <si>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</si>
  <si>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</si>
  <si>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</si>
  <si>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</si>
  <si>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</si>
  <si>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</si>
  <si>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</si>
  <si>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</si>
  <si>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</si>
  <si>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</si>
  <si>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</si>
  <si>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</si>
  <si>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</si>
  <si>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</si>
  <si>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</si>
  <si>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</si>
  <si>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</si>
  <si>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</si>
  <si>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</si>
  <si>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</si>
  <si>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</si>
  <si>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</si>
  <si>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</si>
  <si>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</si>
  <si>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</si>
  <si>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</si>
  <si>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</si>
  <si>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</si>
  <si>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</si>
  <si>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</si>
  <si>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</si>
  <si>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</si>
  <si>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</si>
  <si>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</si>
  <si>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</si>
  <si>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</si>
  <si>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</si>
  <si>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</si>
  <si>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</si>
  <si>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</si>
  <si>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</si>
  <si>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</si>
  <si>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</si>
  <si>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</si>
  <si>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</si>
  <si>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</si>
  <si>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</si>
  <si>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</si>
  <si>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</si>
  <si>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</si>
  <si>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</si>
  <si>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</si>
  <si>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</si>
  <si>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</si>
  <si>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</si>
  <si>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</si>
  <si>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</si>
  <si>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</si>
  <si>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</si>
  <si>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</si>
  <si>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</si>
  <si>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</si>
  <si>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</si>
  <si>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</si>
  <si>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</si>
  <si>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</si>
  <si>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</si>
  <si>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</si>
  <si>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</si>
  <si>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</si>
  <si>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</si>
  <si>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</si>
  <si>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</si>
  <si>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</si>
  <si>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</si>
  <si>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</si>
  <si>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</si>
  <si>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</si>
  <si>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</si>
  <si>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</si>
  <si>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</si>
  <si>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</si>
  <si>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</si>
  <si>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</si>
  <si>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</si>
  <si>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</si>
  <si>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</si>
  <si>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</si>
  <si>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</si>
  <si>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</si>
  <si>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</si>
  <si>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</si>
  <si>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</si>
  <si>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</si>
  <si>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</si>
  <si>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</si>
  <si>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</si>
  <si>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</si>
  <si>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</si>
  <si>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</si>
  <si>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</si>
  <si>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</si>
  <si>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</si>
  <si>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</si>
  <si>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</si>
  <si>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</si>
  <si>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</si>
  <si>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</si>
  <si>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</si>
  <si>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</si>
  <si>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</si>
  <si>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</si>
  <si>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</si>
  <si>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</si>
  <si>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</si>
  <si>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</si>
  <si>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</si>
  <si>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</si>
  <si>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</si>
  <si>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</si>
  <si>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</si>
  <si>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</si>
  <si>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</si>
  <si>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</si>
  <si>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</si>
  <si>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</si>
  <si>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</si>
  <si>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</si>
  <si>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</si>
  <si>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</si>
  <si>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</si>
  <si>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</si>
  <si>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</si>
  <si>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</si>
  <si>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</si>
  <si>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</si>
  <si>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</si>
  <si>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</si>
  <si>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</si>
  <si>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</si>
  <si>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</si>
  <si>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</si>
  <si>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</si>
  <si>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</si>
  <si>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</si>
  <si>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</si>
  <si>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</si>
  <si>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</si>
  <si>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</si>
  <si>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</si>
  <si>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</si>
  <si>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</si>
  <si>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</si>
  <si>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</si>
  <si>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</si>
  <si>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</si>
  <si>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</si>
  <si>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</si>
  <si>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</si>
  <si>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</si>
  <si>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</si>
  <si>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</si>
  <si>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</si>
  <si>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</si>
  <si>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</si>
  <si>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</si>
  <si>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</si>
  <si>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</si>
  <si>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</si>
  <si>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</si>
  <si>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</si>
  <si>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</si>
  <si>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</si>
  <si>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</si>
  <si>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</si>
  <si>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</si>
  <si>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</si>
  <si>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</si>
  <si>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</si>
  <si>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</si>
  <si>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</si>
  <si>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</si>
  <si>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</si>
  <si>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</si>
  <si>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</si>
  <si>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</si>
  <si>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</si>
  <si>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</si>
  <si>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</si>
  <si>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</si>
  <si>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</si>
  <si>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</si>
  <si>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</si>
  <si>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</si>
  <si>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</si>
  <si>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</si>
  <si>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</si>
  <si>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</si>
  <si>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</si>
  <si>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</si>
  <si>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</si>
  <si>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</si>
  <si>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</si>
  <si>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</si>
  <si>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</si>
  <si>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</si>
  <si>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</si>
  <si>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</si>
  <si>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</si>
  <si>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</si>
  <si>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</si>
  <si>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</si>
  <si>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</si>
  <si>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</si>
  <si>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</si>
  <si>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</si>
  <si>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</si>
  <si>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</si>
  <si>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</si>
  <si>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</si>
  <si>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</si>
  <si>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</si>
  <si>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</si>
  <si>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</si>
  <si>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</si>
  <si>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</si>
  <si>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</si>
  <si>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</si>
  <si>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</si>
  <si>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</si>
  <si>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</si>
  <si>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</si>
  <si>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</si>
  <si>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</si>
  <si>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</si>
  <si>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</si>
  <si>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</si>
  <si>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</si>
  <si>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</si>
  <si>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</si>
  <si>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</si>
  <si>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</si>
  <si>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</si>
  <si>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</si>
  <si>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</si>
  <si>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</si>
  <si>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</si>
  <si>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</si>
  <si>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</si>
  <si>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</si>
  <si>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</si>
  <si>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</si>
  <si>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</si>
  <si>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</si>
  <si>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</si>
  <si>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</si>
  <si>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</si>
  <si>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</si>
  <si>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</si>
  <si>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</si>
  <si>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</si>
  <si>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</si>
  <si>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</si>
  <si>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</si>
  <si>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</si>
  <si>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</si>
  <si>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</si>
  <si>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</si>
  <si>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</si>
  <si>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</si>
  <si>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</si>
  <si>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</si>
  <si>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</si>
  <si>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</si>
  <si>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</si>
  <si>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</si>
  <si>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</si>
  <si>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</si>
  <si>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</si>
  <si>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</si>
  <si>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</si>
  <si>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</si>
  <si>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</si>
  <si>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</si>
  <si>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</si>
  <si>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</si>
  <si>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</si>
  <si>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</si>
  <si>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</si>
  <si>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</si>
  <si>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</si>
  <si>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</si>
  <si>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</si>
  <si>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</si>
  <si>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</si>
  <si>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</si>
  <si>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</si>
  <si>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</si>
  <si>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</si>
  <si>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</si>
  <si>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</si>
  <si>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</si>
  <si>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</si>
  <si>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</si>
  <si>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</si>
  <si>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</si>
  <si>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</si>
  <si>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</si>
  <si>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</si>
  <si>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</si>
  <si>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</si>
  <si>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</si>
  <si>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</si>
  <si>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</si>
  <si>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</si>
  <si>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</si>
  <si>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</si>
  <si>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</si>
  <si>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</si>
  <si>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</si>
  <si>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</si>
  <si>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</si>
  <si>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</si>
  <si>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</si>
  <si>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</si>
  <si>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</si>
  <si>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</si>
  <si>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</si>
  <si>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</si>
  <si>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</si>
  <si>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</si>
  <si>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</si>
  <si>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</si>
  <si>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</si>
  <si>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</si>
  <si>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</si>
  <si>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</si>
  <si>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</si>
  <si>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</si>
  <si>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</si>
  <si>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</si>
  <si>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</si>
  <si>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</si>
  <si>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</si>
  <si>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</si>
  <si>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</si>
  <si>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</si>
  <si>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</si>
  <si>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</si>
  <si>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</si>
  <si>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</si>
  <si>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</si>
  <si>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</si>
  <si>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</si>
  <si>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</si>
  <si>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</si>
  <si>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</si>
  <si>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</si>
  <si>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</si>
  <si>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</si>
  <si>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</si>
  <si>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</si>
  <si>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</si>
  <si>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</si>
  <si>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</si>
  <si>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</si>
  <si>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</si>
  <si>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</si>
  <si>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</si>
  <si>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</si>
  <si>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</si>
  <si>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</si>
  <si>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</si>
  <si>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</si>
  <si>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</si>
  <si>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</si>
  <si>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</si>
  <si>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</si>
  <si>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</si>
  <si>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</si>
  <si>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</si>
  <si>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</si>
  <si>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</si>
  <si>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</si>
  <si>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</si>
  <si>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</si>
  <si>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</si>
  <si>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</si>
  <si>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</si>
  <si>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</si>
  <si>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</si>
  <si>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</si>
  <si>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</si>
  <si>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</si>
  <si>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</si>
  <si>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</si>
  <si>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</si>
  <si>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</si>
  <si>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</si>
  <si>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</si>
  <si>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</si>
  <si>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</si>
  <si>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</si>
  <si>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</si>
  <si>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</si>
  <si>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</si>
  <si>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</si>
  <si>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</si>
  <si>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</si>
  <si>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</si>
  <si>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</si>
  <si>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</si>
  <si>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</si>
  <si>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</si>
  <si>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</si>
  <si>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</si>
  <si>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</si>
  <si>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</si>
  <si>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</si>
  <si>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</si>
  <si>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</si>
  <si>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</si>
  <si>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</si>
  <si>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</si>
  <si>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</si>
  <si>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</si>
  <si>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</si>
  <si>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</si>
  <si>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</si>
  <si>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</si>
  <si>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</si>
  <si>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</si>
  <si>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</si>
  <si>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</si>
  <si>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</si>
  <si>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</si>
  <si>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</si>
  <si>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</si>
  <si>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</si>
  <si>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</si>
  <si>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</si>
  <si>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</si>
  <si>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</si>
  <si>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</si>
  <si>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</si>
  <si>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</si>
  <si>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</si>
  <si>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</si>
  <si>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</si>
  <si>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</si>
  <si>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</si>
  <si>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</si>
  <si>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</si>
  <si>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</si>
  <si>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</si>
  <si>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</si>
  <si>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</si>
  <si>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</si>
  <si>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</si>
  <si>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</si>
  <si>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</si>
  <si>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</si>
  <si>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</si>
  <si>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</si>
  <si>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</si>
  <si>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</si>
  <si>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</si>
  <si>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</si>
  <si>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</si>
  <si>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</si>
  <si>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</si>
  <si>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</si>
  <si>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</si>
  <si>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</si>
  <si>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</si>
  <si>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</si>
  <si>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</si>
  <si>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</si>
  <si>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</si>
  <si>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</si>
  <si>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</si>
  <si>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</si>
  <si>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</si>
  <si>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</si>
  <si>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</si>
  <si>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</si>
  <si>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</si>
  <si>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</si>
  <si>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</si>
  <si>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</si>
  <si>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</si>
  <si>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</si>
  <si>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</si>
  <si>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</si>
  <si>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</si>
  <si>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</si>
  <si>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</si>
  <si>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</si>
  <si>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</si>
  <si>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</si>
  <si>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</si>
  <si>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</si>
  <si>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</si>
  <si>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</si>
  <si>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</si>
  <si>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</si>
  <si>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</si>
  <si>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</si>
  <si>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</si>
  <si>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</si>
  <si>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</si>
  <si>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</si>
  <si>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</si>
  <si>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</si>
  <si>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</si>
  <si>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</si>
  <si>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</si>
  <si>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</si>
  <si>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</si>
  <si>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</si>
  <si>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</si>
  <si>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</si>
  <si>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</si>
  <si>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</si>
  <si>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</si>
  <si>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</si>
  <si>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</si>
  <si>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</si>
  <si>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</si>
  <si>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</si>
  <si>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</si>
  <si>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</si>
  <si>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</si>
  <si>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</si>
  <si>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</si>
  <si>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</si>
  <si>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</si>
  <si>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</si>
  <si>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</si>
  <si>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</si>
  <si>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</si>
  <si>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</si>
  <si>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</si>
  <si>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</si>
  <si>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</si>
  <si>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</si>
  <si>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</si>
  <si>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</si>
  <si>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</si>
  <si>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</si>
  <si>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</si>
  <si>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</si>
  <si>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</si>
  <si>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</si>
  <si>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</si>
  <si>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</si>
  <si>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</si>
  <si>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</si>
  <si>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</si>
  <si>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</si>
  <si>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</si>
  <si>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</si>
  <si>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</si>
  <si>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</si>
  <si>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</si>
  <si>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</si>
  <si>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</si>
  <si>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</si>
  <si>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</si>
  <si>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</si>
  <si>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</si>
  <si>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</si>
  <si>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</si>
  <si>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</si>
  <si>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</si>
  <si>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</si>
  <si>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</si>
  <si>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</si>
  <si>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</si>
  <si>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</si>
  <si>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</si>
  <si>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</si>
  <si>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</si>
  <si>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</si>
  <si>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</si>
  <si>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</si>
  <si>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</si>
  <si>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</si>
  <si>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</si>
  <si>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</si>
  <si>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</si>
  <si>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</si>
  <si>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</si>
  <si>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</si>
  <si>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</si>
  <si>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</si>
  <si>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</si>
  <si>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</si>
  <si>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</si>
  <si>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</si>
  <si>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</si>
  <si>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</si>
  <si>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</si>
  <si>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</si>
  <si>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</si>
  <si>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</si>
  <si>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</si>
  <si>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</si>
  <si>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</si>
  <si>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</si>
  <si>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</si>
  <si>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</si>
  <si>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</si>
  <si>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</si>
  <si>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</si>
  <si>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</si>
  <si>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</si>
  <si>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</si>
  <si>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</si>
  <si>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</si>
  <si>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</si>
  <si>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</si>
  <si>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</si>
  <si>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</si>
  <si>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</si>
  <si>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</si>
  <si>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</si>
  <si>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</si>
  <si>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</si>
  <si>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</si>
  <si>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</si>
  <si>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</si>
  <si>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</si>
  <si>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</si>
  <si>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</si>
  <si>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</si>
  <si>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</si>
  <si>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</si>
  <si>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</si>
  <si>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</si>
  <si>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</si>
  <si>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</si>
  <si>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</si>
  <si>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</si>
  <si>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</si>
  <si>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</si>
  <si>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</si>
  <si>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</si>
  <si>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</si>
  <si>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</si>
  <si>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</si>
  <si>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</si>
  <si>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</si>
  <si>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</si>
  <si>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</si>
  <si>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</si>
  <si>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</si>
  <si>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</si>
  <si>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</si>
  <si>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</si>
  <si>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</si>
  <si>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</si>
  <si>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</si>
  <si>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</si>
  <si>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</si>
  <si>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</si>
  <si>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</si>
  <si>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</si>
  <si>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</si>
  <si>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</si>
  <si>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</si>
  <si>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</si>
  <si>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</si>
  <si>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</si>
  <si>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</si>
  <si>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</si>
  <si>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</si>
  <si>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</si>
  <si>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</si>
  <si>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</si>
  <si>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</si>
  <si>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</si>
  <si>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</si>
  <si>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</si>
  <si>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</si>
  <si>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</si>
  <si>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</si>
  <si>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</si>
  <si>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</si>
  <si>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</si>
  <si>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</si>
  <si>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</si>
  <si>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</si>
  <si>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</si>
  <si>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</si>
  <si>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</si>
  <si>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</si>
  <si>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</si>
  <si>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</si>
  <si>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</si>
  <si>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</si>
  <si>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</si>
  <si>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</si>
  <si>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</si>
  <si>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</si>
  <si>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</si>
  <si>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</si>
  <si>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</si>
  <si>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</si>
  <si>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</si>
  <si>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</si>
  <si>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</si>
  <si>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</si>
  <si>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</si>
  <si>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</si>
  <si>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</si>
  <si>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</si>
  <si>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</si>
  <si>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</si>
  <si>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</si>
  <si>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</si>
  <si>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</si>
  <si>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</si>
  <si>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</si>
  <si>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</si>
  <si>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</si>
  <si>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</si>
  <si>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</si>
  <si>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</si>
  <si>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</si>
  <si>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</si>
  <si>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</si>
  <si>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</si>
  <si>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</si>
  <si>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</si>
  <si>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</si>
  <si>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</si>
  <si>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</si>
  <si>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</si>
  <si>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</si>
  <si>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</si>
  <si>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</si>
  <si>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</si>
  <si>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</si>
  <si>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</si>
  <si>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</si>
  <si>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</si>
  <si>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</si>
  <si>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</si>
  <si>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</si>
  <si>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</si>
  <si>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</si>
  <si>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</si>
  <si>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</si>
  <si>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</si>
  <si>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</si>
  <si>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</si>
  <si>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</si>
  <si>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</si>
  <si>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</si>
  <si>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</si>
  <si>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</si>
  <si>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</si>
  <si>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</si>
  <si>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</si>
  <si>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</si>
  <si>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</si>
  <si>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</si>
  <si>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</si>
  <si>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</si>
  <si>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</si>
  <si>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</si>
  <si>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</si>
  <si>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</si>
  <si>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</si>
  <si>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</si>
  <si>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</si>
  <si>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</si>
  <si>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</si>
  <si>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</si>
  <si>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</si>
  <si>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</si>
  <si>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</si>
  <si>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</si>
  <si>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</si>
  <si>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</si>
  <si>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</si>
  <si>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</si>
  <si>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</si>
  <si>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</si>
  <si>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</si>
  <si>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</si>
  <si>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</si>
  <si>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</si>
  <si>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</si>
  <si>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</si>
  <si>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</si>
  <si>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</si>
  <si>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</si>
  <si>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</si>
  <si>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</si>
  <si>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</si>
  <si>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</si>
  <si>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</si>
  <si>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</si>
  <si>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</si>
  <si>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</si>
  <si>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</si>
  <si>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</si>
  <si>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</si>
  <si>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</si>
  <si>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</si>
  <si>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</si>
  <si>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</si>
  <si>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</si>
  <si>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</si>
  <si>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</si>
  <si>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</si>
  <si>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</si>
  <si>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</si>
  <si>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</si>
  <si>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</si>
  <si>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</si>
  <si>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</si>
  <si>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</si>
  <si>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</si>
  <si>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</si>
  <si>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</si>
  <si>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</si>
  <si>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</si>
  <si>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</si>
  <si>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</si>
  <si>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</si>
  <si>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</si>
  <si>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</si>
  <si>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</si>
  <si>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</si>
  <si>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</si>
  <si>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</si>
  <si>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</si>
  <si>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</si>
  <si>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</si>
  <si>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</si>
  <si>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</si>
  <si>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</si>
  <si>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</si>
  <si>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</si>
  <si>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</si>
  <si>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</si>
  <si>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</si>
  <si>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</si>
  <si>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</si>
  <si>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</si>
  <si>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</si>
  <si>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</si>
  <si>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</si>
  <si>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</si>
  <si>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</si>
  <si>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</si>
  <si>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</si>
  <si>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</si>
  <si>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</si>
  <si>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</si>
  <si>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</si>
  <si>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</si>
  <si>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</si>
  <si>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</si>
  <si>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</si>
  <si>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</si>
  <si>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</si>
  <si>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</si>
  <si>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</si>
  <si>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</si>
  <si>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</si>
  <si>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</si>
  <si>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</si>
  <si>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</si>
  <si>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</si>
  <si>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</si>
  <si>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</si>
  <si>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</si>
  <si>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</si>
  <si>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</si>
  <si>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</si>
  <si>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</si>
  <si>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</si>
  <si>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</si>
  <si>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</si>
  <si>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</si>
  <si>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</si>
  <si>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</si>
  <si>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</si>
  <si>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</si>
  <si>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</si>
  <si>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</si>
  <si>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</si>
  <si>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</si>
  <si>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</si>
  <si>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</si>
  <si>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</si>
  <si>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</si>
  <si>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</si>
  <si>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</si>
  <si>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</si>
  <si>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</si>
  <si>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</si>
  <si>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</si>
  <si>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</si>
  <si>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</si>
  <si>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</si>
  <si>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</si>
  <si>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</si>
  <si>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</si>
  <si>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</si>
  <si>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</si>
  <si>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</si>
  <si>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</si>
  <si>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</si>
  <si>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</si>
  <si>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</si>
  <si>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</si>
  <si>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</si>
  <si>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</si>
  <si>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</si>
  <si>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</si>
  <si>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</si>
  <si>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</si>
  <si>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</si>
  <si>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</si>
  <si>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</si>
  <si>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</si>
  <si>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</si>
  <si>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</si>
  <si>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</si>
  <si>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</si>
  <si>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</si>
  <si>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</si>
  <si>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</si>
  <si>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</si>
  <si>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</si>
  <si>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</si>
  <si>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</si>
  <si>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</si>
  <si>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</si>
  <si>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</si>
  <si>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</si>
  <si>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</si>
  <si>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</si>
  <si>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</si>
  <si>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</si>
  <si>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</si>
  <si>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</si>
  <si>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</si>
  <si>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</si>
  <si>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</si>
  <si>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</si>
  <si>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</si>
  <si>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</si>
  <si>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</si>
  <si>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</si>
  <si>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</si>
  <si>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</si>
  <si>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</si>
  <si>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</si>
  <si>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</si>
  <si>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</si>
  <si>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</si>
  <si>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</si>
  <si>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</si>
  <si>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</si>
  <si>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</si>
  <si>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</si>
  <si>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</si>
  <si>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</si>
  <si>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</si>
  <si>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</si>
  <si>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</si>
  <si>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</si>
  <si>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</si>
  <si>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</si>
  <si>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</si>
  <si>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</si>
  <si>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</si>
  <si>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</si>
  <si>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</si>
  <si>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</si>
  <si>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</si>
  <si>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</si>
  <si>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</si>
  <si>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</si>
  <si>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</si>
  <si>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</si>
  <si>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</si>
  <si>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</si>
  <si>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</si>
  <si>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</si>
  <si>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</si>
  <si>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</si>
  <si>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</si>
  <si>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</si>
  <si>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</si>
  <si>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</si>
  <si>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</si>
  <si>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</si>
  <si>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</si>
  <si>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</si>
  <si>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</si>
  <si>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</si>
  <si>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</si>
  <si>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</si>
  <si>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</si>
  <si>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</si>
  <si>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</si>
  <si>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</si>
  <si>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</si>
  <si>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</si>
  <si>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</si>
  <si>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</si>
  <si>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</si>
  <si>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</si>
  <si>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</si>
  <si>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</si>
  <si>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</si>
  <si>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</si>
  <si>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</si>
  <si>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</si>
  <si>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</si>
  <si>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</si>
  <si>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</si>
  <si>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</si>
  <si>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</si>
  <si>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</si>
  <si>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</si>
  <si>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</si>
  <si>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</si>
  <si>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</si>
  <si>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</si>
  <si>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</si>
  <si>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</si>
  <si>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</si>
  <si>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</si>
  <si>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</si>
  <si>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</si>
  <si>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</si>
  <si>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</si>
  <si>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</si>
  <si>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</si>
  <si>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</si>
  <si>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</si>
  <si>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</si>
  <si>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</si>
  <si>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</si>
  <si>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</si>
  <si>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</si>
  <si>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</si>
  <si>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</si>
  <si>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</si>
  <si>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</si>
  <si>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</si>
  <si>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</si>
  <si>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</si>
  <si>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</si>
  <si>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</si>
  <si>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</si>
  <si>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</si>
  <si>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</si>
  <si>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</si>
  <si>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</si>
  <si>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</si>
  <si>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</si>
  <si>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</si>
  <si>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</si>
  <si>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</si>
  <si>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</si>
  <si>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</si>
  <si>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</si>
  <si>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</si>
  <si>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</si>
  <si>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</si>
  <si>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</si>
  <si>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</si>
  <si>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</si>
  <si>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</si>
  <si>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</si>
  <si>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</si>
  <si>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</si>
  <si>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</si>
  <si>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</si>
  <si>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</si>
  <si>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</si>
  <si>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</si>
  <si>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</si>
  <si>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</si>
  <si>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</si>
  <si>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</si>
  <si>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</si>
  <si>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</si>
  <si>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</si>
  <si>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</si>
  <si>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</si>
  <si>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</si>
  <si>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</si>
  <si>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</si>
  <si>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</si>
  <si>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</si>
  <si>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</si>
  <si>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</si>
  <si>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</si>
  <si>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</si>
  <si>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</si>
  <si>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</si>
  <si>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</si>
  <si>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</si>
  <si>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</si>
  <si>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</si>
  <si>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</si>
  <si>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</si>
  <si>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</si>
  <si>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</si>
  <si>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</si>
  <si>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</si>
  <si>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</si>
  <si>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</si>
  <si>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</si>
  <si>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</si>
  <si>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</si>
  <si>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</si>
  <si>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</si>
  <si>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</si>
  <si>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</si>
  <si>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</si>
  <si>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</si>
  <si>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</si>
  <si>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</si>
  <si>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</si>
  <si>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</si>
  <si>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</si>
  <si>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</si>
  <si>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</si>
  <si>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</si>
  <si>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</si>
  <si>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</si>
  <si>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</si>
  <si>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</si>
  <si>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</si>
  <si>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</si>
  <si>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</si>
  <si>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</si>
  <si>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</si>
  <si>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</si>
  <si>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</si>
  <si>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</si>
  <si>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</si>
  <si>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</si>
  <si>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</si>
  <si>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</si>
  <si>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</si>
  <si>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</si>
  <si>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</si>
  <si>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</si>
  <si>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</si>
  <si>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</si>
  <si>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</si>
  <si>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</si>
  <si>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</si>
  <si>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</si>
  <si>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</si>
  <si>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</si>
  <si>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</si>
  <si>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</si>
  <si>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</si>
  <si>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</si>
  <si>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</si>
  <si>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</si>
  <si>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</si>
  <si>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</si>
  <si>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</si>
  <si>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</si>
  <si>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</si>
  <si>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</si>
  <si>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</si>
  <si>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</si>
  <si>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</si>
  <si>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</si>
  <si>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</si>
  <si>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</si>
  <si>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</si>
  <si>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</si>
  <si>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</si>
  <si>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</si>
  <si>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</si>
  <si>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</si>
  <si>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</si>
  <si>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</si>
  <si>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</si>
  <si>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</si>
  <si>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</si>
  <si>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</si>
  <si>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</si>
  <si>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</si>
  <si>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</si>
  <si>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</si>
  <si>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</si>
  <si>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</si>
  <si>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</si>
  <si>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</si>
  <si>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</si>
  <si>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</si>
  <si>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</si>
  <si>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</si>
  <si>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</si>
  <si>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</si>
  <si>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</si>
  <si>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</si>
  <si>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</si>
  <si>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</si>
  <si>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</si>
  <si>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</si>
  <si>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</si>
  <si>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</si>
  <si>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</si>
  <si>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</si>
  <si>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</si>
  <si>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</si>
  <si>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</si>
  <si>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</si>
  <si>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</si>
  <si>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</si>
  <si>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</si>
  <si>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</si>
  <si>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</si>
  <si>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</si>
  <si>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</si>
  <si>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</si>
  <si>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</si>
  <si>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</si>
  <si>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</si>
  <si>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</si>
  <si>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</si>
  <si>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</si>
  <si>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</si>
  <si>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</si>
  <si>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</si>
  <si>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</si>
  <si>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</si>
  <si>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</si>
  <si>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</si>
  <si>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</si>
  <si>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</si>
  <si>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</si>
  <si>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</si>
  <si>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</si>
  <si>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</si>
  <si>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</si>
  <si>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</si>
  <si>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</si>
  <si>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</si>
  <si>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</si>
  <si>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</si>
  <si>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</si>
  <si>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</si>
  <si>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</si>
  <si>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</si>
  <si>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</si>
  <si>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</si>
  <si>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</si>
  <si>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</si>
  <si>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</si>
  <si>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</si>
  <si>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</si>
  <si>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</si>
  <si>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</si>
  <si>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</si>
  <si>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</si>
  <si>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</si>
  <si>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</si>
  <si>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</si>
  <si>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</si>
  <si>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</si>
  <si>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</si>
  <si>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</si>
  <si>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</si>
  <si>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</si>
  <si>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</si>
  <si>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</si>
  <si>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</si>
  <si>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</si>
  <si>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</si>
  <si>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</si>
  <si>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</si>
  <si>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</si>
  <si>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</si>
  <si>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</si>
  <si>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</si>
  <si>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</si>
  <si>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</si>
  <si>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</si>
  <si>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</si>
  <si>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</si>
  <si>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</si>
  <si>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</si>
  <si>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</si>
  <si>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</si>
  <si>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</si>
  <si>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</si>
  <si>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</si>
  <si>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</si>
  <si>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</si>
  <si>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</si>
  <si>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</si>
  <si>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</si>
  <si>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</si>
  <si>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</si>
  <si>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</si>
  <si>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</si>
  <si>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</si>
  <si>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</si>
  <si>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</si>
  <si>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</si>
  <si>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</si>
  <si>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</si>
  <si>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</si>
  <si>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</si>
  <si>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</si>
  <si>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</si>
  <si>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</si>
  <si>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</si>
  <si>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</si>
  <si>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</si>
  <si>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</si>
  <si>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</si>
  <si>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</si>
  <si>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</si>
  <si>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</si>
  <si>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</si>
  <si>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</si>
  <si>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</si>
  <si>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</si>
  <si>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</si>
  <si>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</si>
  <si>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</si>
  <si>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</si>
  <si>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</si>
  <si>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</si>
  <si>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</si>
  <si>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</si>
  <si>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</si>
  <si>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</si>
  <si>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</si>
  <si>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</si>
  <si>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</si>
  <si>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</si>
  <si>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</si>
  <si>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</si>
  <si>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</si>
  <si>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</si>
  <si>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</si>
  <si>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</si>
  <si>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</si>
  <si>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</si>
  <si>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</si>
  <si>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</si>
  <si>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</si>
  <si>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</si>
  <si>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</si>
  <si>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</si>
  <si>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</si>
  <si>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</si>
  <si>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</si>
  <si>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</si>
  <si>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</si>
  <si>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</si>
  <si>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</si>
  <si>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</si>
  <si>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</si>
  <si>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</si>
  <si>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</si>
  <si>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</si>
  <si>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</si>
  <si>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</si>
  <si>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</si>
  <si>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</si>
  <si>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</si>
  <si>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</si>
  <si>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</si>
  <si>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</si>
  <si>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</si>
  <si>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</si>
  <si>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</si>
  <si>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</si>
  <si>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</si>
  <si>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</si>
  <si>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</si>
  <si>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</si>
  <si>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</si>
  <si>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</si>
  <si>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</si>
  <si>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</si>
  <si>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</si>
  <si>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</si>
  <si>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</si>
  <si>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</si>
  <si>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</si>
  <si>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</si>
  <si>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</si>
  <si>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</si>
  <si>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</si>
  <si>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</si>
  <si>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</si>
  <si>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</si>
  <si>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</si>
  <si>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</si>
  <si>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</si>
  <si>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</si>
  <si>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</si>
  <si>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</si>
  <si>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</si>
  <si>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</si>
  <si>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</si>
  <si>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</si>
  <si>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</si>
  <si>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</si>
  <si>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</si>
  <si>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</si>
  <si>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</si>
  <si>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</si>
  <si>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</si>
  <si>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</si>
  <si>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</si>
  <si>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</si>
  <si>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</si>
  <si>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</si>
  <si>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</si>
  <si>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</si>
  <si>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</si>
  <si>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</si>
  <si>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</si>
  <si>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</si>
  <si>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</si>
  <si>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</si>
  <si>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</si>
  <si>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</si>
  <si>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</si>
  <si>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</si>
  <si>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</si>
  <si>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</si>
  <si>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</si>
  <si>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</si>
  <si>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</si>
  <si>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</si>
  <si>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</si>
  <si>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</si>
  <si>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</si>
  <si>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</si>
  <si>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</si>
  <si>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</si>
  <si>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</si>
  <si>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</si>
  <si>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</si>
  <si>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</si>
  <si>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</si>
  <si>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</si>
  <si>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</si>
  <si>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</si>
  <si>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</si>
  <si>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</si>
  <si>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</si>
  <si>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</si>
  <si>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</si>
  <si>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</si>
  <si>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</si>
  <si>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</si>
  <si>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</si>
  <si>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</si>
  <si>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</si>
  <si>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</si>
  <si>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</si>
  <si>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</si>
  <si>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</si>
  <si>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</si>
  <si>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</si>
  <si>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</si>
  <si>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</si>
  <si>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</si>
  <si>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</si>
  <si>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</si>
  <si>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</si>
  <si>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</si>
  <si>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</si>
  <si>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</si>
  <si>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</si>
  <si>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</si>
  <si>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</si>
  <si>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</si>
  <si>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</si>
  <si>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</si>
  <si>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</si>
  <si>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</si>
  <si>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</si>
  <si>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</si>
  <si>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</si>
  <si>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</si>
  <si>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</si>
  <si>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</si>
  <si>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</si>
  <si>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</si>
  <si>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</si>
  <si>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</si>
  <si>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</si>
  <si>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</si>
  <si>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</si>
  <si>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</si>
  <si>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</si>
  <si>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</si>
  <si>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</si>
  <si>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</si>
  <si>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</si>
  <si>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</si>
  <si>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</si>
  <si>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</si>
  <si>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</si>
  <si>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</si>
  <si>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</si>
  <si>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</si>
  <si>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</si>
  <si>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</si>
  <si>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</si>
  <si>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</si>
  <si>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</si>
  <si>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</si>
  <si>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</si>
  <si>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</si>
  <si>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</si>
  <si>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</si>
  <si>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</si>
  <si>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</si>
  <si>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</si>
  <si>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</si>
  <si>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</si>
  <si>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</si>
  <si>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</si>
  <si>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</si>
  <si>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</si>
  <si>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</si>
  <si>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</si>
  <si>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</si>
  <si>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</si>
  <si>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</si>
  <si>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</si>
  <si>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</si>
  <si>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</si>
  <si>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</si>
  <si>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</si>
  <si>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</si>
  <si>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</si>
  <si>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</si>
  <si>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</si>
  <si>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</si>
  <si>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</si>
  <si>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</si>
  <si>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</si>
  <si>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</si>
  <si>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</si>
  <si>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</si>
  <si>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</si>
  <si>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</si>
  <si>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</si>
  <si>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</si>
  <si>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</si>
  <si>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</si>
  <si>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</si>
  <si>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</si>
  <si>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</si>
  <si>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</si>
  <si>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</si>
  <si>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</si>
  <si>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</si>
  <si>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</si>
  <si>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</si>
  <si>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</si>
  <si>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</si>
  <si>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</si>
  <si>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</si>
  <si>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</si>
  <si>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</si>
  <si>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</si>
  <si>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</si>
  <si>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</si>
  <si>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</si>
  <si>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</si>
  <si>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</si>
  <si>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</si>
  <si>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</si>
  <si>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</si>
  <si>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</si>
  <si>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</si>
  <si>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</si>
  <si>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</si>
  <si>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</si>
  <si>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</si>
  <si>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</si>
  <si>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</si>
  <si>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</si>
  <si>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</si>
  <si>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</si>
  <si>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</si>
  <si>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</si>
  <si>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</si>
  <si>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</si>
  <si>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</si>
  <si>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</si>
  <si>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</si>
  <si>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</si>
  <si>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</si>
  <si>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</si>
  <si>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</si>
  <si>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</si>
  <si>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</si>
  <si>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</si>
  <si>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</si>
  <si>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</si>
  <si>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</si>
  <si>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</si>
  <si>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</si>
  <si>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</si>
  <si>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</si>
  <si>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</si>
  <si>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</si>
  <si>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</si>
  <si>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</si>
  <si>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</si>
  <si>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</si>
  <si>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</si>
  <si>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</si>
  <si>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</si>
  <si>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</si>
  <si>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</si>
  <si>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</si>
  <si>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</si>
  <si>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</si>
  <si>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</si>
  <si>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</si>
  <si>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</si>
  <si>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</si>
  <si>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</si>
  <si>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</si>
  <si>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</si>
  <si>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</si>
  <si>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</si>
  <si>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</si>
  <si>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</si>
  <si>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</si>
  <si>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</si>
  <si>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</si>
  <si>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</si>
  <si>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</si>
  <si>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</si>
  <si>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</si>
  <si>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</si>
  <si>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</si>
  <si>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</si>
  <si>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</si>
  <si>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</si>
  <si>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</si>
  <si>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</si>
  <si>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</si>
  <si>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</si>
  <si>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</si>
  <si>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</si>
  <si>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</si>
  <si>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</si>
  <si>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</si>
  <si>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</si>
  <si>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</si>
  <si>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</si>
  <si>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</si>
  <si>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</si>
  <si>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</si>
  <si>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</si>
  <si>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</si>
  <si>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</si>
  <si>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</si>
  <si>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</si>
  <si>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</si>
  <si>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</si>
  <si>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</si>
  <si>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</si>
  <si>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</si>
  <si>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</si>
  <si>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</si>
  <si>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</si>
  <si>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</si>
  <si>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</si>
  <si>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</si>
  <si>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</si>
  <si>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</si>
  <si>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</si>
  <si>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</si>
  <si>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</si>
  <si>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</si>
  <si>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</si>
  <si>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</si>
  <si>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</si>
  <si>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</si>
  <si>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</si>
  <si>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</si>
  <si>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</si>
  <si>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</si>
  <si>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</si>
  <si>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</si>
  <si>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</si>
  <si>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</si>
  <si>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</si>
  <si>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</si>
  <si>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</si>
  <si>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</si>
  <si>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</si>
  <si>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</si>
  <si>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</si>
  <si>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</si>
  <si>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</si>
  <si>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</si>
  <si>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</si>
  <si>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</si>
  <si>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</si>
  <si>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</si>
  <si>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</si>
  <si>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</si>
  <si>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</si>
  <si>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</si>
  <si>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</si>
  <si>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</si>
  <si>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</si>
  <si>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</si>
  <si>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</si>
  <si>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</si>
  <si>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</si>
  <si>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</si>
  <si>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</si>
  <si>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</si>
  <si>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</si>
  <si>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</si>
  <si>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</si>
  <si>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</si>
  <si>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</si>
  <si>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</si>
  <si>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</si>
  <si>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</si>
  <si>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</si>
  <si>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</si>
  <si>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</si>
  <si>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</si>
  <si>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</si>
  <si>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</si>
  <si>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</si>
  <si>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</si>
  <si>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</si>
  <si>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</si>
  <si>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</si>
  <si>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</si>
  <si>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</si>
  <si>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</si>
  <si>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</si>
  <si>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</si>
  <si>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</si>
  <si>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</si>
  <si>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</si>
  <si>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</si>
  <si>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</si>
  <si>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</si>
  <si>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</si>
  <si>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</si>
  <si>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</si>
  <si>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</si>
  <si>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</si>
  <si>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</si>
  <si>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</si>
  <si>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</si>
  <si>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</si>
  <si>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</si>
  <si>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</si>
  <si>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</si>
  <si>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</si>
  <si>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</si>
  <si>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</si>
  <si>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</si>
  <si>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</si>
  <si>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</si>
  <si>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</si>
  <si>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</si>
  <si>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</si>
  <si>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</si>
  <si>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</si>
  <si>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</si>
  <si>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</si>
  <si>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</si>
  <si>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</si>
  <si>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</si>
  <si>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</si>
  <si>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</si>
  <si>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</si>
  <si>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</si>
  <si>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</si>
  <si>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</si>
  <si>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</si>
  <si>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</si>
  <si>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</si>
  <si>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</si>
  <si>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</si>
  <si>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</si>
  <si>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</si>
  <si>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</si>
  <si>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</si>
  <si>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</si>
  <si>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</si>
  <si>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</si>
  <si>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</si>
  <si>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</si>
  <si>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</si>
  <si>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</si>
  <si>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</si>
  <si>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</si>
  <si>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</si>
  <si>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</si>
  <si>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</si>
  <si>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</si>
  <si>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</si>
  <si>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</si>
  <si>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</si>
  <si>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</si>
  <si>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</si>
  <si>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</si>
  <si>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</si>
  <si>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</si>
  <si>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</si>
  <si>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</si>
  <si>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</si>
  <si>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</si>
  <si>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</si>
  <si>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</si>
  <si>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</si>
  <si>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</si>
  <si>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</si>
  <si>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</si>
  <si>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</si>
  <si>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</si>
  <si>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</si>
  <si>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</si>
  <si>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</si>
  <si>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</si>
  <si>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</si>
  <si>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</si>
  <si>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</si>
  <si>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</si>
  <si>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</si>
  <si>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</si>
  <si>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</si>
  <si>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</si>
  <si>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</si>
  <si>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</si>
  <si>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</si>
  <si>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</si>
  <si>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</si>
  <si>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</si>
  <si>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</si>
  <si>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</si>
  <si>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</si>
  <si>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</si>
  <si>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</si>
  <si>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</si>
  <si>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</si>
  <si>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</si>
  <si>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</si>
  <si>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</si>
  <si>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</si>
  <si>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</si>
  <si>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</si>
  <si>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</si>
  <si>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</si>
  <si>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</si>
  <si>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</si>
  <si>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</si>
  <si>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</si>
  <si>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</si>
  <si>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</si>
  <si>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</si>
  <si>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</si>
  <si>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</si>
  <si>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</si>
  <si>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</si>
  <si>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</si>
  <si>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</si>
  <si>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</si>
  <si>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</si>
  <si>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</si>
  <si>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</si>
  <si>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</si>
  <si>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</si>
  <si>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</si>
  <si>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</si>
  <si>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</si>
  <si>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</si>
  <si>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</si>
  <si>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</si>
  <si>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</si>
  <si>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</si>
  <si>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</si>
  <si>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</si>
  <si>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</si>
  <si>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</si>
  <si>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</si>
  <si>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</si>
  <si>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</si>
  <si>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</si>
  <si>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</si>
  <si>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</si>
  <si>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</si>
  <si>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</si>
  <si>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r>
      <rPr>
        <sz val="10"/>
        <color theme="9" tint="-0.249977111117893"/>
        <rFont val="宋体"/>
        <family val="3"/>
        <charset val="134"/>
      </rPr>
      <t>延庆县燕水佳园</t>
    </r>
    <r>
      <rPr>
        <sz val="10"/>
        <color theme="9" tint="-0.249977111117893"/>
        <rFont val="Arial"/>
        <family val="2"/>
      </rPr>
      <t>14</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r>
      <rPr>
        <sz val="10"/>
        <color theme="9" tint="-0.249977111117893"/>
        <rFont val="Arial"/>
        <family val="2"/>
      </rPr>
      <t>1</t>
    </r>
    <r>
      <rPr>
        <sz val="10"/>
        <color theme="9" tint="-0.249977111117893"/>
        <rFont val="宋体"/>
        <family val="3"/>
        <charset val="134"/>
      </rPr>
      <t>号、2号</t>
    </r>
    <phoneticPr fontId="6" type="noConversion"/>
  </si>
  <si>
    <t>商业</t>
    <phoneticPr fontId="6" type="noConversion"/>
  </si>
  <si>
    <t>1号郑亚军、2号卓莹莹</t>
    <phoneticPr fontId="6" type="noConversion"/>
  </si>
  <si>
    <t>是</t>
  </si>
  <si>
    <t>商业项目</t>
  </si>
  <si>
    <t>现房</t>
  </si>
  <si>
    <r>
      <t>1</t>
    </r>
    <r>
      <rPr>
        <sz val="10"/>
        <color indexed="8"/>
        <rFont val="宋体"/>
        <family val="3"/>
        <charset val="134"/>
      </rPr>
      <t>号</t>
    </r>
    <phoneticPr fontId="3" type="noConversion"/>
  </si>
  <si>
    <t>地上</t>
  </si>
  <si>
    <r>
      <t>2</t>
    </r>
    <r>
      <rPr>
        <sz val="10"/>
        <color indexed="8"/>
        <rFont val="宋体"/>
        <family val="3"/>
        <charset val="134"/>
      </rPr>
      <t>号</t>
    </r>
    <phoneticPr fontId="3" type="noConversion"/>
  </si>
  <si>
    <t>商业</t>
    <phoneticPr fontId="247" type="noConversion"/>
  </si>
  <si>
    <t>全装修百货大楼</t>
    <phoneticPr fontId="247" type="noConversion"/>
  </si>
  <si>
    <t>购物中心</t>
    <phoneticPr fontId="247" type="noConversion"/>
  </si>
  <si>
    <t>大型商超</t>
    <phoneticPr fontId="247" type="noConversion"/>
  </si>
  <si>
    <t>高层</t>
    <phoneticPr fontId="247" type="noConversion"/>
  </si>
  <si>
    <t>多层</t>
    <phoneticPr fontId="247" type="noConversion"/>
  </si>
  <si>
    <t>低层</t>
    <phoneticPr fontId="247" type="noConversion"/>
  </si>
  <si>
    <t>-</t>
    <phoneticPr fontId="247" type="noConversion"/>
  </si>
  <si>
    <t>成新度</t>
  </si>
  <si>
    <t>建成年代</t>
    <phoneticPr fontId="3" type="noConversion"/>
  </si>
  <si>
    <t>直线</t>
    <phoneticPr fontId="3" type="noConversion"/>
  </si>
  <si>
    <t>观察</t>
    <phoneticPr fontId="3" type="noConversion"/>
  </si>
  <si>
    <t>综合</t>
    <phoneticPr fontId="3" type="noConversion"/>
  </si>
  <si>
    <t>楼面单价</t>
  </si>
  <si>
    <t>自定义</t>
  </si>
  <si>
    <t>1号</t>
  </si>
  <si>
    <t>未包含在土地购买价格中</t>
  </si>
  <si>
    <t>已包含在土地取得成本中</t>
  </si>
  <si>
    <t>单套模式</t>
  </si>
  <si>
    <t>售价</t>
  </si>
  <si>
    <t>正常</t>
  </si>
  <si>
    <t>商业</t>
    <phoneticPr fontId="30" type="noConversion"/>
  </si>
  <si>
    <t>报价</t>
  </si>
  <si>
    <t>报价</t>
    <phoneticPr fontId="30" type="noConversion"/>
  </si>
  <si>
    <t>押一</t>
  </si>
  <si>
    <t>砖混</t>
  </si>
  <si>
    <t>非生产用房</t>
  </si>
  <si>
    <t>否</t>
  </si>
  <si>
    <t>自定义容积率</t>
  </si>
  <si>
    <t>不临65条商业街</t>
  </si>
  <si>
    <t>中心城区以外</t>
  </si>
  <si>
    <t>楼层修正</t>
  </si>
  <si>
    <t>一般</t>
  </si>
  <si>
    <t>较好</t>
  </si>
  <si>
    <t>精装修</t>
    <phoneticPr fontId="30" type="noConversion"/>
  </si>
  <si>
    <t>普通装修</t>
    <phoneticPr fontId="30" type="noConversion"/>
  </si>
  <si>
    <t>简单装修</t>
    <phoneticPr fontId="30" type="noConversion"/>
  </si>
  <si>
    <t>毛坯</t>
    <phoneticPr fontId="30" type="noConversion"/>
  </si>
  <si>
    <t>较差</t>
  </si>
  <si>
    <t>倒推土地时间</t>
    <phoneticPr fontId="3" type="noConversion"/>
  </si>
  <si>
    <t>现场调查</t>
    <phoneticPr fontId="134" type="noConversion"/>
  </si>
  <si>
    <r>
      <t>旁边甲1</t>
    </r>
    <r>
      <rPr>
        <sz val="11"/>
        <color theme="1"/>
        <rFont val="宋体"/>
        <family val="3"/>
        <charset val="134"/>
        <scheme val="minor"/>
      </rPr>
      <t>4号楼</t>
    </r>
    <phoneticPr fontId="134" type="noConversion"/>
  </si>
  <si>
    <t>建筑面积</t>
    <phoneticPr fontId="134" type="noConversion"/>
  </si>
  <si>
    <r>
      <t>2</t>
    </r>
    <r>
      <rPr>
        <sz val="11"/>
        <color theme="1"/>
        <rFont val="宋体"/>
        <family val="3"/>
        <charset val="134"/>
        <scheme val="minor"/>
      </rPr>
      <t>00以上</t>
    </r>
    <phoneticPr fontId="134" type="noConversion"/>
  </si>
  <si>
    <t>年租金</t>
    <phoneticPr fontId="134" type="noConversion"/>
  </si>
  <si>
    <r>
      <t>1</t>
    </r>
    <r>
      <rPr>
        <sz val="11"/>
        <color theme="1"/>
        <rFont val="宋体"/>
        <family val="3"/>
        <charset val="134"/>
        <scheme val="minor"/>
      </rPr>
      <t>0来万</t>
    </r>
    <phoneticPr fontId="134" type="noConversion"/>
  </si>
  <si>
    <t>1层</t>
    <phoneticPr fontId="134" type="noConversion"/>
  </si>
  <si>
    <t>2层</t>
    <phoneticPr fontId="134" type="noConversion"/>
  </si>
  <si>
    <t>3层</t>
    <phoneticPr fontId="134" type="noConversion"/>
  </si>
  <si>
    <r>
      <t>1</t>
    </r>
    <r>
      <rPr>
        <sz val="11"/>
        <color theme="1"/>
        <rFont val="宋体"/>
        <family val="3"/>
        <charset val="134"/>
        <scheme val="minor"/>
      </rPr>
      <t>-3层</t>
    </r>
    <phoneticPr fontId="134" type="noConversion"/>
  </si>
  <si>
    <t>1-3层</t>
    <phoneticPr fontId="134" type="noConversion"/>
  </si>
  <si>
    <t>1-2层</t>
    <phoneticPr fontId="134" type="noConversion"/>
  </si>
  <si>
    <r>
      <t>以2</t>
    </r>
    <r>
      <rPr>
        <sz val="11"/>
        <color theme="1"/>
        <rFont val="宋体"/>
        <family val="3"/>
        <charset val="134"/>
        <scheme val="minor"/>
      </rPr>
      <t>80平计算</t>
    </r>
    <phoneticPr fontId="134" type="noConversion"/>
  </si>
  <si>
    <t>序号</t>
    <phoneticPr fontId="134" type="noConversion"/>
  </si>
  <si>
    <t>时间</t>
  </si>
  <si>
    <t>楼栋号</t>
  </si>
  <si>
    <t>单元号</t>
  </si>
  <si>
    <t>总楼层</t>
  </si>
  <si>
    <t>楼层号</t>
  </si>
  <si>
    <t>房间号</t>
  </si>
  <si>
    <t>许可证号</t>
  </si>
  <si>
    <t>物业类型</t>
  </si>
  <si>
    <t>户型</t>
  </si>
  <si>
    <t>成交面积(㎡)</t>
  </si>
  <si>
    <t>成交金额(万元)</t>
  </si>
  <si>
    <t>成交单价(元/㎡)</t>
  </si>
  <si>
    <t>二区18号</t>
  </si>
  <si>
    <t>现：京(2023)延不动产权第0007050号</t>
  </si>
  <si>
    <t>其他</t>
  </si>
  <si>
    <t>二区20号</t>
  </si>
  <si>
    <t>现：京(2023)延不动产权第0007049号</t>
  </si>
  <si>
    <t>47号</t>
  </si>
  <si>
    <t>现：X京房权证延字第049607号</t>
  </si>
  <si>
    <t>3号楼</t>
  </si>
  <si>
    <t>辉煌云上</t>
    <phoneticPr fontId="134" type="noConversion"/>
  </si>
  <si>
    <t>1号楼</t>
  </si>
  <si>
    <t>现：京(2022)延不动产权第0000235号</t>
  </si>
  <si>
    <t>2号楼</t>
  </si>
  <si>
    <t>现：京(2022)延不动产权第0000236号</t>
  </si>
  <si>
    <t>现：京(2022)延不动产权第0000237号</t>
  </si>
  <si>
    <t>4#楼商业</t>
  </si>
  <si>
    <t>京房售证字(2020)30号</t>
  </si>
  <si>
    <t>1#楼商业</t>
  </si>
  <si>
    <t>2#楼商业</t>
  </si>
  <si>
    <t>文成商务中心</t>
    <phoneticPr fontId="134" type="noConversion"/>
  </si>
  <si>
    <t>1层</t>
    <phoneticPr fontId="134" type="noConversion"/>
  </si>
  <si>
    <r>
      <t>每月净收益5</t>
    </r>
    <r>
      <rPr>
        <sz val="11"/>
        <color theme="1"/>
        <rFont val="宋体"/>
        <family val="3"/>
        <charset val="134"/>
        <scheme val="minor"/>
      </rPr>
      <t>000元</t>
    </r>
    <phoneticPr fontId="134" type="noConversion"/>
  </si>
  <si>
    <t>住宅底商</t>
    <phoneticPr fontId="134" type="noConversion"/>
  </si>
  <si>
    <t>租金</t>
    <phoneticPr fontId="134" type="noConversion"/>
  </si>
  <si>
    <t>售价</t>
    <phoneticPr fontId="134" type="noConversion"/>
  </si>
  <si>
    <t>案例1</t>
    <phoneticPr fontId="134" type="noConversion"/>
  </si>
  <si>
    <t>案例2</t>
    <phoneticPr fontId="134" type="noConversion"/>
  </si>
  <si>
    <t>案例3</t>
    <phoneticPr fontId="134" type="noConversion"/>
  </si>
  <si>
    <t>城建万科城</t>
    <phoneticPr fontId="134" type="noConversion"/>
  </si>
  <si>
    <t>建筑面积</t>
    <phoneticPr fontId="134" type="noConversion"/>
  </si>
  <si>
    <t>钢混</t>
  </si>
  <si>
    <t>钢混</t>
    <phoneticPr fontId="30" type="noConversion"/>
  </si>
  <si>
    <t>混合</t>
  </si>
  <si>
    <t>混合</t>
    <phoneticPr fontId="30" type="noConversion"/>
  </si>
  <si>
    <t>辉煌云上</t>
    <phoneticPr fontId="30" type="noConversion"/>
  </si>
  <si>
    <t>城建万科城</t>
    <phoneticPr fontId="30" type="noConversion"/>
  </si>
  <si>
    <t>七通</t>
    <phoneticPr fontId="30" type="noConversion"/>
  </si>
  <si>
    <t>六通</t>
    <phoneticPr fontId="30" type="noConversion"/>
  </si>
  <si>
    <t>五通</t>
    <phoneticPr fontId="30" type="noConversion"/>
  </si>
  <si>
    <t>四通</t>
    <phoneticPr fontId="30" type="noConversion"/>
  </si>
  <si>
    <t>可餐饮</t>
    <phoneticPr fontId="30" type="noConversion"/>
  </si>
  <si>
    <t>不可餐饮</t>
    <phoneticPr fontId="30" type="noConversion"/>
  </si>
  <si>
    <t>普通装修</t>
  </si>
  <si>
    <t>毛坯</t>
  </si>
  <si>
    <r>
      <t>1</t>
    </r>
    <r>
      <rPr>
        <sz val="11"/>
        <color indexed="8"/>
        <rFont val="宋体"/>
        <family val="3"/>
        <charset val="134"/>
      </rPr>
      <t>层挑高</t>
    </r>
    <phoneticPr fontId="30" type="noConversion"/>
  </si>
  <si>
    <t>一般</t>
    <phoneticPr fontId="30" type="noConversion"/>
  </si>
  <si>
    <t>较好</t>
    <phoneticPr fontId="30" type="noConversion"/>
  </si>
  <si>
    <r>
      <t>2</t>
    </r>
    <r>
      <rPr>
        <sz val="11"/>
        <rFont val="宋体"/>
        <family val="3"/>
        <charset val="134"/>
      </rPr>
      <t>公里范围内有Y40、Y45路</t>
    </r>
    <phoneticPr fontId="30" type="noConversion"/>
  </si>
  <si>
    <t>估价对象2公里范围内有百品尚购物中心，周边商业氛围一般，人流量一般，商业繁华一般</t>
    <phoneticPr fontId="24" type="noConversion"/>
  </si>
  <si>
    <r>
      <t>2</t>
    </r>
    <r>
      <rPr>
        <sz val="11"/>
        <rFont val="宋体"/>
        <family val="3"/>
        <charset val="134"/>
      </rPr>
      <t>公里范围内有冬奥森林公园自然景观</t>
    </r>
    <phoneticPr fontId="30" type="noConversion"/>
  </si>
  <si>
    <t>估价对象所在区域公共配套设施齐备情况：农业银行、农业发展银行、中国银行，司家营小学、北京市延庆区第二中学，国润家园社区卫生服务站、北京中医医院延庆医院，百尚购物中心</t>
    <phoneticPr fontId="40" type="noConversion"/>
  </si>
  <si>
    <t>区域自然环境：迎宾公园、百泉公园、夏都公园、北京延庆世界地质公园；人文环境：延庆区职业学院、妫川宝塔、延庆地质博物馆、水生野生博物馆；综合评价环境状况较好</t>
    <phoneticPr fontId="40" type="noConversion"/>
  </si>
  <si>
    <r>
      <t>2</t>
    </r>
    <r>
      <rPr>
        <sz val="11"/>
        <rFont val="宋体"/>
        <family val="3"/>
        <charset val="134"/>
      </rPr>
      <t>公里范围内有</t>
    </r>
    <r>
      <rPr>
        <sz val="11"/>
        <rFont val="Arial"/>
        <family val="2"/>
      </rPr>
      <t>Y15</t>
    </r>
    <r>
      <rPr>
        <sz val="11"/>
        <rFont val="宋体"/>
        <family val="3"/>
        <charset val="134"/>
      </rPr>
      <t>、</t>
    </r>
    <r>
      <rPr>
        <sz val="11"/>
        <rFont val="Arial"/>
        <family val="2"/>
      </rPr>
      <t>Y22</t>
    </r>
    <r>
      <rPr>
        <sz val="11"/>
        <rFont val="宋体"/>
        <family val="3"/>
        <charset val="134"/>
      </rPr>
      <t>、Y7路</t>
    </r>
    <phoneticPr fontId="30" type="noConversion"/>
  </si>
  <si>
    <r>
      <t>2</t>
    </r>
    <r>
      <rPr>
        <sz val="11"/>
        <rFont val="宋体"/>
        <family val="3"/>
        <charset val="134"/>
      </rPr>
      <t>公里范围内有天成公园自然景观</t>
    </r>
    <phoneticPr fontId="30" type="noConversion"/>
  </si>
  <si>
    <t>租金取值</t>
    <phoneticPr fontId="134" type="noConversion"/>
  </si>
  <si>
    <t>燕水佳园</t>
    <phoneticPr fontId="3" type="noConversion"/>
  </si>
  <si>
    <t>收益法 (元)1号</t>
  </si>
  <si>
    <t>收益法 (元)1号</t>
    <phoneticPr fontId="16" type="noConversion"/>
  </si>
  <si>
    <t>比较法-商业1号</t>
  </si>
  <si>
    <t>比较法-商业1号</t>
    <phoneticPr fontId="16" type="noConversion"/>
  </si>
  <si>
    <t>售价</t>
    <phoneticPr fontId="134" type="noConversion"/>
  </si>
  <si>
    <r>
      <t>1</t>
    </r>
    <r>
      <rPr>
        <sz val="11"/>
        <rFont val="宋体"/>
        <family val="3"/>
        <charset val="134"/>
      </rPr>
      <t>层挑高</t>
    </r>
    <phoneticPr fontId="3" type="noConversion"/>
  </si>
  <si>
    <r>
      <t>1</t>
    </r>
    <r>
      <rPr>
        <sz val="11"/>
        <rFont val="宋体"/>
        <family val="3"/>
        <charset val="134"/>
      </rPr>
      <t>层</t>
    </r>
    <phoneticPr fontId="3" type="noConversion"/>
  </si>
  <si>
    <r>
      <t>2</t>
    </r>
    <r>
      <rPr>
        <sz val="11"/>
        <rFont val="宋体"/>
        <family val="3"/>
        <charset val="134"/>
      </rPr>
      <t>层</t>
    </r>
    <phoneticPr fontId="3" type="noConversion"/>
  </si>
  <si>
    <r>
      <t>1-2</t>
    </r>
    <r>
      <rPr>
        <sz val="11"/>
        <color indexed="8"/>
        <rFont val="宋体"/>
        <family val="3"/>
        <charset val="134"/>
      </rPr>
      <t>层</t>
    </r>
    <phoneticPr fontId="30" type="noConversion"/>
  </si>
  <si>
    <r>
      <t>1-2</t>
    </r>
    <r>
      <rPr>
        <sz val="11"/>
        <color indexed="8"/>
        <rFont val="宋体"/>
        <family val="3"/>
        <charset val="134"/>
      </rPr>
      <t>层</t>
    </r>
    <phoneticPr fontId="3" type="noConversion"/>
  </si>
  <si>
    <r>
      <t>1</t>
    </r>
    <r>
      <rPr>
        <sz val="11"/>
        <color indexed="8"/>
        <rFont val="宋体"/>
        <family val="3"/>
        <charset val="134"/>
      </rPr>
      <t>层</t>
    </r>
    <phoneticPr fontId="30" type="noConversion"/>
  </si>
  <si>
    <t>1-2层</t>
  </si>
  <si>
    <r>
      <t>修正到1</t>
    </r>
    <r>
      <rPr>
        <sz val="11"/>
        <color theme="1"/>
        <rFont val="宋体"/>
        <family val="3"/>
        <charset val="134"/>
        <scheme val="minor"/>
      </rPr>
      <t>-2层价格</t>
    </r>
    <phoneticPr fontId="134" type="noConversion"/>
  </si>
  <si>
    <t>挑高</t>
    <phoneticPr fontId="134" type="noConversion"/>
  </si>
  <si>
    <r>
      <t>3</t>
    </r>
    <r>
      <rPr>
        <sz val="11"/>
        <rFont val="宋体"/>
        <family val="3"/>
        <charset val="134"/>
      </rPr>
      <t>层</t>
    </r>
    <phoneticPr fontId="134" type="noConversion"/>
  </si>
  <si>
    <r>
      <t>1-3</t>
    </r>
    <r>
      <rPr>
        <sz val="11"/>
        <rFont val="宋体"/>
        <family val="3"/>
        <charset val="134"/>
      </rPr>
      <t>层</t>
    </r>
    <phoneticPr fontId="134" type="noConversion"/>
  </si>
  <si>
    <t>七通</t>
  </si>
  <si>
    <t>与级别开发程度不一致</t>
  </si>
  <si>
    <t>通路</t>
  </si>
  <si>
    <t>通电</t>
  </si>
  <si>
    <t>通讯</t>
  </si>
  <si>
    <t>通上水</t>
  </si>
  <si>
    <t>通下水</t>
  </si>
  <si>
    <t>通热</t>
  </si>
  <si>
    <t>燃气</t>
  </si>
  <si>
    <t>平整</t>
  </si>
  <si>
    <t>好</t>
  </si>
  <si>
    <t>租金</t>
    <phoneticPr fontId="134" type="noConversion"/>
  </si>
  <si>
    <t>辉煌云上</t>
    <phoneticPr fontId="134" type="noConversion"/>
  </si>
  <si>
    <t>一般</t>
    <phoneticPr fontId="30" type="noConversion"/>
  </si>
  <si>
    <t>较差</t>
    <phoneticPr fontId="30" type="noConversion"/>
  </si>
  <si>
    <t>旅游区商业</t>
    <phoneticPr fontId="30" type="noConversion"/>
  </si>
  <si>
    <t>居住社区商业，吉祥超市、长华超市</t>
    <phoneticPr fontId="30" type="noConversion"/>
  </si>
  <si>
    <t>旅游配套商业</t>
  </si>
  <si>
    <t>旅游配套商业</t>
    <phoneticPr fontId="30" type="noConversion"/>
  </si>
  <si>
    <t>住宅配套商业</t>
  </si>
  <si>
    <t>住宅配套商业</t>
    <phoneticPr fontId="30" type="noConversion"/>
  </si>
  <si>
    <t>估价对象临城市主干道--妫川路，周边有Y9路、919路、920路公交车，门口可停车，停车便捷程度较好，综合评价交通便捷度一般</t>
    <phoneticPr fontId="40" type="noConversion"/>
  </si>
  <si>
    <r>
      <rPr>
        <sz val="11"/>
        <rFont val="宋体"/>
        <family val="3"/>
        <charset val="134"/>
      </rPr>
      <t>临城市次干道</t>
    </r>
    <r>
      <rPr>
        <sz val="11"/>
        <rFont val="Arial"/>
        <family val="2"/>
      </rPr>
      <t>-</t>
    </r>
    <r>
      <rPr>
        <sz val="11"/>
        <rFont val="宋体"/>
        <family val="3"/>
        <charset val="134"/>
      </rPr>
      <t>八峪路，</t>
    </r>
    <r>
      <rPr>
        <sz val="11"/>
        <rFont val="Arial"/>
        <family val="2"/>
      </rPr>
      <t>2</t>
    </r>
    <r>
      <rPr>
        <sz val="11"/>
        <rFont val="宋体"/>
        <family val="3"/>
        <charset val="134"/>
      </rPr>
      <t>公里范围内有延庆区沈家营中心小学、沈家营中学，北京农商银行，沈家营镇社区卫生服务中心</t>
    </r>
    <phoneticPr fontId="30" type="noConversion"/>
  </si>
  <si>
    <r>
      <rPr>
        <sz val="11"/>
        <rFont val="宋体"/>
        <family val="3"/>
        <charset val="134"/>
      </rPr>
      <t>距主干道京青县约</t>
    </r>
    <r>
      <rPr>
        <sz val="11"/>
        <rFont val="Arial"/>
        <family val="2"/>
      </rPr>
      <t>480</t>
    </r>
    <r>
      <rPr>
        <sz val="11"/>
        <rFont val="宋体"/>
        <family val="3"/>
        <charset val="134"/>
      </rPr>
      <t>米，</t>
    </r>
    <r>
      <rPr>
        <sz val="11"/>
        <rFont val="Arial"/>
        <family val="2"/>
      </rPr>
      <t>2</t>
    </r>
    <r>
      <rPr>
        <sz val="11"/>
        <rFont val="宋体"/>
        <family val="3"/>
        <charset val="134"/>
      </rPr>
      <t>公里范围内有延庆区姚家营小学、姚家营中心小学附属幼儿园，云上生活汇超市</t>
    </r>
    <phoneticPr fontId="30" type="noConversion"/>
  </si>
  <si>
    <t>比较法-商业2号</t>
    <phoneticPr fontId="16" type="noConversion"/>
  </si>
  <si>
    <t>收益法 (元)2号</t>
  </si>
  <si>
    <t>收益法 (元)2号</t>
    <phoneticPr fontId="16" type="noConversion"/>
  </si>
  <si>
    <t>2号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</si>
</sst>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9" tint="-0.249977111117893"/>
      <name val="Arial"/>
      <family val="3"/>
      <charset val="134"/>
    </font>
    <font>
      <i/>
      <sz val="9"/>
      <color theme="1"/>
      <name val="Arial"/>
      <family val="2"/>
    </font>
    <font>
      <sz val="12"/>
      <color theme="1"/>
      <name val="宋体"/>
      <family val="2"/>
      <scheme val="minor"/>
    </font>
    <font>
      <sz val="11"/>
      <name val="Arial"/>
      <family val="3"/>
      <charset val="134"/>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cellStyleXfs>
  <cellXfs count="353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269"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114" fillId="22" borderId="0" xfId="0" applyFont="1" applyFill="1" applyAlignment="1" applyProtection="1">
      <alignment horizontal="left" vertical="center" wrapText="1"/>
      <protection locked="0"/>
    </xf>
    <xf numFmtId="0" fontId="98" fillId="22" borderId="0" xfId="0" applyFont="1" applyFill="1" applyAlignment="1" applyProtection="1">
      <alignment horizontal="left" vertical="center" wrapText="1"/>
      <protection locked="0"/>
    </xf>
    <xf numFmtId="0" fontId="270" fillId="22" borderId="0" xfId="0" applyFont="1" applyFill="1" applyAlignment="1" applyProtection="1">
      <alignment horizontal="right" vertical="center" wrapText="1"/>
      <protection locked="0"/>
    </xf>
    <xf numFmtId="0" fontId="98" fillId="23" borderId="0" xfId="0" applyFont="1" applyFill="1" applyAlignment="1" applyProtection="1">
      <alignment horizontal="left" vertical="center" wrapText="1"/>
      <protection locked="0"/>
    </xf>
    <xf numFmtId="0" fontId="98" fillId="24" borderId="0" xfId="0" applyFont="1" applyFill="1" applyAlignment="1" applyProtection="1">
      <alignment horizontal="left" vertical="center" wrapText="1"/>
      <protection locked="0"/>
    </xf>
    <xf numFmtId="0" fontId="98" fillId="25"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98" fillId="0" borderId="0" xfId="0" applyFont="1" applyAlignment="1" applyProtection="1">
      <alignment horizontal="left" vertical="center" wrapText="1"/>
      <protection locked="0"/>
    </xf>
    <xf numFmtId="181" fontId="98" fillId="0" borderId="0" xfId="17" applyNumberFormat="1" applyFont="1" applyAlignment="1" applyProtection="1">
      <alignment horizontal="left" vertical="center" wrapText="1"/>
      <protection locked="0"/>
    </xf>
    <xf numFmtId="0" fontId="77" fillId="12" borderId="0" xfId="0"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76" fontId="47" fillId="12" borderId="0" xfId="0" applyNumberFormat="1" applyFont="1" applyFill="1" applyProtection="1">
      <alignment vertical="center"/>
      <protection locked="0"/>
    </xf>
    <xf numFmtId="0" fontId="271" fillId="0" borderId="0" xfId="19"/>
    <xf numFmtId="0" fontId="0" fillId="5" borderId="0" xfId="0" applyFill="1">
      <alignment vertical="center"/>
    </xf>
    <xf numFmtId="14" fontId="271" fillId="5" borderId="0" xfId="19" applyNumberFormat="1" applyFill="1"/>
    <xf numFmtId="0" fontId="271" fillId="5" borderId="0" xfId="19" applyFill="1"/>
    <xf numFmtId="0" fontId="0" fillId="7" borderId="0" xfId="0" applyFill="1">
      <alignment vertical="center"/>
    </xf>
    <xf numFmtId="14" fontId="271" fillId="7" borderId="0" xfId="19" applyNumberFormat="1" applyFill="1"/>
    <xf numFmtId="0" fontId="271" fillId="7" borderId="0" xfId="19" applyFill="1"/>
    <xf numFmtId="0" fontId="95" fillId="5" borderId="0" xfId="0" applyFont="1" applyFill="1">
      <alignment vertical="center"/>
    </xf>
    <xf numFmtId="0" fontId="94" fillId="12" borderId="0" xfId="0" applyFont="1" applyFill="1" applyAlignment="1" applyProtection="1">
      <alignment horizontal="center" vertical="center"/>
      <protection locked="0"/>
    </xf>
    <xf numFmtId="0" fontId="128" fillId="0" borderId="5"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94" fillId="0" borderId="39" xfId="0" applyNumberFormat="1" applyFont="1" applyBorder="1" applyAlignment="1" applyProtection="1">
      <alignment horizontal="center" vertical="center" wrapText="1"/>
      <protection locked="0"/>
    </xf>
    <xf numFmtId="49" fontId="94" fillId="0" borderId="40" xfId="0" applyNumberFormat="1" applyFont="1" applyBorder="1" applyAlignment="1" applyProtection="1">
      <alignment horizontal="center" vertical="center" wrapText="1"/>
      <protection locked="0"/>
    </xf>
    <xf numFmtId="0" fontId="0" fillId="0" borderId="1" xfId="0" applyBorder="1">
      <alignment vertical="center"/>
    </xf>
    <xf numFmtId="0" fontId="95" fillId="0" borderId="1" xfId="0" applyFont="1" applyBorder="1">
      <alignment vertical="center"/>
    </xf>
    <xf numFmtId="0" fontId="0" fillId="0" borderId="1" xfId="0" applyBorder="1" applyAlignment="1">
      <alignment horizontal="left" vertical="center"/>
    </xf>
    <xf numFmtId="0" fontId="0" fillId="5" borderId="1" xfId="0" applyFill="1" applyBorder="1">
      <alignment vertical="center"/>
    </xf>
    <xf numFmtId="0" fontId="51" fillId="5" borderId="1" xfId="0" applyFont="1" applyFill="1" applyBorder="1" applyAlignment="1" applyProtection="1">
      <alignment horizontal="center" vertical="center"/>
      <protection locked="0"/>
    </xf>
    <xf numFmtId="0" fontId="44" fillId="5" borderId="1" xfId="0" applyFont="1" applyFill="1" applyBorder="1" applyAlignment="1" applyProtection="1">
      <alignment horizontal="center" vertical="center"/>
      <protection locked="0"/>
    </xf>
    <xf numFmtId="183" fontId="47" fillId="27" borderId="1" xfId="0" applyNumberFormat="1" applyFont="1" applyFill="1" applyBorder="1" applyAlignment="1" applyProtection="1">
      <alignment horizontal="center" vertical="center" shrinkToFit="1"/>
      <protection locked="0"/>
    </xf>
    <xf numFmtId="176" fontId="44" fillId="27" borderId="24" xfId="1" applyNumberFormat="1" applyFont="1" applyFill="1" applyBorder="1" applyAlignment="1" applyProtection="1">
      <alignment horizontal="center" vertical="center"/>
      <protection locked="0"/>
    </xf>
    <xf numFmtId="0" fontId="58" fillId="7" borderId="3" xfId="0" applyFont="1" applyFill="1" applyBorder="1" applyAlignment="1" applyProtection="1">
      <alignment horizontal="center" vertical="center" wrapText="1"/>
      <protection locked="0"/>
    </xf>
    <xf numFmtId="0" fontId="58" fillId="7" borderId="3" xfId="0" applyFont="1" applyFill="1" applyBorder="1" applyAlignment="1">
      <alignment horizontal="center" vertical="center" wrapText="1"/>
    </xf>
    <xf numFmtId="49" fontId="272" fillId="0" borderId="11" xfId="0" applyNumberFormat="1" applyFont="1" applyBorder="1" applyAlignment="1" applyProtection="1">
      <alignment horizontal="center" vertical="center" wrapText="1"/>
      <protection locked="0"/>
    </xf>
    <xf numFmtId="49" fontId="272" fillId="0" borderId="22" xfId="0" applyNumberFormat="1"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271" fillId="0" borderId="0" xfId="19"/>
    <xf numFmtId="14" fontId="271" fillId="0" borderId="0" xfId="19" applyNumberFormat="1"/>
    <xf numFmtId="0" fontId="271" fillId="5" borderId="0" xfId="19" applyFill="1"/>
    <xf numFmtId="14" fontId="271" fillId="5" borderId="0" xfId="19" applyNumberFormat="1" applyFill="1"/>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114" fillId="22" borderId="0" xfId="0" applyFont="1" applyFill="1" applyAlignment="1" applyProtection="1">
      <alignment horizontal="center" vertical="center" wrapText="1"/>
      <protection locked="0"/>
    </xf>
    <xf numFmtId="0" fontId="98" fillId="22" borderId="0" xfId="0" applyFont="1" applyFill="1" applyAlignment="1" applyProtection="1">
      <alignment horizontal="center" vertical="center" wrapText="1"/>
      <protection locked="0"/>
    </xf>
    <xf numFmtId="0" fontId="69" fillId="6" borderId="105" xfId="0" applyFont="1" applyFill="1" applyBorder="1">
      <alignment vertical="center"/>
    </xf>
    <xf numFmtId="0" fontId="69" fillId="6" borderId="101" xfId="0" applyFont="1" applyFill="1" applyBorder="1">
      <alignment vertical="center"/>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44" fillId="9" borderId="1" xfId="0" applyFont="1" applyFill="1" applyBorder="1" applyAlignment="1">
      <alignment horizontal="left" vertical="center" wrapText="1"/>
    </xf>
    <xf numFmtId="0" fontId="104" fillId="9" borderId="1" xfId="0" applyFont="1" applyFill="1" applyBorder="1" applyAlignment="1">
      <alignment horizontal="left" vertical="center" wrapText="1"/>
    </xf>
    <xf numFmtId="0" fontId="104" fillId="9" borderId="24" xfId="0" applyFont="1" applyFill="1" applyBorder="1" applyAlignment="1">
      <alignment horizontal="left" vertical="center" wrapText="1"/>
    </xf>
  </cellXfs>
  <cellStyles count="20">
    <cellStyle name="百分比" xfId="17" builtinId="5"/>
    <cellStyle name="百分比 2" xfId="14" xr:uid="{00000000-0005-0000-0000-000001000000}"/>
    <cellStyle name="常规" xfId="0" builtinId="0"/>
    <cellStyle name="常规 10" xfId="19" xr:uid="{00000000-0005-0000-0000-00000300000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s>
  <dxfs count="191">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60960</xdr:colOff>
      <xdr:row>5</xdr:row>
      <xdr:rowOff>106680</xdr:rowOff>
    </xdr:from>
    <xdr:to>
      <xdr:col>15</xdr:col>
      <xdr:colOff>379017</xdr:colOff>
      <xdr:row>33</xdr:row>
      <xdr:rowOff>124813</xdr:rowOff>
    </xdr:to>
    <xdr:pic>
      <xdr:nvPicPr>
        <xdr:cNvPr id="2" name="图片 1">
          <a:extLst>
            <a:ext uri="{FF2B5EF4-FFF2-40B4-BE49-F238E27FC236}">
              <a16:creationId xmlns:a16="http://schemas.microsoft.com/office/drawing/2014/main" id="{15BA5218-AE78-B107-CE8C-3885CABB4AFD}"/>
            </a:ext>
          </a:extLst>
        </xdr:cNvPr>
        <xdr:cNvPicPr>
          <a:picLocks noChangeAspect="1"/>
        </xdr:cNvPicPr>
      </xdr:nvPicPr>
      <xdr:blipFill>
        <a:blip xmlns:r="http://schemas.openxmlformats.org/officeDocument/2006/relationships" r:embed="rId1"/>
        <a:stretch>
          <a:fillRect/>
        </a:stretch>
      </xdr:blipFill>
      <xdr:spPr>
        <a:xfrm>
          <a:off x="60960" y="1097280"/>
          <a:ext cx="10117377" cy="5138773"/>
        </a:xfrm>
        <a:prstGeom prst="rect">
          <a:avLst/>
        </a:prstGeom>
      </xdr:spPr>
    </xdr:pic>
    <xdr:clientData/>
  </xdr:twoCellAnchor>
  <xdr:twoCellAnchor editAs="oneCell">
    <xdr:from>
      <xdr:col>0</xdr:col>
      <xdr:colOff>0</xdr:colOff>
      <xdr:row>34</xdr:row>
      <xdr:rowOff>0</xdr:rowOff>
    </xdr:from>
    <xdr:to>
      <xdr:col>21</xdr:col>
      <xdr:colOff>495461</xdr:colOff>
      <xdr:row>48</xdr:row>
      <xdr:rowOff>106347</xdr:rowOff>
    </xdr:to>
    <xdr:pic>
      <xdr:nvPicPr>
        <xdr:cNvPr id="3" name="图片 2">
          <a:extLst>
            <a:ext uri="{FF2B5EF4-FFF2-40B4-BE49-F238E27FC236}">
              <a16:creationId xmlns:a16="http://schemas.microsoft.com/office/drawing/2014/main" id="{14489063-FB17-32DF-5D32-095D7BB9E605}"/>
            </a:ext>
          </a:extLst>
        </xdr:cNvPr>
        <xdr:cNvPicPr>
          <a:picLocks noChangeAspect="1"/>
        </xdr:cNvPicPr>
      </xdr:nvPicPr>
      <xdr:blipFill>
        <a:blip xmlns:r="http://schemas.openxmlformats.org/officeDocument/2006/relationships" r:embed="rId2"/>
        <a:stretch>
          <a:fillRect/>
        </a:stretch>
      </xdr:blipFill>
      <xdr:spPr>
        <a:xfrm>
          <a:off x="0" y="6294120"/>
          <a:ext cx="13952381" cy="2666667"/>
        </a:xfrm>
        <a:prstGeom prst="rect">
          <a:avLst/>
        </a:prstGeom>
      </xdr:spPr>
    </xdr:pic>
    <xdr:clientData/>
  </xdr:twoCellAnchor>
  <xdr:twoCellAnchor editAs="oneCell">
    <xdr:from>
      <xdr:col>16</xdr:col>
      <xdr:colOff>0</xdr:colOff>
      <xdr:row>6</xdr:row>
      <xdr:rowOff>0</xdr:rowOff>
    </xdr:from>
    <xdr:to>
      <xdr:col>35</xdr:col>
      <xdr:colOff>198552</xdr:colOff>
      <xdr:row>50</xdr:row>
      <xdr:rowOff>10423</xdr:rowOff>
    </xdr:to>
    <xdr:pic>
      <xdr:nvPicPr>
        <xdr:cNvPr id="4" name="图片 3">
          <a:extLst>
            <a:ext uri="{FF2B5EF4-FFF2-40B4-BE49-F238E27FC236}">
              <a16:creationId xmlns:a16="http://schemas.microsoft.com/office/drawing/2014/main" id="{1CACE710-5EB4-C469-1CB6-6D8597676D03}"/>
            </a:ext>
          </a:extLst>
        </xdr:cNvPr>
        <xdr:cNvPicPr>
          <a:picLocks noChangeAspect="1"/>
        </xdr:cNvPicPr>
      </xdr:nvPicPr>
      <xdr:blipFill>
        <a:blip xmlns:r="http://schemas.openxmlformats.org/officeDocument/2006/relationships" r:embed="rId3"/>
        <a:stretch>
          <a:fillRect/>
        </a:stretch>
      </xdr:blipFill>
      <xdr:spPr>
        <a:xfrm>
          <a:off x="10408920" y="1173480"/>
          <a:ext cx="11780952" cy="80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504076</xdr:colOff>
      <xdr:row>30</xdr:row>
      <xdr:rowOff>37409</xdr:rowOff>
    </xdr:to>
    <xdr:pic>
      <xdr:nvPicPr>
        <xdr:cNvPr id="2" name="图片 1">
          <a:extLst>
            <a:ext uri="{FF2B5EF4-FFF2-40B4-BE49-F238E27FC236}">
              <a16:creationId xmlns:a16="http://schemas.microsoft.com/office/drawing/2014/main" id="{E17AD984-509F-72AE-637D-2CE5B276285B}"/>
            </a:ext>
          </a:extLst>
        </xdr:cNvPr>
        <xdr:cNvPicPr>
          <a:picLocks noChangeAspect="1"/>
        </xdr:cNvPicPr>
      </xdr:nvPicPr>
      <xdr:blipFill>
        <a:blip xmlns:r="http://schemas.openxmlformats.org/officeDocument/2006/relationships" r:embed="rId1"/>
        <a:stretch>
          <a:fillRect/>
        </a:stretch>
      </xdr:blipFill>
      <xdr:spPr>
        <a:xfrm>
          <a:off x="0" y="0"/>
          <a:ext cx="5990476" cy="5523809"/>
        </a:xfrm>
        <a:prstGeom prst="rect">
          <a:avLst/>
        </a:prstGeom>
      </xdr:spPr>
    </xdr:pic>
    <xdr:clientData/>
  </xdr:twoCellAnchor>
  <xdr:twoCellAnchor editAs="oneCell">
    <xdr:from>
      <xdr:col>10</xdr:col>
      <xdr:colOff>0</xdr:colOff>
      <xdr:row>3</xdr:row>
      <xdr:rowOff>0</xdr:rowOff>
    </xdr:from>
    <xdr:to>
      <xdr:col>25</xdr:col>
      <xdr:colOff>465524</xdr:colOff>
      <xdr:row>32</xdr:row>
      <xdr:rowOff>1242</xdr:rowOff>
    </xdr:to>
    <xdr:pic>
      <xdr:nvPicPr>
        <xdr:cNvPr id="3" name="图片 2">
          <a:extLst>
            <a:ext uri="{FF2B5EF4-FFF2-40B4-BE49-F238E27FC236}">
              <a16:creationId xmlns:a16="http://schemas.microsoft.com/office/drawing/2014/main" id="{3408D429-BFFC-4E81-B01D-5549FEA3EEE7}"/>
            </a:ext>
          </a:extLst>
        </xdr:cNvPr>
        <xdr:cNvPicPr>
          <a:picLocks noChangeAspect="1"/>
        </xdr:cNvPicPr>
      </xdr:nvPicPr>
      <xdr:blipFill>
        <a:blip xmlns:r="http://schemas.openxmlformats.org/officeDocument/2006/relationships" r:embed="rId2"/>
        <a:stretch>
          <a:fillRect/>
        </a:stretch>
      </xdr:blipFill>
      <xdr:spPr>
        <a:xfrm>
          <a:off x="6096000" y="548640"/>
          <a:ext cx="9609524" cy="53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24</xdr:row>
      <xdr:rowOff>0</xdr:rowOff>
    </xdr:from>
    <xdr:to>
      <xdr:col>12</xdr:col>
      <xdr:colOff>322890</xdr:colOff>
      <xdr:row>67</xdr:row>
      <xdr:rowOff>79017</xdr:rowOff>
    </xdr:to>
    <xdr:pic>
      <xdr:nvPicPr>
        <xdr:cNvPr id="2" name="图片 1">
          <a:extLst>
            <a:ext uri="{FF2B5EF4-FFF2-40B4-BE49-F238E27FC236}">
              <a16:creationId xmlns:a16="http://schemas.microsoft.com/office/drawing/2014/main" id="{610C95A4-FDC4-4F85-6A30-322706EF2287}"/>
            </a:ext>
          </a:extLst>
        </xdr:cNvPr>
        <xdr:cNvPicPr>
          <a:picLocks noChangeAspect="1"/>
        </xdr:cNvPicPr>
      </xdr:nvPicPr>
      <xdr:blipFill>
        <a:blip xmlns:r="http://schemas.openxmlformats.org/officeDocument/2006/relationships" r:embed="rId1"/>
        <a:stretch>
          <a:fillRect/>
        </a:stretch>
      </xdr:blipFill>
      <xdr:spPr>
        <a:xfrm>
          <a:off x="0" y="2194560"/>
          <a:ext cx="7676190" cy="7942857"/>
        </a:xfrm>
        <a:prstGeom prst="rect">
          <a:avLst/>
        </a:prstGeom>
      </xdr:spPr>
    </xdr:pic>
    <xdr:clientData/>
  </xdr:twoCellAnchor>
  <xdr:twoCellAnchor editAs="oneCell">
    <xdr:from>
      <xdr:col>0</xdr:col>
      <xdr:colOff>0</xdr:colOff>
      <xdr:row>70</xdr:row>
      <xdr:rowOff>0</xdr:rowOff>
    </xdr:from>
    <xdr:to>
      <xdr:col>11</xdr:col>
      <xdr:colOff>361062</xdr:colOff>
      <xdr:row>114</xdr:row>
      <xdr:rowOff>143756</xdr:rowOff>
    </xdr:to>
    <xdr:pic>
      <xdr:nvPicPr>
        <xdr:cNvPr id="3" name="图片 2">
          <a:extLst>
            <a:ext uri="{FF2B5EF4-FFF2-40B4-BE49-F238E27FC236}">
              <a16:creationId xmlns:a16="http://schemas.microsoft.com/office/drawing/2014/main" id="{CB582634-9EBD-36E1-EC93-B03778A3506F}"/>
            </a:ext>
          </a:extLst>
        </xdr:cNvPr>
        <xdr:cNvPicPr>
          <a:picLocks noChangeAspect="1"/>
        </xdr:cNvPicPr>
      </xdr:nvPicPr>
      <xdr:blipFill>
        <a:blip xmlns:r="http://schemas.openxmlformats.org/officeDocument/2006/relationships" r:embed="rId2"/>
        <a:stretch>
          <a:fillRect/>
        </a:stretch>
      </xdr:blipFill>
      <xdr:spPr>
        <a:xfrm>
          <a:off x="0" y="10607040"/>
          <a:ext cx="7104762" cy="8190476"/>
        </a:xfrm>
        <a:prstGeom prst="rect">
          <a:avLst/>
        </a:prstGeom>
      </xdr:spPr>
    </xdr:pic>
    <xdr:clientData/>
  </xdr:twoCellAnchor>
  <xdr:twoCellAnchor editAs="oneCell">
    <xdr:from>
      <xdr:col>0</xdr:col>
      <xdr:colOff>0</xdr:colOff>
      <xdr:row>120</xdr:row>
      <xdr:rowOff>0</xdr:rowOff>
    </xdr:from>
    <xdr:to>
      <xdr:col>21</xdr:col>
      <xdr:colOff>295451</xdr:colOff>
      <xdr:row>154</xdr:row>
      <xdr:rowOff>58270</xdr:rowOff>
    </xdr:to>
    <xdr:pic>
      <xdr:nvPicPr>
        <xdr:cNvPr id="4" name="图片 3">
          <a:extLst>
            <a:ext uri="{FF2B5EF4-FFF2-40B4-BE49-F238E27FC236}">
              <a16:creationId xmlns:a16="http://schemas.microsoft.com/office/drawing/2014/main" id="{1C4264D3-BAF9-B072-E720-7C7D0100AE92}"/>
            </a:ext>
          </a:extLst>
        </xdr:cNvPr>
        <xdr:cNvPicPr>
          <a:picLocks noChangeAspect="1"/>
        </xdr:cNvPicPr>
      </xdr:nvPicPr>
      <xdr:blipFill>
        <a:blip xmlns:r="http://schemas.openxmlformats.org/officeDocument/2006/relationships" r:embed="rId3"/>
        <a:stretch>
          <a:fillRect/>
        </a:stretch>
      </xdr:blipFill>
      <xdr:spPr>
        <a:xfrm>
          <a:off x="0" y="20177760"/>
          <a:ext cx="13828571" cy="6276190"/>
        </a:xfrm>
        <a:prstGeom prst="rect">
          <a:avLst/>
        </a:prstGeom>
      </xdr:spPr>
    </xdr:pic>
    <xdr:clientData/>
  </xdr:twoCellAnchor>
  <xdr:twoCellAnchor editAs="oneCell">
    <xdr:from>
      <xdr:col>0</xdr:col>
      <xdr:colOff>0</xdr:colOff>
      <xdr:row>155</xdr:row>
      <xdr:rowOff>0</xdr:rowOff>
    </xdr:from>
    <xdr:to>
      <xdr:col>22</xdr:col>
      <xdr:colOff>400137</xdr:colOff>
      <xdr:row>190</xdr:row>
      <xdr:rowOff>84914</xdr:rowOff>
    </xdr:to>
    <xdr:pic>
      <xdr:nvPicPr>
        <xdr:cNvPr id="5" name="图片 4">
          <a:extLst>
            <a:ext uri="{FF2B5EF4-FFF2-40B4-BE49-F238E27FC236}">
              <a16:creationId xmlns:a16="http://schemas.microsoft.com/office/drawing/2014/main" id="{1541D128-210A-FA3D-92AB-F7D14F154F54}"/>
            </a:ext>
          </a:extLst>
        </xdr:cNvPr>
        <xdr:cNvPicPr>
          <a:picLocks noChangeAspect="1"/>
        </xdr:cNvPicPr>
      </xdr:nvPicPr>
      <xdr:blipFill>
        <a:blip xmlns:r="http://schemas.openxmlformats.org/officeDocument/2006/relationships" r:embed="rId4"/>
        <a:stretch>
          <a:fillRect/>
        </a:stretch>
      </xdr:blipFill>
      <xdr:spPr>
        <a:xfrm>
          <a:off x="0" y="26578560"/>
          <a:ext cx="14542857" cy="6485714"/>
        </a:xfrm>
        <a:prstGeom prst="rect">
          <a:avLst/>
        </a:prstGeom>
      </xdr:spPr>
    </xdr:pic>
    <xdr:clientData/>
  </xdr:twoCellAnchor>
  <xdr:twoCellAnchor editAs="oneCell">
    <xdr:from>
      <xdr:col>13</xdr:col>
      <xdr:colOff>711845</xdr:colOff>
      <xdr:row>32</xdr:row>
      <xdr:rowOff>45720</xdr:rowOff>
    </xdr:from>
    <xdr:to>
      <xdr:col>18</xdr:col>
      <xdr:colOff>603140</xdr:colOff>
      <xdr:row>47</xdr:row>
      <xdr:rowOff>1353</xdr:rowOff>
    </xdr:to>
    <xdr:pic>
      <xdr:nvPicPr>
        <xdr:cNvPr id="7" name="图片 6">
          <a:extLst>
            <a:ext uri="{FF2B5EF4-FFF2-40B4-BE49-F238E27FC236}">
              <a16:creationId xmlns:a16="http://schemas.microsoft.com/office/drawing/2014/main" id="{5CD7EBB8-EC1E-8A56-7878-C52E0352DBEA}"/>
            </a:ext>
          </a:extLst>
        </xdr:cNvPr>
        <xdr:cNvPicPr>
          <a:picLocks noChangeAspect="1"/>
        </xdr:cNvPicPr>
      </xdr:nvPicPr>
      <xdr:blipFill>
        <a:blip xmlns:r="http://schemas.openxmlformats.org/officeDocument/2006/relationships" r:embed="rId5"/>
        <a:stretch>
          <a:fillRect/>
        </a:stretch>
      </xdr:blipFill>
      <xdr:spPr>
        <a:xfrm>
          <a:off x="8636645" y="4312920"/>
          <a:ext cx="3632715" cy="269692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北京市延庆县燕水佳园14号楼1至2层1号、2号预评估</v>
      </c>
    </row>
    <row r="3" spans="1:2">
      <c r="A3" s="1118" t="s">
        <v>523</v>
      </c>
      <c r="B3" s="1119">
        <f>'预评函-封皮'!B40</f>
        <v>0</v>
      </c>
    </row>
    <row r="4" spans="1:2">
      <c r="A4" s="1118" t="s">
        <v>524</v>
      </c>
      <c r="B4" s="1119" t="str">
        <f>'预评函-封皮'!B46</f>
        <v>（注册号：0)、（注册号：0)</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受贵公司委托，我公司对北京市延庆县燕水佳园14号楼1至2层1号、2号进行了预评估。</v>
      </c>
    </row>
    <row r="7" spans="1:2">
      <c r="A7" s="1118" t="s">
        <v>566</v>
      </c>
      <c r="B7" s="1119" t="str">
        <f>'预评函-1'!A7</f>
        <v>估价对象为北京市延庆县燕水佳园14号楼1至2层1号、2号房地产，为1号郑亚军、2号卓莹莹所有。根据《国有土地使用证》[]，估价对象（分摊）出让国有建设用地使用权面积为0平方米，建筑面积为312.66平方米。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延庆县燕水佳园14号楼1至2层1号、2号房地产,属1号郑亚军、2号卓莹莹开发建设的商业项目，该项目尚在开发建设中。根据《国有土地使用证》[]，估价对象（分摊）出让国有建设用地使用权面积为0平方米，规划建筑面积为312.66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2024年9月27日（评估专业人员实地查勘之日）</v>
      </c>
    </row>
    <row r="13" spans="1:2">
      <c r="A13" s="1118" t="s">
        <v>529</v>
      </c>
      <c r="B13" s="1119" t="str">
        <f>'预评函-1'!A18</f>
        <v>本次估价的“房地产价值”是指在正常市场情况下，在价值时点2024年9月27日，估价对象规划用途为商业，土地取得方式为出让，出让国有建设用地使用权剩余土地使用年限为17，假定未设立法定优先受偿款下的房地产市场价值。</v>
      </c>
    </row>
    <row r="14" spans="1:2">
      <c r="A14" s="1118" t="s">
        <v>530</v>
      </c>
      <c r="B14" s="1119" t="str">
        <f>'预评函-1'!A19</f>
        <v>其中，“出让国有建设用地使用权价值”是指估价对象用途为商业，实际开发程度为宗地红线外“七通”（即、、、、、、）、红线内场地平整条件下，剩余土地使用年限为17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6.2" thickBot="1">
      <c r="A18" s="1121" t="s">
        <v>534</v>
      </c>
      <c r="B18" s="1122" t="str">
        <f>'预评函-1'!A24</f>
        <v>本次评估采用的主估价方法为比较法和收益法。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189.83150000000001</v>
      </c>
    </row>
    <row r="21" spans="1:2">
      <c r="A21" s="1118" t="s">
        <v>537</v>
      </c>
      <c r="B21" s="1119">
        <f ca="1">'预评函-2'!D7</f>
        <v>12143</v>
      </c>
    </row>
    <row r="22" spans="1:2">
      <c r="A22" s="1118" t="s">
        <v>538</v>
      </c>
      <c r="B22" s="1119" t="str">
        <f ca="1">'预评函-2'!D6</f>
        <v>壹佰捌拾玖万捌仟叁佰壹拾伍元整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189.83150000000001</v>
      </c>
    </row>
    <row r="31" spans="1:2">
      <c r="A31" s="1118" t="s">
        <v>576</v>
      </c>
      <c r="B31" s="1119">
        <f ca="1">'预评函-2'!D15</f>
        <v>12143</v>
      </c>
    </row>
    <row r="32" spans="1:2">
      <c r="A32" s="1118" t="s">
        <v>543</v>
      </c>
      <c r="B32" s="1119" t="str">
        <f ca="1">'预评函-2'!D14</f>
        <v>壹佰捌拾玖万捌仟叁佰壹拾伍元整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北京市延庆县燕水佳园14号楼1至2层1号、2号房地产</v>
      </c>
    </row>
    <row r="42" spans="1:2" ht="31.2">
      <c r="A42" s="1118" t="s">
        <v>590</v>
      </c>
      <c r="B42" s="1119" t="str">
        <f>'预评函-3'!B2</f>
        <v>建筑面积</v>
      </c>
    </row>
    <row r="43" spans="1:2">
      <c r="A43" s="1118" t="s">
        <v>591</v>
      </c>
      <c r="B43" s="1119">
        <f>'预评函-3'!B4</f>
        <v>312.66000000000003</v>
      </c>
    </row>
    <row r="44" spans="1:2" ht="3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'预评函-3'!D4</f>
        <v>0</v>
      </c>
    </row>
    <row r="48" spans="1:2">
      <c r="A48" s="1118" t="s">
        <v>549</v>
      </c>
      <c r="B48" s="1119">
        <f>'预评函-3'!E4</f>
        <v>0</v>
      </c>
    </row>
    <row r="49" spans="1:2">
      <c r="A49" s="1118" t="s">
        <v>550</v>
      </c>
      <c r="B49" s="1119" t="str">
        <f>'预评函-3'!D5</f>
        <v>零元整</v>
      </c>
    </row>
    <row r="50" spans="1:2">
      <c r="A50" s="1118" t="s">
        <v>574</v>
      </c>
      <c r="B50" s="1119" t="str">
        <f>'预评函-3'!F2</f>
        <v>在建建筑物价值</v>
      </c>
    </row>
    <row r="51" spans="1:2">
      <c r="A51" s="1118" t="s">
        <v>551</v>
      </c>
      <c r="B51" s="1119">
        <f>'预评函-3'!F4</f>
        <v>0</v>
      </c>
    </row>
    <row r="52" spans="1:2">
      <c r="A52" s="1118" t="s">
        <v>552</v>
      </c>
      <c r="B52" s="1119">
        <f>'预评函-3'!G4</f>
        <v>0</v>
      </c>
    </row>
    <row r="53" spans="1:2">
      <c r="A53" s="1118" t="s">
        <v>580</v>
      </c>
      <c r="B53" s="1119" t="str">
        <f>'预评函-3'!F5</f>
        <v>零元整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f>'预评函-4'!A4</f>
        <v>0</v>
      </c>
    </row>
    <row r="71" spans="1:2">
      <c r="A71" s="1118" t="s">
        <v>563</v>
      </c>
      <c r="B71" s="1119">
        <f>'预评函-4'!B4</f>
        <v>0</v>
      </c>
    </row>
    <row r="72" spans="1:2">
      <c r="A72" s="1118" t="s">
        <v>564</v>
      </c>
      <c r="B72" s="1126">
        <f>'预评函-4'!A5</f>
        <v>0</v>
      </c>
    </row>
    <row r="73" spans="1:2" s="1114" customFormat="1" ht="16.2" thickBot="1">
      <c r="A73" s="1121" t="s">
        <v>565</v>
      </c>
      <c r="B73" s="1122">
        <f>'预评函-4'!B5</f>
        <v>0</v>
      </c>
    </row>
    <row r="74" spans="1:2" ht="16.2"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F20" sqref="F20"/>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4" width="21.109375" style="1404" customWidth="1"/>
    <col min="25" max="16384" width="9" style="1404"/>
  </cols>
  <sheetData>
    <row r="1" spans="1:23" s="1439" customFormat="1" ht="43.2">
      <c r="A1" s="1435" t="s">
        <v>44</v>
      </c>
      <c r="B1" s="1436" t="s">
        <v>977</v>
      </c>
      <c r="C1" s="1437" t="s">
        <v>314</v>
      </c>
      <c r="D1" s="1438" t="s">
        <v>3349</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3335</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3336</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3337</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3338</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3339</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3340</v>
      </c>
    </row>
    <row r="8" spans="1:23">
      <c r="A8" s="1440" t="s">
        <v>1026</v>
      </c>
      <c r="B8" s="1440" t="s">
        <v>1027</v>
      </c>
      <c r="C8" s="1441" t="s">
        <v>319</v>
      </c>
      <c r="F8" s="1442" t="s">
        <v>1028</v>
      </c>
      <c r="H8" s="1442" t="s">
        <v>2577</v>
      </c>
      <c r="I8" s="1442" t="s">
        <v>3341</v>
      </c>
    </row>
    <row r="9" spans="1:23">
      <c r="A9" s="1440" t="s">
        <v>1029</v>
      </c>
      <c r="B9" s="1440" t="s">
        <v>1030</v>
      </c>
      <c r="C9" s="1441" t="s">
        <v>320</v>
      </c>
      <c r="F9" s="1442" t="s">
        <v>1031</v>
      </c>
      <c r="H9" s="1442"/>
      <c r="I9" s="1444" t="s">
        <v>3342</v>
      </c>
    </row>
    <row r="10" spans="1:23">
      <c r="A10" s="1440" t="s">
        <v>1032</v>
      </c>
      <c r="B10" s="1440" t="s">
        <v>1033</v>
      </c>
      <c r="C10" s="1441" t="s">
        <v>321</v>
      </c>
      <c r="F10" s="1442" t="s">
        <v>2578</v>
      </c>
      <c r="I10" s="1444" t="s">
        <v>3343</v>
      </c>
    </row>
    <row r="11" spans="1:23">
      <c r="A11" s="1440" t="s">
        <v>1034</v>
      </c>
      <c r="B11" s="1440" t="s">
        <v>1035</v>
      </c>
      <c r="C11" s="1441" t="s">
        <v>322</v>
      </c>
      <c r="F11" s="1442" t="s">
        <v>13</v>
      </c>
      <c r="I11" s="1444" t="s">
        <v>3344</v>
      </c>
    </row>
    <row r="12" spans="1:23">
      <c r="A12" s="1440" t="s">
        <v>1036</v>
      </c>
      <c r="B12" s="1440" t="s">
        <v>1037</v>
      </c>
      <c r="C12" s="1441" t="s">
        <v>323</v>
      </c>
      <c r="I12" s="1444" t="s">
        <v>3345</v>
      </c>
    </row>
    <row r="13" spans="1:23">
      <c r="A13" s="1440" t="s">
        <v>1038</v>
      </c>
      <c r="B13" s="1440" t="s">
        <v>1039</v>
      </c>
      <c r="C13" s="1441" t="s">
        <v>324</v>
      </c>
      <c r="I13" s="1444" t="s">
        <v>3346</v>
      </c>
    </row>
    <row r="14" spans="1:23">
      <c r="A14" s="1440" t="s">
        <v>1040</v>
      </c>
      <c r="B14" s="1440" t="s">
        <v>1041</v>
      </c>
      <c r="C14" s="1442" t="s">
        <v>13</v>
      </c>
      <c r="I14" s="1444" t="s">
        <v>3347</v>
      </c>
    </row>
    <row r="15" spans="1:23">
      <c r="A15" s="1440" t="s">
        <v>1042</v>
      </c>
      <c r="B15" s="1440" t="s">
        <v>1043</v>
      </c>
      <c r="C15" s="1441"/>
      <c r="I15" s="1444" t="s">
        <v>3348</v>
      </c>
    </row>
    <row r="16" spans="1:23">
      <c r="A16" s="1440" t="s">
        <v>1044</v>
      </c>
      <c r="B16" s="1440" t="s">
        <v>312</v>
      </c>
      <c r="C16" s="1441"/>
    </row>
    <row r="17" spans="1:3">
      <c r="A17" s="1440" t="s">
        <v>1045</v>
      </c>
      <c r="B17" s="1440" t="s">
        <v>2291</v>
      </c>
      <c r="C17" s="1441"/>
    </row>
    <row r="18" spans="1:3">
      <c r="A18" s="1440" t="s">
        <v>1046</v>
      </c>
      <c r="B18" s="1440" t="s">
        <v>2433</v>
      </c>
      <c r="C18" s="1441"/>
    </row>
    <row r="19" spans="1:3">
      <c r="A19" s="1440" t="s">
        <v>1047</v>
      </c>
      <c r="B19" s="1440" t="s">
        <v>3514</v>
      </c>
      <c r="C19" s="1441"/>
    </row>
    <row r="20" spans="1:3">
      <c r="A20" s="1440" t="s">
        <v>1048</v>
      </c>
      <c r="B20" s="1440" t="s">
        <v>3516</v>
      </c>
      <c r="C20" s="1441"/>
    </row>
    <row r="21" spans="1:3">
      <c r="A21" s="1440" t="s">
        <v>1049</v>
      </c>
      <c r="B21" s="1440" t="s">
        <v>3553</v>
      </c>
      <c r="C21" s="1441"/>
    </row>
    <row r="22" spans="1:3">
      <c r="A22" s="1440" t="s">
        <v>1050</v>
      </c>
      <c r="B22" s="1440" t="s">
        <v>3555</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延庆县燕水佳园14号楼1至2层1号、2号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27"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27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227"/>
      <c r="B54" s="1446" t="s">
        <v>385</v>
      </c>
      <c r="C54" s="1444" t="s">
        <v>583</v>
      </c>
    </row>
    <row r="55" spans="1:4">
      <c r="A55" s="3227"/>
      <c r="B55" s="1446" t="s">
        <v>386</v>
      </c>
      <c r="C55" s="1444" t="s">
        <v>584</v>
      </c>
    </row>
    <row r="56" spans="1:4">
      <c r="A56" s="3227"/>
      <c r="B56" s="1446" t="s">
        <v>387</v>
      </c>
      <c r="C56" s="1444" t="s">
        <v>588</v>
      </c>
    </row>
    <row r="57" spans="1:4">
      <c r="A57" s="3227"/>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228" t="s">
        <v>2580</v>
      </c>
      <c r="J2" s="3228"/>
      <c r="K2" s="3228"/>
      <c r="L2" s="3228"/>
      <c r="M2" s="3228"/>
      <c r="N2" s="3228"/>
      <c r="O2" s="3228"/>
      <c r="P2" s="3228"/>
      <c r="Q2" s="3228"/>
      <c r="R2" s="3228"/>
    </row>
    <row r="3" spans="1:18">
      <c r="A3" s="2760" t="s">
        <v>2501</v>
      </c>
      <c r="B3" s="2761">
        <f>项目基本情况!D3</f>
        <v>45562</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2.2200000000000002</v>
      </c>
      <c r="D5" s="2765">
        <f>IF(ISERROR(ROUND(POWER(1+E5,A5-C5)*(POWER(1+E5,C5)-1)/(POWER(1+E5,A5)-1),3)),0,ROUND(POWER(1+E5,A5-C5)*(POWER(1+E5,C5)-1)/(POWER(1+E5,A5)-1),4))</f>
        <v>0.1053</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12.23</v>
      </c>
      <c r="D6" s="2765">
        <f>IF(ISERROR(ROUND(POWER(1+E6,A6-C6)*(POWER(1+E6,C6)-1)/(POWER(1+E6,A6)-1),3)),0,ROUND(POWER(1+E6,A6-C6)*(POWER(1+E6,C6)-1)/(POWER(1+E6,A6)-1),4))</f>
        <v>0.44340000000000002</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32.24</v>
      </c>
      <c r="D7" s="2765">
        <f>IF(ISERROR(ROUND(POWER(1+E7,A7-C7)*(POWER(1+E7,C7)-1)/(POWER(1+E7,A7)-1),3)),0,ROUND(POWER(1+E7,A7-C7)*(POWER(1+E7,C7)-1)/(POWER(1+E7,A7)-1),4))</f>
        <v>0.76690000000000003</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3">
      <c r="A17" s="2760" t="s">
        <v>2517</v>
      </c>
      <c r="B17" s="2768">
        <v>4810</v>
      </c>
      <c r="C17" s="2762"/>
      <c r="D17" s="2758"/>
      <c r="E17" s="2758"/>
      <c r="F17" s="2759"/>
    </row>
    <row r="18" spans="1:13" ht="15" thickBot="1">
      <c r="A18" s="2770" t="s">
        <v>2516</v>
      </c>
      <c r="B18" s="2771">
        <f>ROUND(B17*F11/F12,2)</f>
        <v>5541.87</v>
      </c>
      <c r="C18" s="2771">
        <f>ROUND(F11/F12,4)</f>
        <v>1.1521999999999999</v>
      </c>
      <c r="D18" s="2772"/>
      <c r="E18" s="2772"/>
      <c r="F18" s="2773"/>
    </row>
    <row r="19" spans="1:13" ht="15" thickBot="1"/>
    <row r="20" spans="1:13" s="2806" customFormat="1" ht="15" thickTop="1">
      <c r="A20" s="2803" t="s">
        <v>2519</v>
      </c>
      <c r="B20" s="2804"/>
      <c r="C20" s="2804"/>
      <c r="D20" s="2804"/>
      <c r="E20" s="2804"/>
      <c r="F20" s="2804"/>
      <c r="G20" s="2805"/>
      <c r="I20" s="2807" t="s">
        <v>2564</v>
      </c>
      <c r="J20" s="2807" t="s">
        <v>2569</v>
      </c>
      <c r="K20" s="2807"/>
      <c r="L20" s="2807"/>
      <c r="M20" s="2807"/>
    </row>
    <row r="21" spans="1:13">
      <c r="A21" s="2774"/>
      <c r="B21" s="2775" t="s">
        <v>2520</v>
      </c>
      <c r="C21" s="2775" t="s">
        <v>2521</v>
      </c>
      <c r="D21" s="2775" t="s">
        <v>2522</v>
      </c>
      <c r="E21" s="2775" t="s">
        <v>2523</v>
      </c>
      <c r="F21" s="2775" t="s">
        <v>2524</v>
      </c>
      <c r="G21" s="2776" t="s">
        <v>2525</v>
      </c>
      <c r="I21" s="2797">
        <v>5</v>
      </c>
      <c r="J21" s="2797">
        <v>54.2</v>
      </c>
    </row>
    <row r="22" spans="1:13">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M23" s="2797" t="s">
        <v>2568</v>
      </c>
    </row>
    <row r="24" spans="1:13">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M24" s="2797">
        <v>10</v>
      </c>
    </row>
    <row r="25" spans="1:13">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M25" s="2797">
        <v>8</v>
      </c>
    </row>
    <row r="26" spans="1:13">
      <c r="A26" s="2779"/>
      <c r="B26" s="2780"/>
      <c r="C26" s="2780"/>
      <c r="D26" s="2780"/>
      <c r="E26" s="2780"/>
      <c r="F26" s="2780"/>
      <c r="G26" s="2781"/>
      <c r="I26" s="2797">
        <v>30</v>
      </c>
      <c r="J26" s="2797">
        <v>90.5</v>
      </c>
      <c r="K26" s="2797">
        <f t="shared" si="2"/>
        <v>4.2000000000000028</v>
      </c>
      <c r="L26" s="2797" t="s">
        <v>2571</v>
      </c>
      <c r="M26" s="2797">
        <v>5</v>
      </c>
    </row>
    <row r="27" spans="1:13">
      <c r="A27" s="2779" t="s">
        <v>2530</v>
      </c>
      <c r="B27" s="2780"/>
      <c r="C27" s="2780"/>
      <c r="D27" s="2780"/>
      <c r="E27" s="2780"/>
      <c r="F27" s="2780"/>
      <c r="G27" s="2781"/>
      <c r="I27" s="2797">
        <v>35</v>
      </c>
      <c r="J27" s="2797">
        <v>93.8</v>
      </c>
      <c r="K27" s="2797">
        <f t="shared" si="2"/>
        <v>3.2999999999999972</v>
      </c>
      <c r="L27" s="2797" t="s">
        <v>2572</v>
      </c>
      <c r="M27" s="2797">
        <v>3</v>
      </c>
    </row>
    <row r="28" spans="1:13">
      <c r="A28" s="2779" t="s">
        <v>2531</v>
      </c>
      <c r="B28" s="2780"/>
      <c r="C28" s="2780"/>
      <c r="D28" s="2780"/>
      <c r="E28" s="2780"/>
      <c r="F28" s="2780"/>
      <c r="G28" s="2781"/>
      <c r="I28" s="2797">
        <v>40</v>
      </c>
      <c r="J28" s="2797">
        <v>96.4</v>
      </c>
      <c r="K28" s="2797">
        <f t="shared" si="2"/>
        <v>2.6000000000000085</v>
      </c>
      <c r="L28" s="2797" t="s">
        <v>2573</v>
      </c>
      <c r="M28" s="2797">
        <v>2</v>
      </c>
    </row>
    <row r="29" spans="1:13">
      <c r="A29" s="2779" t="s">
        <v>2532</v>
      </c>
      <c r="B29" s="2780"/>
      <c r="C29" s="2780"/>
      <c r="D29" s="2780"/>
      <c r="E29" s="2780"/>
      <c r="F29" s="2780"/>
      <c r="G29" s="2781"/>
      <c r="I29" s="2797">
        <v>45</v>
      </c>
      <c r="J29" s="2797">
        <v>98.4</v>
      </c>
      <c r="K29" s="2797">
        <f t="shared" si="2"/>
        <v>2</v>
      </c>
    </row>
    <row r="30" spans="1:13">
      <c r="A30" s="2779" t="s">
        <v>2533</v>
      </c>
      <c r="B30" s="2780"/>
      <c r="C30" s="2780"/>
      <c r="D30" s="2780"/>
      <c r="E30" s="2780"/>
      <c r="F30" s="2780"/>
      <c r="G30" s="2781"/>
      <c r="I30" s="2797">
        <v>50</v>
      </c>
      <c r="J30" s="2797">
        <v>100</v>
      </c>
      <c r="K30" s="2797">
        <f t="shared" si="2"/>
        <v>1.5999999999999943</v>
      </c>
    </row>
    <row r="31" spans="1:13">
      <c r="A31" s="2779" t="s">
        <v>2534</v>
      </c>
      <c r="B31" s="2780"/>
      <c r="C31" s="2780"/>
      <c r="D31" s="2780"/>
      <c r="E31" s="2780"/>
      <c r="F31" s="2780"/>
      <c r="G31" s="2781"/>
      <c r="I31" s="2797" t="s">
        <v>2565</v>
      </c>
    </row>
    <row r="32" spans="1:13">
      <c r="A32" s="2779" t="s">
        <v>2535</v>
      </c>
      <c r="B32" s="2780"/>
      <c r="C32" s="2780"/>
      <c r="D32" s="2780"/>
      <c r="E32" s="2780"/>
      <c r="F32" s="2780"/>
      <c r="G32" s="2781"/>
    </row>
    <row r="33" spans="1:13">
      <c r="A33" s="2779" t="s">
        <v>2536</v>
      </c>
      <c r="B33" s="2780"/>
      <c r="C33" s="2780"/>
      <c r="D33" s="2780"/>
      <c r="E33" s="2780"/>
      <c r="F33" s="2780"/>
      <c r="G33" s="2781"/>
      <c r="I33" s="2797" t="s">
        <v>2564</v>
      </c>
      <c r="J33" s="2797" t="s">
        <v>2574</v>
      </c>
    </row>
    <row r="34" spans="1:13">
      <c r="A34" s="2779" t="s">
        <v>2537</v>
      </c>
      <c r="B34" s="2780"/>
      <c r="C34" s="2780"/>
      <c r="D34" s="2780"/>
      <c r="E34" s="2780"/>
      <c r="F34" s="2780"/>
      <c r="G34" s="2781"/>
      <c r="I34" s="2797">
        <v>5</v>
      </c>
      <c r="J34" s="2797">
        <v>55.1</v>
      </c>
    </row>
    <row r="35" spans="1:13">
      <c r="A35" s="2779" t="s">
        <v>2538</v>
      </c>
      <c r="B35" s="2780"/>
      <c r="C35" s="2780"/>
      <c r="D35" s="2780"/>
      <c r="E35" s="2780"/>
      <c r="F35" s="2780"/>
      <c r="G35" s="2781"/>
      <c r="I35" s="2797">
        <v>10</v>
      </c>
      <c r="J35" s="2797">
        <v>67</v>
      </c>
      <c r="K35" s="2797">
        <f>J35-J34</f>
        <v>11.899999999999999</v>
      </c>
    </row>
    <row r="36" spans="1:13">
      <c r="A36" s="2779" t="s">
        <v>2539</v>
      </c>
      <c r="B36" s="2780"/>
      <c r="C36" s="2780"/>
      <c r="D36" s="2780"/>
      <c r="E36" s="2780"/>
      <c r="F36" s="2780"/>
      <c r="G36" s="2781"/>
      <c r="I36" s="2797">
        <v>15</v>
      </c>
      <c r="J36" s="2797">
        <v>76.3</v>
      </c>
      <c r="K36" s="2797">
        <f t="shared" ref="K36:K41" si="3">J36-J35</f>
        <v>9.2999999999999972</v>
      </c>
      <c r="L36" s="2797" t="s">
        <v>2567</v>
      </c>
      <c r="M36" s="2797" t="s">
        <v>2568</v>
      </c>
    </row>
    <row r="37" spans="1:13">
      <c r="A37" s="2779" t="s">
        <v>2540</v>
      </c>
      <c r="B37" s="2780"/>
      <c r="C37" s="2780"/>
      <c r="D37" s="2780"/>
      <c r="E37" s="2780"/>
      <c r="F37" s="2780"/>
      <c r="G37" s="2781"/>
      <c r="I37" s="2797">
        <v>20</v>
      </c>
      <c r="J37" s="2797">
        <v>83.6</v>
      </c>
      <c r="K37" s="2797">
        <f t="shared" si="3"/>
        <v>7.2999999999999972</v>
      </c>
      <c r="L37" s="2797" t="s">
        <v>2566</v>
      </c>
      <c r="M37" s="2797">
        <v>10</v>
      </c>
    </row>
    <row r="38" spans="1:13">
      <c r="A38" s="2779" t="s">
        <v>2541</v>
      </c>
      <c r="B38" s="2780"/>
      <c r="C38" s="2780"/>
      <c r="D38" s="2780"/>
      <c r="E38" s="2780"/>
      <c r="F38" s="2780"/>
      <c r="G38" s="2781"/>
      <c r="I38" s="2797">
        <v>25</v>
      </c>
      <c r="J38" s="2797">
        <v>89.3</v>
      </c>
      <c r="K38" s="2797">
        <f t="shared" si="3"/>
        <v>5.7000000000000028</v>
      </c>
      <c r="L38" s="2797" t="s">
        <v>2570</v>
      </c>
      <c r="M38" s="2797">
        <v>8</v>
      </c>
    </row>
    <row r="39" spans="1:13">
      <c r="A39" s="2779"/>
      <c r="B39" s="2780"/>
      <c r="C39" s="2780"/>
      <c r="D39" s="2780"/>
      <c r="E39" s="2780"/>
      <c r="F39" s="2780"/>
      <c r="G39" s="2781"/>
      <c r="I39" s="2797">
        <v>30</v>
      </c>
      <c r="J39" s="2797">
        <v>93.8</v>
      </c>
      <c r="K39" s="2797">
        <f t="shared" si="3"/>
        <v>4.5</v>
      </c>
      <c r="L39" s="2797" t="s">
        <v>2571</v>
      </c>
      <c r="M39" s="2797">
        <v>6</v>
      </c>
    </row>
    <row r="40" spans="1:13">
      <c r="A40" s="2782" t="s">
        <v>2542</v>
      </c>
      <c r="B40" s="2783"/>
      <c r="C40" s="2783"/>
      <c r="D40" s="2783"/>
      <c r="E40" s="2783"/>
      <c r="F40" s="2783"/>
      <c r="G40" s="2784"/>
      <c r="I40" s="2797">
        <v>35</v>
      </c>
      <c r="J40" s="2797">
        <v>97.2</v>
      </c>
      <c r="K40" s="2797">
        <f t="shared" si="3"/>
        <v>3.4000000000000057</v>
      </c>
      <c r="L40" s="2797" t="s">
        <v>2572</v>
      </c>
      <c r="M40" s="2797">
        <v>3</v>
      </c>
    </row>
    <row r="41" spans="1:13">
      <c r="A41" s="2785" t="s">
        <v>2543</v>
      </c>
      <c r="B41" s="2786" t="s">
        <v>2544</v>
      </c>
      <c r="C41" s="2787" t="s">
        <v>2545</v>
      </c>
      <c r="D41" s="2787" t="s">
        <v>2546</v>
      </c>
      <c r="E41" s="2788"/>
      <c r="F41" s="2789"/>
      <c r="G41" s="2790"/>
      <c r="I41" s="2797">
        <v>40</v>
      </c>
      <c r="J41" s="2797">
        <v>100</v>
      </c>
      <c r="K41" s="2797">
        <f t="shared" si="3"/>
        <v>2.7999999999999972</v>
      </c>
    </row>
    <row r="42" spans="1:13">
      <c r="A42" s="2785" t="s">
        <v>2547</v>
      </c>
      <c r="B42" s="2786" t="s">
        <v>2548</v>
      </c>
      <c r="C42" s="2787" t="s">
        <v>2549</v>
      </c>
      <c r="D42" s="2791" t="s">
        <v>2550</v>
      </c>
      <c r="E42" s="2783" t="s">
        <v>2551</v>
      </c>
      <c r="F42" s="2783"/>
      <c r="G42" s="2784"/>
    </row>
    <row r="43" spans="1:13">
      <c r="A43" s="2785" t="s">
        <v>2552</v>
      </c>
      <c r="B43" s="2786" t="s">
        <v>2553</v>
      </c>
      <c r="C43" s="2787" t="s">
        <v>2554</v>
      </c>
      <c r="D43" s="2787" t="s">
        <v>2555</v>
      </c>
      <c r="E43" s="2788" t="s">
        <v>2556</v>
      </c>
      <c r="F43" s="2789"/>
      <c r="G43" s="2790"/>
      <c r="I43" s="2797" t="s">
        <v>2564</v>
      </c>
      <c r="J43" s="2797" t="s">
        <v>2575</v>
      </c>
    </row>
    <row r="44" spans="1:13">
      <c r="A44" s="2785" t="s">
        <v>2557</v>
      </c>
      <c r="B44" s="2786" t="s">
        <v>2558</v>
      </c>
      <c r="C44" s="2787" t="s">
        <v>2559</v>
      </c>
      <c r="D44" s="2791">
        <v>0.5</v>
      </c>
      <c r="E44" s="2788" t="s">
        <v>2560</v>
      </c>
      <c r="F44" s="2789"/>
      <c r="G44" s="2790"/>
      <c r="I44" s="2797">
        <v>30</v>
      </c>
      <c r="J44" s="2797">
        <v>81.7</v>
      </c>
    </row>
    <row r="45" spans="1:13" ht="15" thickBot="1">
      <c r="A45" s="2792" t="s">
        <v>2561</v>
      </c>
      <c r="B45" s="2793" t="s">
        <v>2548</v>
      </c>
      <c r="C45" s="2794" t="s">
        <v>2548</v>
      </c>
      <c r="D45" s="2794" t="s">
        <v>2562</v>
      </c>
      <c r="E45" s="2795" t="s">
        <v>2563</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M17"/>
  <sheetViews>
    <sheetView workbookViewId="0">
      <selection activeCell="M35" sqref="M35"/>
    </sheetView>
  </sheetViews>
  <sheetFormatPr defaultRowHeight="14.4"/>
  <cols>
    <col min="1" max="1" width="12.44140625" customWidth="1"/>
    <col min="2" max="2" width="18" customWidth="1"/>
  </cols>
  <sheetData>
    <row r="1" spans="1:13" ht="15.6">
      <c r="A1" s="1404" t="s">
        <v>3476</v>
      </c>
      <c r="B1" s="3229" t="s">
        <v>3446</v>
      </c>
      <c r="C1" s="3229" t="s">
        <v>3447</v>
      </c>
      <c r="D1" s="3229" t="s">
        <v>3448</v>
      </c>
      <c r="E1" s="3229" t="s">
        <v>3449</v>
      </c>
      <c r="F1" s="3229" t="s">
        <v>3450</v>
      </c>
      <c r="G1" s="3229" t="s">
        <v>3451</v>
      </c>
      <c r="H1" s="3229" t="s">
        <v>3452</v>
      </c>
      <c r="I1" s="3229" t="s">
        <v>3453</v>
      </c>
      <c r="J1" s="3229" t="s">
        <v>3454</v>
      </c>
      <c r="K1" s="3229" t="s">
        <v>3455</v>
      </c>
      <c r="L1" s="3229" t="s">
        <v>3456</v>
      </c>
      <c r="M1" s="3229" t="s">
        <v>3457</v>
      </c>
    </row>
    <row r="2" spans="1:13" ht="15.6">
      <c r="B2" s="3230">
        <v>45462.333831018521</v>
      </c>
      <c r="C2" s="3229" t="s">
        <v>3467</v>
      </c>
      <c r="D2" s="3229" t="s">
        <v>633</v>
      </c>
      <c r="E2" s="3229" t="s">
        <v>633</v>
      </c>
      <c r="F2" s="3229">
        <v>12</v>
      </c>
      <c r="G2" s="3229">
        <v>1201</v>
      </c>
      <c r="H2" s="3229" t="s">
        <v>3468</v>
      </c>
      <c r="I2" s="3229" t="s">
        <v>673</v>
      </c>
      <c r="J2" s="3229" t="s">
        <v>3460</v>
      </c>
      <c r="K2" s="3229">
        <v>624.08000000000004</v>
      </c>
      <c r="L2" s="3229">
        <v>1050</v>
      </c>
      <c r="M2" s="3229">
        <v>16825</v>
      </c>
    </row>
    <row r="3" spans="1:13" ht="15.6">
      <c r="B3" s="3230">
        <v>45218.333831018521</v>
      </c>
      <c r="C3" s="3229" t="s">
        <v>3469</v>
      </c>
      <c r="D3" s="3229" t="s">
        <v>633</v>
      </c>
      <c r="E3" s="3229" t="s">
        <v>633</v>
      </c>
      <c r="F3" s="3229">
        <v>2</v>
      </c>
      <c r="G3" s="3229">
        <v>201</v>
      </c>
      <c r="H3" s="3229" t="s">
        <v>3470</v>
      </c>
      <c r="I3" s="3229" t="s">
        <v>673</v>
      </c>
      <c r="J3" s="3229" t="s">
        <v>3460</v>
      </c>
      <c r="K3" s="3229">
        <v>1642.99</v>
      </c>
      <c r="L3" s="3229">
        <v>3162.84</v>
      </c>
      <c r="M3" s="3229">
        <v>19250</v>
      </c>
    </row>
    <row r="4" spans="1:13" ht="15.6">
      <c r="B4" s="3230">
        <v>45082.333831018521</v>
      </c>
      <c r="C4" s="3229" t="s">
        <v>3465</v>
      </c>
      <c r="D4" s="3229" t="s">
        <v>633</v>
      </c>
      <c r="E4" s="3229" t="s">
        <v>633</v>
      </c>
      <c r="F4" s="3229">
        <v>1</v>
      </c>
      <c r="G4" s="3229">
        <v>101</v>
      </c>
      <c r="H4" s="3229" t="s">
        <v>3471</v>
      </c>
      <c r="I4" s="3229" t="s">
        <v>673</v>
      </c>
      <c r="J4" s="3229" t="s">
        <v>3460</v>
      </c>
      <c r="K4" s="3229">
        <v>11761.1</v>
      </c>
      <c r="L4" s="3229">
        <v>9853</v>
      </c>
      <c r="M4" s="3229">
        <v>8378</v>
      </c>
    </row>
    <row r="5" spans="1:13" s="3161" customFormat="1" ht="15.6">
      <c r="B5" s="3232">
        <v>45076.333831018521</v>
      </c>
      <c r="C5" s="3231" t="s">
        <v>3469</v>
      </c>
      <c r="D5" s="3231" t="s">
        <v>633</v>
      </c>
      <c r="E5" s="3231" t="s">
        <v>633</v>
      </c>
      <c r="F5" s="3231">
        <v>1</v>
      </c>
      <c r="G5" s="3231">
        <v>102</v>
      </c>
      <c r="H5" s="3231" t="s">
        <v>3470</v>
      </c>
      <c r="I5" s="3231" t="s">
        <v>673</v>
      </c>
      <c r="J5" s="3231" t="s">
        <v>3460</v>
      </c>
      <c r="K5" s="3231">
        <v>655.6</v>
      </c>
      <c r="L5" s="3231">
        <v>1455</v>
      </c>
      <c r="M5" s="3231">
        <v>22193</v>
      </c>
    </row>
    <row r="6" spans="1:13" ht="15.6">
      <c r="B6" s="3230">
        <v>44999.333831018521</v>
      </c>
      <c r="C6" s="3229" t="s">
        <v>3467</v>
      </c>
      <c r="D6" s="3229" t="s">
        <v>633</v>
      </c>
      <c r="E6" s="3229" t="s">
        <v>633</v>
      </c>
      <c r="F6" s="3229">
        <v>6</v>
      </c>
      <c r="G6" s="3229">
        <v>601</v>
      </c>
      <c r="H6" s="3229" t="s">
        <v>3468</v>
      </c>
      <c r="I6" s="3229" t="s">
        <v>673</v>
      </c>
      <c r="J6" s="3229" t="s">
        <v>3460</v>
      </c>
      <c r="K6" s="3229">
        <v>624.08000000000004</v>
      </c>
      <c r="L6" s="3229">
        <v>1446.83</v>
      </c>
      <c r="M6" s="3229">
        <v>23183</v>
      </c>
    </row>
    <row r="7" spans="1:13" ht="15.6">
      <c r="B7" s="3230">
        <v>44439.333831018521</v>
      </c>
      <c r="C7" s="3229" t="s">
        <v>3472</v>
      </c>
      <c r="D7" s="3229" t="s">
        <v>633</v>
      </c>
      <c r="E7" s="3229" t="s">
        <v>633</v>
      </c>
      <c r="F7" s="3229">
        <v>1</v>
      </c>
      <c r="G7" s="3229">
        <v>101</v>
      </c>
      <c r="H7" s="3229" t="s">
        <v>3473</v>
      </c>
      <c r="I7" s="3229" t="s">
        <v>673</v>
      </c>
      <c r="J7" s="3229" t="s">
        <v>3460</v>
      </c>
      <c r="K7" s="3229">
        <v>665.36</v>
      </c>
      <c r="L7" s="3229">
        <v>1336</v>
      </c>
      <c r="M7" s="3229">
        <v>20079</v>
      </c>
    </row>
    <row r="8" spans="1:13" ht="15.6">
      <c r="B8" s="3230">
        <v>44439.333831018521</v>
      </c>
      <c r="C8" s="3229" t="s">
        <v>3472</v>
      </c>
      <c r="D8" s="3229" t="s">
        <v>633</v>
      </c>
      <c r="E8" s="3229" t="s">
        <v>633</v>
      </c>
      <c r="F8" s="3229">
        <v>3</v>
      </c>
      <c r="G8" s="3229">
        <v>301</v>
      </c>
      <c r="H8" s="3229" t="s">
        <v>3473</v>
      </c>
      <c r="I8" s="3229" t="s">
        <v>673</v>
      </c>
      <c r="J8" s="3229" t="s">
        <v>3460</v>
      </c>
      <c r="K8" s="3229">
        <v>677.5</v>
      </c>
      <c r="L8" s="3229">
        <v>1360.39</v>
      </c>
      <c r="M8" s="3229">
        <v>20079</v>
      </c>
    </row>
    <row r="9" spans="1:13" ht="15.6">
      <c r="B9" s="3230">
        <v>44439.333831018521</v>
      </c>
      <c r="C9" s="3229" t="s">
        <v>3472</v>
      </c>
      <c r="D9" s="3229" t="s">
        <v>633</v>
      </c>
      <c r="E9" s="3229" t="s">
        <v>633</v>
      </c>
      <c r="F9" s="3229">
        <v>5</v>
      </c>
      <c r="G9" s="3229">
        <v>501</v>
      </c>
      <c r="H9" s="3229" t="s">
        <v>3473</v>
      </c>
      <c r="I9" s="3229" t="s">
        <v>673</v>
      </c>
      <c r="J9" s="3229" t="s">
        <v>3460</v>
      </c>
      <c r="K9" s="3229">
        <v>677.5</v>
      </c>
      <c r="L9" s="3229">
        <v>1360.39</v>
      </c>
      <c r="M9" s="3229">
        <v>20079</v>
      </c>
    </row>
    <row r="10" spans="1:13" ht="15.6">
      <c r="B10" s="3230">
        <v>44439.333831018521</v>
      </c>
      <c r="C10" s="3229" t="s">
        <v>3472</v>
      </c>
      <c r="D10" s="3229" t="s">
        <v>633</v>
      </c>
      <c r="E10" s="3229" t="s">
        <v>633</v>
      </c>
      <c r="F10" s="3229">
        <v>4</v>
      </c>
      <c r="G10" s="3229">
        <v>401</v>
      </c>
      <c r="H10" s="3229" t="s">
        <v>3473</v>
      </c>
      <c r="I10" s="3229" t="s">
        <v>673</v>
      </c>
      <c r="J10" s="3229" t="s">
        <v>3460</v>
      </c>
      <c r="K10" s="3229">
        <v>677.5</v>
      </c>
      <c r="L10" s="3229">
        <v>1360.39</v>
      </c>
      <c r="M10" s="3229">
        <v>20079</v>
      </c>
    </row>
    <row r="11" spans="1:13" ht="15.6">
      <c r="B11" s="3230">
        <v>44439.333831018521</v>
      </c>
      <c r="C11" s="3229" t="s">
        <v>3472</v>
      </c>
      <c r="D11" s="3229" t="s">
        <v>633</v>
      </c>
      <c r="E11" s="3229" t="s">
        <v>633</v>
      </c>
      <c r="F11" s="3229">
        <v>2</v>
      </c>
      <c r="G11" s="3229">
        <v>201</v>
      </c>
      <c r="H11" s="3229" t="s">
        <v>3473</v>
      </c>
      <c r="I11" s="3229" t="s">
        <v>673</v>
      </c>
      <c r="J11" s="3229" t="s">
        <v>3460</v>
      </c>
      <c r="K11" s="3229">
        <v>677.5</v>
      </c>
      <c r="L11" s="3229">
        <v>1360.39</v>
      </c>
      <c r="M11" s="3229">
        <v>20079</v>
      </c>
    </row>
    <row r="12" spans="1:13" ht="15.6">
      <c r="B12" s="3230">
        <v>44257.333831018521</v>
      </c>
      <c r="C12" s="3229" t="s">
        <v>3474</v>
      </c>
      <c r="D12" s="3229" t="s">
        <v>633</v>
      </c>
      <c r="E12" s="3229" t="s">
        <v>633</v>
      </c>
      <c r="F12" s="3229">
        <v>3</v>
      </c>
      <c r="G12" s="3229">
        <v>301</v>
      </c>
      <c r="H12" s="3229" t="s">
        <v>3473</v>
      </c>
      <c r="I12" s="3229" t="s">
        <v>673</v>
      </c>
      <c r="J12" s="3229" t="s">
        <v>3460</v>
      </c>
      <c r="K12" s="3229">
        <v>620.24</v>
      </c>
      <c r="L12" s="3229">
        <v>1605.68</v>
      </c>
      <c r="M12" s="3229">
        <v>25888</v>
      </c>
    </row>
    <row r="13" spans="1:13" ht="15.6">
      <c r="B13" s="3230">
        <v>44257.333831018521</v>
      </c>
      <c r="C13" s="3229" t="s">
        <v>3474</v>
      </c>
      <c r="D13" s="3229" t="s">
        <v>633</v>
      </c>
      <c r="E13" s="3229" t="s">
        <v>633</v>
      </c>
      <c r="F13" s="3229">
        <v>1</v>
      </c>
      <c r="G13" s="3229">
        <v>101</v>
      </c>
      <c r="H13" s="3229" t="s">
        <v>3473</v>
      </c>
      <c r="I13" s="3229" t="s">
        <v>673</v>
      </c>
      <c r="J13" s="3229" t="s">
        <v>3460</v>
      </c>
      <c r="K13" s="3229">
        <v>1155.28</v>
      </c>
      <c r="L13" s="3229">
        <v>3380.97</v>
      </c>
      <c r="M13" s="3229">
        <v>29265</v>
      </c>
    </row>
    <row r="14" spans="1:13" ht="15.6">
      <c r="B14" s="3230">
        <v>44257.333831018521</v>
      </c>
      <c r="C14" s="3229" t="s">
        <v>3474</v>
      </c>
      <c r="D14" s="3229" t="s">
        <v>633</v>
      </c>
      <c r="E14" s="3229" t="s">
        <v>633</v>
      </c>
      <c r="F14" s="3229">
        <v>4</v>
      </c>
      <c r="G14" s="3229">
        <v>401</v>
      </c>
      <c r="H14" s="3229" t="s">
        <v>3473</v>
      </c>
      <c r="I14" s="3229" t="s">
        <v>673</v>
      </c>
      <c r="J14" s="3229" t="s">
        <v>3460</v>
      </c>
      <c r="K14" s="3229">
        <v>620.24</v>
      </c>
      <c r="L14" s="3229">
        <v>1605.68</v>
      </c>
      <c r="M14" s="3229">
        <v>25888</v>
      </c>
    </row>
    <row r="15" spans="1:13" ht="15.6">
      <c r="B15" s="3230">
        <v>44257.333831018521</v>
      </c>
      <c r="C15" s="3229" t="s">
        <v>3474</v>
      </c>
      <c r="D15" s="3229" t="s">
        <v>633</v>
      </c>
      <c r="E15" s="3229" t="s">
        <v>633</v>
      </c>
      <c r="F15" s="3229">
        <v>5</v>
      </c>
      <c r="G15" s="3229">
        <v>501</v>
      </c>
      <c r="H15" s="3229" t="s">
        <v>3473</v>
      </c>
      <c r="I15" s="3229" t="s">
        <v>673</v>
      </c>
      <c r="J15" s="3229" t="s">
        <v>3460</v>
      </c>
      <c r="K15" s="3229">
        <v>620.24</v>
      </c>
      <c r="L15" s="3229">
        <v>1605.68</v>
      </c>
      <c r="M15" s="3229">
        <v>25888</v>
      </c>
    </row>
    <row r="16" spans="1:13" ht="15.6">
      <c r="B16" s="3230">
        <v>44195.333831018521</v>
      </c>
      <c r="C16" s="3229" t="s">
        <v>3475</v>
      </c>
      <c r="D16" s="3229" t="s">
        <v>633</v>
      </c>
      <c r="E16" s="3229" t="s">
        <v>633</v>
      </c>
      <c r="F16" s="3229">
        <v>1</v>
      </c>
      <c r="G16" s="3229">
        <v>103</v>
      </c>
      <c r="H16" s="3229" t="s">
        <v>3473</v>
      </c>
      <c r="I16" s="3229" t="s">
        <v>673</v>
      </c>
      <c r="J16" s="3229" t="s">
        <v>3460</v>
      </c>
      <c r="K16" s="3229">
        <v>591.49</v>
      </c>
      <c r="L16" s="3229">
        <v>1548.52</v>
      </c>
      <c r="M16" s="3229">
        <v>26179</v>
      </c>
    </row>
    <row r="17" spans="2:13" ht="15.6">
      <c r="B17" s="3230">
        <v>44114.333831018521</v>
      </c>
      <c r="C17" s="3229" t="s">
        <v>3475</v>
      </c>
      <c r="D17" s="3229" t="s">
        <v>633</v>
      </c>
      <c r="E17" s="3229" t="s">
        <v>633</v>
      </c>
      <c r="F17" s="3229">
        <v>1</v>
      </c>
      <c r="G17" s="3229">
        <v>101</v>
      </c>
      <c r="H17" s="3229" t="s">
        <v>3473</v>
      </c>
      <c r="I17" s="3229" t="s">
        <v>673</v>
      </c>
      <c r="J17" s="3229" t="s">
        <v>3460</v>
      </c>
      <c r="K17" s="3229">
        <v>605.66999999999996</v>
      </c>
      <c r="L17" s="3229">
        <v>1847.29</v>
      </c>
      <c r="M17" s="3229">
        <v>30500</v>
      </c>
    </row>
  </sheetData>
  <mergeCells count="204">
    <mergeCell ref="K17"/>
    <mergeCell ref="L17"/>
    <mergeCell ref="M17"/>
    <mergeCell ref="B17"/>
    <mergeCell ref="C17"/>
    <mergeCell ref="D17"/>
    <mergeCell ref="E17"/>
    <mergeCell ref="F17"/>
    <mergeCell ref="G17"/>
    <mergeCell ref="H17"/>
    <mergeCell ref="I17"/>
    <mergeCell ref="J17"/>
    <mergeCell ref="K15"/>
    <mergeCell ref="L15"/>
    <mergeCell ref="M15"/>
    <mergeCell ref="B16"/>
    <mergeCell ref="C16"/>
    <mergeCell ref="D16"/>
    <mergeCell ref="E16"/>
    <mergeCell ref="F16"/>
    <mergeCell ref="G16"/>
    <mergeCell ref="H16"/>
    <mergeCell ref="I16"/>
    <mergeCell ref="J16"/>
    <mergeCell ref="K16"/>
    <mergeCell ref="L16"/>
    <mergeCell ref="M16"/>
    <mergeCell ref="B15"/>
    <mergeCell ref="C15"/>
    <mergeCell ref="D15"/>
    <mergeCell ref="E15"/>
    <mergeCell ref="F15"/>
    <mergeCell ref="G15"/>
    <mergeCell ref="H15"/>
    <mergeCell ref="I15"/>
    <mergeCell ref="J15"/>
    <mergeCell ref="K13"/>
    <mergeCell ref="L13"/>
    <mergeCell ref="M13"/>
    <mergeCell ref="B14"/>
    <mergeCell ref="C14"/>
    <mergeCell ref="D14"/>
    <mergeCell ref="E14"/>
    <mergeCell ref="F14"/>
    <mergeCell ref="G14"/>
    <mergeCell ref="H14"/>
    <mergeCell ref="I14"/>
    <mergeCell ref="J14"/>
    <mergeCell ref="K14"/>
    <mergeCell ref="L14"/>
    <mergeCell ref="M14"/>
    <mergeCell ref="B13"/>
    <mergeCell ref="C13"/>
    <mergeCell ref="D13"/>
    <mergeCell ref="E13"/>
    <mergeCell ref="F13"/>
    <mergeCell ref="G13"/>
    <mergeCell ref="H13"/>
    <mergeCell ref="I13"/>
    <mergeCell ref="J13"/>
    <mergeCell ref="K11"/>
    <mergeCell ref="L11"/>
    <mergeCell ref="M11"/>
    <mergeCell ref="B12"/>
    <mergeCell ref="C12"/>
    <mergeCell ref="D12"/>
    <mergeCell ref="E12"/>
    <mergeCell ref="F12"/>
    <mergeCell ref="G12"/>
    <mergeCell ref="H12"/>
    <mergeCell ref="I12"/>
    <mergeCell ref="J12"/>
    <mergeCell ref="K12"/>
    <mergeCell ref="L12"/>
    <mergeCell ref="M12"/>
    <mergeCell ref="B11"/>
    <mergeCell ref="C11"/>
    <mergeCell ref="D11"/>
    <mergeCell ref="E11"/>
    <mergeCell ref="F11"/>
    <mergeCell ref="G11"/>
    <mergeCell ref="H11"/>
    <mergeCell ref="I11"/>
    <mergeCell ref="J11"/>
    <mergeCell ref="K9"/>
    <mergeCell ref="L9"/>
    <mergeCell ref="M9"/>
    <mergeCell ref="B10"/>
    <mergeCell ref="C10"/>
    <mergeCell ref="D10"/>
    <mergeCell ref="E10"/>
    <mergeCell ref="F10"/>
    <mergeCell ref="G10"/>
    <mergeCell ref="H10"/>
    <mergeCell ref="I10"/>
    <mergeCell ref="J10"/>
    <mergeCell ref="K10"/>
    <mergeCell ref="L10"/>
    <mergeCell ref="M10"/>
    <mergeCell ref="B9"/>
    <mergeCell ref="C9"/>
    <mergeCell ref="D9"/>
    <mergeCell ref="E9"/>
    <mergeCell ref="F9"/>
    <mergeCell ref="G9"/>
    <mergeCell ref="H9"/>
    <mergeCell ref="I9"/>
    <mergeCell ref="J9"/>
    <mergeCell ref="K7"/>
    <mergeCell ref="L7"/>
    <mergeCell ref="M7"/>
    <mergeCell ref="B8"/>
    <mergeCell ref="C8"/>
    <mergeCell ref="D8"/>
    <mergeCell ref="E8"/>
    <mergeCell ref="F8"/>
    <mergeCell ref="G8"/>
    <mergeCell ref="H8"/>
    <mergeCell ref="I8"/>
    <mergeCell ref="J8"/>
    <mergeCell ref="K8"/>
    <mergeCell ref="L8"/>
    <mergeCell ref="M8"/>
    <mergeCell ref="B7"/>
    <mergeCell ref="C7"/>
    <mergeCell ref="D7"/>
    <mergeCell ref="E7"/>
    <mergeCell ref="F7"/>
    <mergeCell ref="G7"/>
    <mergeCell ref="H7"/>
    <mergeCell ref="I7"/>
    <mergeCell ref="J7"/>
    <mergeCell ref="K5"/>
    <mergeCell ref="L5"/>
    <mergeCell ref="M5"/>
    <mergeCell ref="B6"/>
    <mergeCell ref="C6"/>
    <mergeCell ref="D6"/>
    <mergeCell ref="E6"/>
    <mergeCell ref="F6"/>
    <mergeCell ref="G6"/>
    <mergeCell ref="H6"/>
    <mergeCell ref="I6"/>
    <mergeCell ref="J6"/>
    <mergeCell ref="K6"/>
    <mergeCell ref="L6"/>
    <mergeCell ref="M6"/>
    <mergeCell ref="B5"/>
    <mergeCell ref="C5"/>
    <mergeCell ref="D5"/>
    <mergeCell ref="E5"/>
    <mergeCell ref="F5"/>
    <mergeCell ref="G5"/>
    <mergeCell ref="H5"/>
    <mergeCell ref="I5"/>
    <mergeCell ref="J5"/>
    <mergeCell ref="K3"/>
    <mergeCell ref="L3"/>
    <mergeCell ref="M3"/>
    <mergeCell ref="B4"/>
    <mergeCell ref="C4"/>
    <mergeCell ref="D4"/>
    <mergeCell ref="E4"/>
    <mergeCell ref="F4"/>
    <mergeCell ref="G4"/>
    <mergeCell ref="H4"/>
    <mergeCell ref="I4"/>
    <mergeCell ref="J4"/>
    <mergeCell ref="K4"/>
    <mergeCell ref="L4"/>
    <mergeCell ref="M4"/>
    <mergeCell ref="B3"/>
    <mergeCell ref="C3"/>
    <mergeCell ref="D3"/>
    <mergeCell ref="E3"/>
    <mergeCell ref="F3"/>
    <mergeCell ref="G3"/>
    <mergeCell ref="H3"/>
    <mergeCell ref="I3"/>
    <mergeCell ref="J3"/>
    <mergeCell ref="K1"/>
    <mergeCell ref="L1"/>
    <mergeCell ref="M1"/>
    <mergeCell ref="B2"/>
    <mergeCell ref="C2"/>
    <mergeCell ref="D2"/>
    <mergeCell ref="E2"/>
    <mergeCell ref="F2"/>
    <mergeCell ref="G2"/>
    <mergeCell ref="H2"/>
    <mergeCell ref="I2"/>
    <mergeCell ref="J2"/>
    <mergeCell ref="K2"/>
    <mergeCell ref="L2"/>
    <mergeCell ref="M2"/>
    <mergeCell ref="B1"/>
    <mergeCell ref="C1"/>
    <mergeCell ref="D1"/>
    <mergeCell ref="E1"/>
    <mergeCell ref="F1"/>
    <mergeCell ref="G1"/>
    <mergeCell ref="H1"/>
    <mergeCell ref="I1"/>
    <mergeCell ref="J1"/>
  </mergeCells>
  <phoneticPr fontId="13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tabColor rgb="FFFFFF00"/>
    <pageSetUpPr fitToPage="1"/>
  </sheetPr>
  <dimension ref="A1:AD56"/>
  <sheetViews>
    <sheetView view="pageBreakPreview" zoomScaleNormal="100" zoomScaleSheetLayoutView="100" workbookViewId="0">
      <selection activeCell="D14" sqref="D14"/>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11" customWidth="1"/>
    <col min="12" max="13" width="10" style="2412"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2168</v>
      </c>
      <c r="B1" s="3240" t="str">
        <f>IF(B10="北京市","北京市",C10)&amp;F10&amp;IF(结果表1号!G1="在建","出让国有建设用地使用权及在建建筑物",IF(结果表1号!G1="土地","出让国有建设用地使用权",))&amp;B9&amp;"预评估"</f>
        <v>北京市延庆县燕水佳园14号楼1至2层1号、2号预评估</v>
      </c>
      <c r="C1" s="3241"/>
      <c r="D1" s="3241"/>
      <c r="E1" s="3241"/>
      <c r="F1" s="3241"/>
      <c r="G1" s="3241"/>
      <c r="H1" s="3241"/>
      <c r="I1" s="3242"/>
      <c r="J1" s="2243"/>
      <c r="K1" s="2182"/>
      <c r="L1" s="2183"/>
      <c r="M1" s="2183"/>
      <c r="N1" s="2181"/>
      <c r="O1" s="1465"/>
      <c r="P1" s="2181"/>
      <c r="Q1" s="2181"/>
      <c r="R1" s="2181"/>
      <c r="S1" s="1560" t="str">
        <f>IF(B10="北京市","北京市",C10)&amp;F10&amp;IF(结果表1号!G1="在建","出让国有建设用地使用权及在建建筑物房地产抵押价值",IF(结果表1号!G1="土地","出让国有建设用地使用权抵押价值",B9))</f>
        <v>北京市延庆县燕水佳园14号楼1至2层1号、2号</v>
      </c>
      <c r="T1" s="1617"/>
      <c r="U1" s="1617"/>
      <c r="V1" s="1617"/>
      <c r="W1" s="1617"/>
      <c r="X1" s="1617"/>
      <c r="Y1" s="1617"/>
      <c r="Z1" s="1617"/>
      <c r="AA1" s="1617"/>
      <c r="AB1" s="1617"/>
    </row>
    <row r="2" spans="1:30">
      <c r="A2" s="2181" t="s">
        <v>2169</v>
      </c>
      <c r="B2" s="121"/>
      <c r="D2" s="2445"/>
      <c r="E2" s="2439"/>
      <c r="F2" s="2439"/>
      <c r="G2" s="2440"/>
      <c r="H2" s="2440"/>
      <c r="I2" s="2440"/>
      <c r="J2" s="2243"/>
      <c r="K2" s="2182"/>
      <c r="L2" s="2183"/>
      <c r="M2" s="2183"/>
      <c r="N2" s="2181"/>
      <c r="O2" s="1465"/>
      <c r="P2" s="2181"/>
      <c r="Q2" s="2181"/>
      <c r="R2" s="2181"/>
      <c r="S2" s="1560" t="str">
        <f>IF(B10="北京市","北京市",C10)&amp;F10&amp;IF(结果表1号!G1="在建","出让国有建设用地使用权及在建建筑物房地产",IF(结果表1号!G1="土地","出让国有建设用地使用权","房地产"))</f>
        <v>北京市延庆县燕水佳园14号楼1至2层1号、2号房地产</v>
      </c>
      <c r="T2" s="1617"/>
      <c r="U2" s="1617"/>
      <c r="V2" s="1617"/>
      <c r="W2" s="1617"/>
      <c r="X2" s="1617"/>
      <c r="Y2" s="1617"/>
      <c r="Z2" s="1617"/>
      <c r="AA2" s="1617"/>
      <c r="AB2" s="1617"/>
    </row>
    <row r="3" spans="1:30">
      <c r="A3" s="293" t="s">
        <v>2170</v>
      </c>
      <c r="B3" s="2184">
        <v>45562</v>
      </c>
      <c r="C3" s="2185" t="s">
        <v>2171</v>
      </c>
      <c r="D3" s="2184">
        <f>B3</f>
        <v>45562</v>
      </c>
      <c r="E3" s="2440"/>
      <c r="F3" s="2440"/>
      <c r="G3" s="2440"/>
      <c r="H3" s="2440"/>
      <c r="I3" s="2440"/>
      <c r="J3" s="2243"/>
      <c r="K3" s="2182"/>
      <c r="L3" s="2183"/>
      <c r="M3" s="2183"/>
      <c r="N3" s="2181"/>
      <c r="O3" s="1465"/>
      <c r="P3" s="2181"/>
      <c r="Q3" s="2181"/>
      <c r="R3" s="2181"/>
      <c r="S3" s="1560"/>
      <c r="T3" s="1617"/>
      <c r="U3" s="1617"/>
      <c r="V3" s="1617"/>
      <c r="W3" s="1617"/>
      <c r="X3" s="1617"/>
      <c r="Y3" s="1617"/>
      <c r="Z3" s="1617"/>
      <c r="AA3" s="1617"/>
      <c r="AB3" s="1617"/>
    </row>
    <row r="4" spans="1:30" ht="13.8" thickBot="1">
      <c r="A4" s="1026"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3"/>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8" thickTop="1">
      <c r="A5" s="2189" t="s">
        <v>2173</v>
      </c>
      <c r="B5" s="2190"/>
      <c r="C5" s="2191"/>
      <c r="D5" s="2192"/>
      <c r="E5" s="2440"/>
      <c r="F5" s="2440"/>
      <c r="G5" s="2440"/>
      <c r="H5" s="2440"/>
      <c r="I5" s="2440"/>
      <c r="J5" s="2243"/>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39"/>
      <c r="F6" s="2440"/>
      <c r="G6" s="2440"/>
      <c r="H6" s="2440"/>
      <c r="I6" s="2440"/>
      <c r="J6" s="2243"/>
      <c r="K6" s="2399" t="str">
        <f>IF(COUNTIF(B6,"*上海银行*"),"上海银行","")</f>
        <v/>
      </c>
      <c r="L6" s="2397"/>
      <c r="M6" s="2397"/>
      <c r="N6" s="2243"/>
      <c r="O6" s="1669"/>
      <c r="P6" s="2243"/>
      <c r="Q6" s="2243"/>
      <c r="R6" s="2243"/>
    </row>
    <row r="7" spans="1:30">
      <c r="A7" s="2193" t="s">
        <v>2175</v>
      </c>
      <c r="B7" s="2197"/>
      <c r="C7" s="2195"/>
      <c r="D7" s="2196"/>
      <c r="E7" s="2439"/>
      <c r="F7" s="2440"/>
      <c r="G7" s="2440"/>
      <c r="H7" s="2440"/>
      <c r="I7" s="2440"/>
      <c r="J7" s="2243"/>
      <c r="K7" s="2400"/>
      <c r="L7" s="2397"/>
      <c r="M7" s="2397"/>
      <c r="N7" s="2243"/>
      <c r="O7" s="1669"/>
      <c r="P7" s="2243"/>
      <c r="Q7" s="2243"/>
      <c r="R7" s="2243"/>
    </row>
    <row r="8" spans="1:30">
      <c r="A8" s="2198" t="s">
        <v>2176</v>
      </c>
      <c r="B8" s="2199"/>
      <c r="C8" s="2200"/>
      <c r="D8" s="3243" t="s">
        <v>2177</v>
      </c>
      <c r="E8" s="2201"/>
      <c r="F8" s="2202"/>
      <c r="G8" s="2440"/>
      <c r="H8" s="2440"/>
      <c r="I8" s="2440"/>
      <c r="J8" s="2243"/>
      <c r="K8" s="2398"/>
      <c r="L8" s="2397"/>
      <c r="M8" s="2397"/>
      <c r="N8" s="2243"/>
      <c r="O8" s="1669"/>
      <c r="P8" s="2243"/>
      <c r="Q8" s="2243"/>
      <c r="R8" s="2243"/>
    </row>
    <row r="9" spans="1:30" ht="13.8" thickBot="1">
      <c r="A9" s="2203" t="s">
        <v>2178</v>
      </c>
      <c r="B9" s="2204"/>
      <c r="C9" s="2205"/>
      <c r="D9" s="3244"/>
      <c r="E9" s="2204"/>
      <c r="F9" s="2206"/>
      <c r="G9" s="2441"/>
      <c r="H9" s="2441"/>
      <c r="I9" s="2441"/>
      <c r="J9" s="2243"/>
      <c r="K9" s="2400"/>
      <c r="L9" s="2397"/>
      <c r="M9" s="2397"/>
      <c r="N9" s="2243"/>
      <c r="O9" s="1669"/>
      <c r="P9" s="2243"/>
      <c r="Q9" s="2243"/>
      <c r="R9" s="2243"/>
    </row>
    <row r="10" spans="1:30" ht="13.8" thickTop="1">
      <c r="A10" s="2207" t="s">
        <v>2179</v>
      </c>
      <c r="B10" s="2208" t="s">
        <v>3381</v>
      </c>
      <c r="C10" s="2209"/>
      <c r="D10" s="2192"/>
      <c r="E10" s="2210" t="s">
        <v>2180</v>
      </c>
      <c r="F10" s="3142" t="s">
        <v>3383</v>
      </c>
      <c r="G10" s="2442"/>
      <c r="H10" s="2443"/>
      <c r="I10" s="2444"/>
      <c r="J10" s="2243"/>
      <c r="K10" s="2400"/>
      <c r="L10" s="2397"/>
      <c r="M10" s="2397"/>
      <c r="N10" s="2243"/>
      <c r="O10" s="1669"/>
      <c r="P10" s="2243"/>
      <c r="Q10" s="2243"/>
      <c r="R10" s="2243"/>
    </row>
    <row r="11" spans="1:30" ht="24">
      <c r="A11" s="2211" t="s">
        <v>2181</v>
      </c>
      <c r="B11" s="2212" t="s">
        <v>3382</v>
      </c>
      <c r="C11" s="3143" t="s">
        <v>3385</v>
      </c>
      <c r="D11" s="2213"/>
      <c r="E11" s="2181"/>
      <c r="F11" s="2181"/>
      <c r="G11" s="2181"/>
      <c r="H11" s="2181"/>
      <c r="I11" s="2181"/>
      <c r="J11" s="2799"/>
      <c r="K11" s="2397"/>
      <c r="L11" s="2397"/>
      <c r="M11" s="2397"/>
      <c r="N11" s="2243"/>
      <c r="O11" s="1669"/>
      <c r="P11" s="2243"/>
      <c r="Q11" s="2243"/>
      <c r="R11" s="2243"/>
    </row>
    <row r="12" spans="1:30">
      <c r="A12" s="2214" t="s">
        <v>2182</v>
      </c>
      <c r="B12" s="314" t="s">
        <v>2183</v>
      </c>
      <c r="C12" s="2215" t="s">
        <v>2184</v>
      </c>
      <c r="D12" s="2215" t="s">
        <v>2185</v>
      </c>
      <c r="E12" s="2215" t="s">
        <v>2186</v>
      </c>
      <c r="F12" s="2215" t="s">
        <v>2187</v>
      </c>
      <c r="G12" s="2215" t="s">
        <v>2188</v>
      </c>
      <c r="H12" s="2215" t="s">
        <v>2189</v>
      </c>
      <c r="I12" s="2798" t="s">
        <v>2576</v>
      </c>
      <c r="J12" s="2800"/>
      <c r="K12" s="2397"/>
      <c r="L12" s="2397"/>
      <c r="M12" s="2243"/>
      <c r="N12" s="1669"/>
      <c r="O12" s="2243"/>
      <c r="P12" s="2243"/>
      <c r="Q12" s="2243"/>
      <c r="AD12" s="1617"/>
    </row>
    <row r="13" spans="1:30">
      <c r="A13" s="3119" t="s">
        <v>3331</v>
      </c>
      <c r="B13" s="2216" t="s">
        <v>2190</v>
      </c>
      <c r="C13" s="802"/>
      <c r="D13" s="3181">
        <v>51769</v>
      </c>
      <c r="E13" s="802"/>
      <c r="F13" s="802"/>
      <c r="G13" s="802"/>
      <c r="H13" s="802"/>
      <c r="I13" s="802"/>
      <c r="J13" s="2800"/>
      <c r="K13" s="2397"/>
      <c r="L13" s="2397"/>
      <c r="M13" s="2243"/>
      <c r="N13" s="1669"/>
      <c r="O13" s="2243"/>
      <c r="P13" s="2243"/>
      <c r="Q13" s="2243"/>
      <c r="AD13" s="1617"/>
    </row>
    <row r="14" spans="1:30">
      <c r="A14" s="1017"/>
      <c r="B14" s="2216" t="s">
        <v>2191</v>
      </c>
      <c r="C14" s="2217"/>
      <c r="D14" s="2217">
        <v>40</v>
      </c>
      <c r="E14" s="2217"/>
      <c r="F14" s="2217"/>
      <c r="G14" s="2217"/>
      <c r="H14" s="2217"/>
      <c r="I14" s="2217"/>
      <c r="J14" s="2801"/>
      <c r="K14" s="2397"/>
      <c r="L14" s="2397"/>
      <c r="M14" s="2243"/>
      <c r="N14" s="1669"/>
      <c r="O14" s="2243"/>
      <c r="P14" s="2243"/>
      <c r="Q14" s="2243"/>
      <c r="AD14" s="1617"/>
    </row>
    <row r="15" spans="1:30">
      <c r="A15" s="311"/>
      <c r="B15" s="2218" t="s">
        <v>2192</v>
      </c>
      <c r="C15" s="2219" t="str">
        <f>IF(A13="出让",IF(C13="","",ROUNDDOWN(MIN((C13-$D$3)/365,C14),2)),C14)</f>
        <v/>
      </c>
      <c r="D15" s="2219">
        <f>IF(A13="出让",IF(D13="","",ROUNDDOWN(MIN((D13-$D$3)/365,D14),2)),D14)</f>
        <v>17</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2"/>
      <c r="K15" s="1669"/>
      <c r="L15" s="1669"/>
      <c r="M15" s="2243"/>
      <c r="N15" s="1669"/>
      <c r="O15" s="2243"/>
      <c r="P15" s="2243"/>
      <c r="Q15" s="2243"/>
      <c r="AD15" s="1617"/>
    </row>
    <row r="16" spans="1:30">
      <c r="A16" s="2210" t="s">
        <v>2193</v>
      </c>
      <c r="B16" s="3250" t="s">
        <v>3384</v>
      </c>
      <c r="C16" s="3251"/>
      <c r="D16" s="3252"/>
      <c r="E16" s="2220" t="s">
        <v>2194</v>
      </c>
      <c r="F16" s="3253">
        <f>D15</f>
        <v>17</v>
      </c>
      <c r="G16" s="3254"/>
      <c r="H16" s="3254"/>
      <c r="I16" s="3255"/>
      <c r="J16" s="2243"/>
      <c r="K16" s="2401"/>
      <c r="L16" s="1669"/>
      <c r="M16" s="1669"/>
      <c r="N16" s="2243"/>
      <c r="O16" s="1669"/>
      <c r="P16" s="2243"/>
      <c r="Q16" s="2243"/>
      <c r="R16" s="2243"/>
    </row>
    <row r="17" spans="1:28">
      <c r="A17" s="304" t="s">
        <v>2195</v>
      </c>
      <c r="B17" s="293" t="s">
        <v>2196</v>
      </c>
      <c r="C17" s="8">
        <f>'数据-汇总表'!E3</f>
        <v>312.66000000000003</v>
      </c>
      <c r="D17" s="1255" t="s">
        <v>2197</v>
      </c>
      <c r="E17" s="3256" t="s">
        <v>2198</v>
      </c>
      <c r="F17" s="3257"/>
      <c r="G17" s="3257"/>
      <c r="H17" s="3257"/>
      <c r="I17" s="3258"/>
      <c r="J17" s="2243"/>
      <c r="K17" s="2402"/>
      <c r="L17" s="1669"/>
      <c r="M17" s="1669"/>
      <c r="N17" s="2243"/>
      <c r="O17" s="1669"/>
      <c r="P17" s="2243"/>
      <c r="Q17" s="2243"/>
      <c r="R17" s="2243"/>
      <c r="S17" s="2243"/>
      <c r="T17" s="2243"/>
      <c r="U17" s="2243"/>
      <c r="V17" s="2243"/>
    </row>
    <row r="18" spans="1:28" ht="24.6" thickBot="1">
      <c r="A18" s="2221" t="s">
        <v>2199</v>
      </c>
      <c r="B18" s="1026" t="s">
        <v>2200</v>
      </c>
      <c r="C18" s="2222">
        <f>'数据-汇总表'!D3</f>
        <v>0</v>
      </c>
      <c r="D18" s="1028" t="s">
        <v>2201</v>
      </c>
      <c r="E18" s="3259" t="s">
        <v>2202</v>
      </c>
      <c r="F18" s="3260"/>
      <c r="G18" s="3260"/>
      <c r="H18" s="3260"/>
      <c r="I18" s="3261"/>
      <c r="J18" s="2243"/>
      <c r="K18" s="2402"/>
      <c r="L18" s="1669"/>
      <c r="M18" s="1669"/>
      <c r="N18" s="2243"/>
      <c r="O18" s="1669"/>
      <c r="P18" s="2243"/>
      <c r="Q18" s="2243"/>
      <c r="R18" s="2243"/>
      <c r="S18" s="2243"/>
      <c r="T18" s="2243"/>
      <c r="U18" s="2243"/>
      <c r="V18" s="2243"/>
    </row>
    <row r="19" spans="1:28" ht="37.200000000000003" thickTop="1" thickBot="1">
      <c r="A19" s="318" t="s">
        <v>1055</v>
      </c>
      <c r="B19" s="298" t="s">
        <v>2203</v>
      </c>
      <c r="C19" s="1454" t="s">
        <v>3386</v>
      </c>
      <c r="D19" s="1455" t="s">
        <v>2204</v>
      </c>
      <c r="E19" s="1456"/>
      <c r="F19" s="1457" t="str">
        <f>IF(AND(C19="是",E19="否"),"是否提供他项权证或相关说明","")</f>
        <v/>
      </c>
      <c r="G19" s="1458"/>
      <c r="H19" s="2440"/>
      <c r="I19" s="2440"/>
      <c r="J19" s="2243"/>
      <c r="K19" s="2400"/>
      <c r="L19" s="2397"/>
      <c r="M19" s="2397"/>
      <c r="N19" s="2243"/>
      <c r="O19" s="1669"/>
      <c r="P19" s="2243"/>
      <c r="Q19" s="2243"/>
      <c r="R19" s="2243"/>
      <c r="S19" s="2243"/>
      <c r="T19" s="2243"/>
      <c r="U19" s="2243"/>
      <c r="V19" s="2243"/>
    </row>
    <row r="20" spans="1:28">
      <c r="A20" s="2415" t="s">
        <v>2205</v>
      </c>
      <c r="B20" s="3246" t="s">
        <v>2206</v>
      </c>
      <c r="C20" s="3247"/>
      <c r="D20" s="3248" t="s">
        <v>2207</v>
      </c>
      <c r="E20" s="3249"/>
      <c r="F20" s="2428" t="s">
        <v>1056</v>
      </c>
      <c r="G20" s="2440"/>
      <c r="H20" s="2440"/>
      <c r="I20" s="2440"/>
      <c r="J20" s="2243"/>
      <c r="K20" s="3245"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5"/>
      <c r="P20" s="2181"/>
      <c r="Q20" s="2181"/>
      <c r="R20" s="2181"/>
      <c r="S20" s="2181"/>
      <c r="T20" s="2181"/>
      <c r="U20" s="2181"/>
      <c r="V20" s="2181"/>
      <c r="W20" s="1617"/>
      <c r="X20" s="1617"/>
      <c r="Y20" s="1617"/>
      <c r="Z20" s="1617"/>
      <c r="AA20" s="1617"/>
      <c r="AB20" s="1617"/>
    </row>
    <row r="21" spans="1:28" ht="36.6" thickBot="1">
      <c r="A21" s="2415"/>
      <c r="B21" s="2416" t="s">
        <v>2209</v>
      </c>
      <c r="C21" s="2294" t="s">
        <v>1057</v>
      </c>
      <c r="D21" s="1459" t="s">
        <v>2210</v>
      </c>
      <c r="E21" s="2417" t="s">
        <v>1057</v>
      </c>
      <c r="F21" s="2429"/>
      <c r="G21" s="2440"/>
      <c r="H21" s="2440"/>
      <c r="I21" s="2440"/>
      <c r="J21" s="2243"/>
      <c r="K21" s="3245"/>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36.6" thickBot="1">
      <c r="A22" s="2415"/>
      <c r="B22" s="2418" t="s">
        <v>2211</v>
      </c>
      <c r="C22" s="2294" t="s">
        <v>1058</v>
      </c>
      <c r="D22" s="2440"/>
      <c r="E22" s="2440"/>
      <c r="F22" s="2440"/>
      <c r="G22" s="2440"/>
      <c r="H22" s="2440"/>
      <c r="I22" s="2440"/>
      <c r="J22" s="2243"/>
      <c r="K22" s="3245"/>
      <c r="L22" s="645" t="str">
        <f>IF(E19="否","",IF(结果表1号!D36="同一抵押权人同一抵押物续贷","由于本次评估为同一抵押权人的续贷房地产抵押估价，故未将已抵押担保的债权数额（"&amp;C26&amp;"）作为法定优先受偿款予以扣减。",IF(结果表1号!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9" t="s">
        <v>2212</v>
      </c>
      <c r="B23" s="2291" t="s">
        <v>2213</v>
      </c>
      <c r="C23" s="2420"/>
      <c r="D23" s="2421" t="s">
        <v>2213</v>
      </c>
      <c r="E23" s="2422"/>
      <c r="F23" s="2440"/>
      <c r="G23" s="2440"/>
      <c r="H23" s="2440"/>
      <c r="I23" s="2440"/>
      <c r="J23" s="2243"/>
      <c r="K23" s="2399"/>
      <c r="L23" s="120"/>
      <c r="M23" s="2397"/>
      <c r="N23" s="2243"/>
      <c r="O23" s="1669"/>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0"/>
      <c r="M24" s="2397"/>
      <c r="N24" s="2243"/>
      <c r="O24" s="1669"/>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69"/>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69"/>
      <c r="P26" s="2243"/>
      <c r="Q26" s="2243"/>
      <c r="R26" s="2243"/>
      <c r="S26" s="2243"/>
      <c r="T26" s="2243"/>
      <c r="U26" s="2243"/>
      <c r="V26" s="2243"/>
    </row>
    <row r="27" spans="1:28" ht="13.8" thickTop="1">
      <c r="A27" s="3234" t="s">
        <v>2214</v>
      </c>
      <c r="B27" s="311" t="s">
        <v>2215</v>
      </c>
      <c r="C27" s="2223" t="s">
        <v>3387</v>
      </c>
      <c r="D27" s="2224"/>
      <c r="E27" s="2440"/>
      <c r="F27" s="2440"/>
      <c r="G27" s="2440"/>
      <c r="H27" s="2440"/>
      <c r="I27" s="2440"/>
      <c r="J27" s="2243"/>
      <c r="K27" s="2401"/>
      <c r="L27" s="1669"/>
      <c r="M27" s="1669"/>
      <c r="N27" s="2243"/>
      <c r="O27" s="1669"/>
      <c r="P27" s="2243"/>
      <c r="Q27" s="2243"/>
      <c r="R27" s="2243"/>
      <c r="S27" s="2243"/>
      <c r="T27" s="2243"/>
      <c r="U27" s="2243"/>
      <c r="V27" s="2243"/>
    </row>
    <row r="28" spans="1:28">
      <c r="A28" s="3234"/>
      <c r="B28" s="293" t="s">
        <v>2216</v>
      </c>
      <c r="C28" s="2225"/>
      <c r="D28" s="2226"/>
      <c r="E28" s="2440"/>
      <c r="F28" s="2440"/>
      <c r="G28" s="2440"/>
      <c r="H28" s="2440"/>
      <c r="I28" s="2440"/>
      <c r="J28" s="2243"/>
      <c r="K28" s="2400"/>
      <c r="L28" s="2397"/>
      <c r="M28" s="2397"/>
      <c r="N28" s="2243"/>
      <c r="O28" s="1669"/>
      <c r="P28" s="2243"/>
      <c r="Q28" s="2243"/>
      <c r="R28" s="2243"/>
      <c r="S28" s="2243"/>
      <c r="T28" s="2243"/>
      <c r="U28" s="2243"/>
      <c r="V28" s="2243"/>
    </row>
    <row r="29" spans="1:28">
      <c r="A29" s="3234"/>
      <c r="B29" s="293" t="s">
        <v>2217</v>
      </c>
      <c r="C29" s="2227"/>
      <c r="D29" s="2228"/>
      <c r="E29" s="2440"/>
      <c r="F29" s="2440"/>
      <c r="G29" s="2440"/>
      <c r="H29" s="2440"/>
      <c r="I29" s="2440"/>
      <c r="J29" s="2243"/>
      <c r="K29" s="2400"/>
      <c r="L29" s="2397"/>
      <c r="M29" s="2397"/>
      <c r="N29" s="2243"/>
      <c r="O29" s="1669"/>
      <c r="P29" s="2243"/>
      <c r="Q29" s="2243"/>
      <c r="R29" s="2243"/>
      <c r="S29" s="2243"/>
      <c r="T29" s="2243"/>
      <c r="U29" s="2243"/>
      <c r="V29" s="2243"/>
    </row>
    <row r="30" spans="1:28">
      <c r="A30" s="3235"/>
      <c r="B30" s="293" t="s">
        <v>2218</v>
      </c>
      <c r="C30" s="3236"/>
      <c r="D30" s="3237"/>
      <c r="E30" s="2440"/>
      <c r="F30" s="2440"/>
      <c r="G30" s="2440"/>
      <c r="H30" s="2440"/>
      <c r="I30" s="2440"/>
      <c r="J30" s="2243"/>
      <c r="K30" s="2400"/>
      <c r="L30" s="2397"/>
      <c r="M30" s="2397"/>
      <c r="N30" s="2243"/>
      <c r="O30" s="1669"/>
      <c r="P30" s="2243"/>
      <c r="Q30" s="2243"/>
      <c r="R30" s="2243"/>
      <c r="S30" s="2243"/>
      <c r="T30" s="2243"/>
      <c r="U30" s="2243"/>
      <c r="V30" s="2243"/>
    </row>
    <row r="31" spans="1:28">
      <c r="A31" s="3238" t="s">
        <v>2219</v>
      </c>
      <c r="B31" s="2229" t="s">
        <v>3388</v>
      </c>
      <c r="C31" s="12" t="str">
        <f>IF(B31="现房","成新及维护状况正常否",IF(B31="在建","工程状态是否正常",IF(B31="土地","是否闲置","-")))</f>
        <v>成新及维护状况正常否</v>
      </c>
      <c r="D31" s="1280"/>
      <c r="E31" s="2230"/>
      <c r="F31" s="2440"/>
      <c r="G31" s="2440"/>
      <c r="H31" s="2440"/>
      <c r="I31" s="2440"/>
      <c r="J31" s="2243"/>
      <c r="K31" s="2399"/>
      <c r="L31" s="2397"/>
      <c r="M31" s="2397"/>
      <c r="N31" s="2243"/>
      <c r="O31" s="1669"/>
      <c r="P31" s="2243"/>
      <c r="Q31" s="2243"/>
      <c r="R31" s="2243"/>
      <c r="S31" s="2243"/>
      <c r="T31" s="2243"/>
      <c r="U31" s="2243"/>
      <c r="V31" s="2243"/>
    </row>
    <row r="32" spans="1:28">
      <c r="A32" s="3239"/>
      <c r="B32" s="2229"/>
      <c r="C32" s="12" t="str">
        <f>IF(B32="现房","成新及维护状况是否正常",IF(B32="在建","工程状态是否正常",IF(B32="土地","是否闲置","-")))</f>
        <v>-</v>
      </c>
      <c r="D32" s="1280"/>
      <c r="E32" s="2230"/>
      <c r="F32" s="2440"/>
      <c r="G32" s="2440"/>
      <c r="H32" s="2440"/>
      <c r="I32" s="2440"/>
      <c r="J32" s="2243"/>
      <c r="K32" s="2400"/>
      <c r="L32" s="2397"/>
      <c r="M32" s="2397"/>
      <c r="N32" s="2243"/>
      <c r="O32" s="1669"/>
      <c r="P32" s="2243"/>
      <c r="Q32" s="2243"/>
      <c r="R32" s="2243"/>
      <c r="S32" s="2243"/>
      <c r="T32" s="2243"/>
      <c r="U32" s="2243"/>
      <c r="V32" s="2243"/>
    </row>
    <row r="33" spans="1:30">
      <c r="A33" s="3239"/>
      <c r="B33" s="2232"/>
      <c r="C33" s="1477" t="str">
        <f>IF(B33="现房","成新及维护状况是否正常",IF(B33="在建","工程状态是否正常",IF(B33="土地","是否闲置","-")))</f>
        <v>-</v>
      </c>
      <c r="D33" s="1273"/>
      <c r="E33" s="2233"/>
      <c r="F33" s="2440"/>
      <c r="G33" s="2440"/>
      <c r="H33" s="2440"/>
      <c r="I33" s="2440"/>
      <c r="J33" s="2243"/>
      <c r="K33" s="2400"/>
      <c r="L33" s="2397"/>
      <c r="M33" s="2397"/>
      <c r="N33" s="2243"/>
      <c r="O33" s="1669"/>
      <c r="P33" s="2243"/>
      <c r="Q33" s="2243"/>
      <c r="R33" s="2243"/>
      <c r="S33" s="2243"/>
      <c r="T33" s="2243"/>
      <c r="U33" s="2243"/>
      <c r="V33" s="2243"/>
    </row>
    <row r="34" spans="1:30">
      <c r="A34" s="293" t="s">
        <v>2220</v>
      </c>
      <c r="B34" s="1869"/>
      <c r="C34" s="1869"/>
      <c r="D34" s="1869"/>
      <c r="E34" s="1869"/>
      <c r="F34" s="1869"/>
      <c r="G34" s="1869"/>
      <c r="H34" s="1869"/>
      <c r="I34" s="2440"/>
      <c r="J34" s="2243"/>
      <c r="K34" s="8">
        <f>COUNTIF(B34:H34,"——")</f>
        <v>0</v>
      </c>
      <c r="L34" s="314" t="s">
        <v>2221</v>
      </c>
      <c r="M34" s="314" t="s">
        <v>2222</v>
      </c>
      <c r="N34" s="314" t="s">
        <v>2223</v>
      </c>
      <c r="O34" s="314" t="s">
        <v>2224</v>
      </c>
      <c r="P34" s="314" t="s">
        <v>2225</v>
      </c>
      <c r="Q34" s="314" t="s">
        <v>2226</v>
      </c>
      <c r="R34" s="314" t="s">
        <v>2227</v>
      </c>
      <c r="S34" s="3233" t="s">
        <v>2228</v>
      </c>
      <c r="T34" s="314" t="str">
        <f>NUMBERSTRING(7-K34,1)&amp;"通"</f>
        <v>七通</v>
      </c>
      <c r="U34" s="2243"/>
      <c r="V34" s="2243"/>
    </row>
    <row r="35" spans="1:30">
      <c r="A35" s="2234"/>
      <c r="B35" s="3233" t="s">
        <v>2229</v>
      </c>
      <c r="C35" s="3233"/>
      <c r="D35" s="3233"/>
      <c r="E35" s="3233"/>
      <c r="F35" s="8">
        <f>C10</f>
        <v>0</v>
      </c>
      <c r="G35" s="2440"/>
      <c r="H35" s="2440"/>
      <c r="I35" s="2440"/>
      <c r="J35" s="2243"/>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33"/>
      <c r="T35" s="137" t="str">
        <f>IF(T34="一通",L35,IF(T34="二通",M35,IF(T34="三通",N35,IF(T34="四通",O35,IF(T34="五通",P35,IF(T34="六通",Q35,R35))))))</f>
        <v>、、、、、、</v>
      </c>
      <c r="U35" s="2243"/>
      <c r="V35" s="2243"/>
    </row>
    <row r="36" spans="1:30">
      <c r="A36" s="2182"/>
      <c r="B36" s="8" t="s">
        <v>2185</v>
      </c>
      <c r="C36" s="8" t="s">
        <v>2186</v>
      </c>
      <c r="D36" s="8" t="s">
        <v>2184</v>
      </c>
      <c r="E36" s="8" t="s">
        <v>2189</v>
      </c>
      <c r="F36" s="2798" t="s">
        <v>2579</v>
      </c>
      <c r="G36" s="2440"/>
      <c r="H36" s="2440"/>
      <c r="I36" s="2440"/>
      <c r="J36" s="2243"/>
      <c r="K36" s="2400"/>
      <c r="L36" s="2397"/>
      <c r="M36" s="2397"/>
      <c r="N36" s="2243"/>
      <c r="O36" s="1669"/>
      <c r="P36" s="2243"/>
      <c r="Q36" s="2243"/>
      <c r="R36" s="2243"/>
      <c r="S36" s="2243"/>
      <c r="T36" s="2243"/>
      <c r="U36" s="2243"/>
      <c r="V36" s="2243"/>
    </row>
    <row r="37" spans="1:30">
      <c r="A37" s="2413" t="s">
        <v>2230</v>
      </c>
      <c r="B37" s="2235" t="s">
        <v>306</v>
      </c>
      <c r="C37" s="2235"/>
      <c r="D37" s="2235"/>
      <c r="E37" s="2235"/>
      <c r="F37" s="2235"/>
      <c r="G37" s="2440"/>
      <c r="H37" s="2440"/>
      <c r="I37" s="2440"/>
      <c r="J37" s="2243"/>
      <c r="K37" s="2400"/>
      <c r="L37" s="2397"/>
      <c r="M37" s="2397"/>
      <c r="N37" s="2243"/>
      <c r="O37" s="1669"/>
      <c r="P37" s="2243"/>
      <c r="Q37" s="2243"/>
      <c r="R37" s="2243"/>
      <c r="S37" s="2243"/>
      <c r="T37" s="2243"/>
      <c r="U37" s="2243"/>
      <c r="V37" s="2243"/>
    </row>
    <row r="38" spans="1:30" ht="13.8" thickBot="1">
      <c r="A38" s="2414" t="s">
        <v>2231</v>
      </c>
      <c r="B38" s="2236" t="s">
        <v>2995</v>
      </c>
      <c r="C38" s="2236"/>
      <c r="D38" s="2236"/>
      <c r="E38" s="2236"/>
      <c r="F38" s="2236"/>
      <c r="G38" s="2441"/>
      <c r="H38" s="2441"/>
      <c r="I38" s="2441"/>
      <c r="J38" s="2243"/>
      <c r="K38" s="2400"/>
      <c r="L38" s="2397"/>
      <c r="M38" s="2397"/>
      <c r="N38" s="2243"/>
      <c r="O38" s="1669"/>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5"/>
      <c r="J40" s="2243"/>
      <c r="K40" s="2399"/>
      <c r="L40" s="1669"/>
      <c r="M40" s="1669"/>
      <c r="N40" s="2243"/>
      <c r="O40" s="1669"/>
      <c r="P40" s="2243"/>
      <c r="Q40" s="2243"/>
      <c r="R40" s="2243"/>
      <c r="S40" s="2243"/>
      <c r="T40" s="2243"/>
      <c r="U40" s="2243"/>
      <c r="V40" s="2243"/>
    </row>
    <row r="41" spans="1:30">
      <c r="A41" s="2240" t="s">
        <v>2233</v>
      </c>
      <c r="B41" s="1626"/>
      <c r="C41" s="1280"/>
      <c r="D41" s="2181"/>
      <c r="E41" s="2181"/>
      <c r="F41" s="2181"/>
      <c r="G41" s="2181"/>
      <c r="H41" s="2181"/>
      <c r="I41" s="1465"/>
      <c r="J41" s="2243"/>
      <c r="K41" s="2400"/>
      <c r="L41" s="2397"/>
      <c r="M41" s="2397"/>
      <c r="N41" s="2243"/>
      <c r="O41" s="1669"/>
      <c r="P41" s="2243"/>
      <c r="Q41" s="2243"/>
      <c r="R41" s="2243"/>
      <c r="S41" s="2243"/>
      <c r="T41" s="2243"/>
      <c r="U41" s="2243"/>
      <c r="V41" s="2243"/>
    </row>
    <row r="42" spans="1:30" ht="25.2">
      <c r="A42" s="314"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5" customFormat="1">
      <c r="A43" s="1461"/>
      <c r="B43" s="627"/>
      <c r="C43" s="627"/>
      <c r="D43" s="627"/>
      <c r="E43" s="627"/>
      <c r="F43" s="627"/>
      <c r="G43" s="627"/>
      <c r="H43" s="627"/>
      <c r="I43" s="627"/>
      <c r="J43" s="2241"/>
      <c r="K43" s="2242"/>
      <c r="L43" s="2242"/>
      <c r="M43" s="627"/>
      <c r="N43" s="627"/>
      <c r="O43" s="627"/>
      <c r="P43" s="627"/>
      <c r="Q43" s="627"/>
      <c r="R43" s="627"/>
      <c r="S43" s="2243"/>
      <c r="T43" s="2243"/>
      <c r="U43" s="2243"/>
      <c r="V43" s="2243"/>
    </row>
    <row r="44" spans="1:30" s="1615" customFormat="1">
      <c r="A44" s="1461"/>
      <c r="B44" s="1461"/>
      <c r="C44" s="627"/>
      <c r="D44" s="627"/>
      <c r="E44" s="627"/>
      <c r="F44" s="627"/>
      <c r="G44" s="627"/>
      <c r="H44" s="627"/>
      <c r="I44" s="627"/>
      <c r="J44" s="2241"/>
      <c r="K44" s="2242"/>
      <c r="L44" s="2242"/>
      <c r="M44" s="627"/>
      <c r="N44" s="627"/>
      <c r="O44" s="627"/>
      <c r="P44" s="627"/>
      <c r="Q44" s="627"/>
      <c r="R44" s="627"/>
      <c r="S44" s="2243"/>
      <c r="T44" s="2243"/>
      <c r="U44" s="2243"/>
      <c r="V44" s="2243"/>
    </row>
    <row r="45" spans="1:30" s="1615" customFormat="1">
      <c r="A45" s="1461"/>
      <c r="B45" s="1461"/>
      <c r="C45" s="627"/>
      <c r="D45" s="627"/>
      <c r="E45" s="627"/>
      <c r="F45" s="627"/>
      <c r="G45" s="627"/>
      <c r="H45" s="627"/>
      <c r="I45" s="627"/>
      <c r="J45" s="2241"/>
      <c r="K45" s="2242"/>
      <c r="L45" s="2242"/>
      <c r="M45" s="627"/>
      <c r="N45" s="627"/>
      <c r="O45" s="627"/>
      <c r="P45" s="627"/>
      <c r="Q45" s="627"/>
      <c r="R45" s="627"/>
      <c r="S45" s="2243"/>
      <c r="T45" s="2243"/>
      <c r="U45" s="2243"/>
      <c r="V45" s="2243"/>
    </row>
    <row r="46" spans="1:30" s="1615" customFormat="1">
      <c r="A46" s="1461"/>
      <c r="B46" s="1461"/>
      <c r="C46" s="627"/>
      <c r="D46" s="627"/>
      <c r="E46" s="627"/>
      <c r="F46" s="627"/>
      <c r="G46" s="627"/>
      <c r="H46" s="627"/>
      <c r="I46" s="627"/>
      <c r="J46" s="2241"/>
      <c r="K46" s="2242"/>
      <c r="L46" s="2242"/>
      <c r="M46" s="627"/>
      <c r="N46" s="627"/>
      <c r="O46" s="627"/>
      <c r="P46" s="627"/>
      <c r="Q46" s="627"/>
      <c r="R46" s="627"/>
      <c r="S46" s="2243"/>
      <c r="T46" s="2243"/>
      <c r="U46" s="2243"/>
      <c r="V46" s="2243"/>
    </row>
    <row r="47" spans="1:30" s="1615" customFormat="1">
      <c r="A47" s="1461"/>
      <c r="B47" s="1461"/>
      <c r="C47" s="627"/>
      <c r="D47" s="627"/>
      <c r="E47" s="627"/>
      <c r="F47" s="627"/>
      <c r="G47" s="627"/>
      <c r="H47" s="627"/>
      <c r="I47" s="627"/>
      <c r="J47" s="2241"/>
      <c r="K47" s="2242"/>
      <c r="L47" s="2242"/>
      <c r="M47" s="627"/>
      <c r="N47" s="627"/>
      <c r="O47" s="627"/>
      <c r="P47" s="627"/>
      <c r="Q47" s="627"/>
      <c r="R47" s="627"/>
      <c r="S47" s="2243"/>
      <c r="T47" s="2243"/>
      <c r="U47" s="2243"/>
      <c r="V47" s="2243"/>
    </row>
    <row r="48" spans="1:30" s="1615" customFormat="1">
      <c r="A48" s="1461"/>
      <c r="B48" s="1461"/>
      <c r="C48" s="627"/>
      <c r="D48" s="627"/>
      <c r="E48" s="627"/>
      <c r="F48" s="627"/>
      <c r="G48" s="627"/>
      <c r="H48" s="627"/>
      <c r="I48" s="627"/>
      <c r="J48" s="2241"/>
      <c r="K48" s="2242"/>
      <c r="L48" s="2242"/>
      <c r="M48" s="627"/>
      <c r="N48" s="627"/>
      <c r="O48" s="627"/>
      <c r="P48" s="627"/>
      <c r="Q48" s="627"/>
      <c r="R48" s="627"/>
      <c r="S48" s="2243"/>
      <c r="T48" s="2243"/>
      <c r="U48" s="2243"/>
      <c r="V48" s="2243"/>
    </row>
    <row r="49" spans="1:22" s="1615" customFormat="1">
      <c r="A49" s="1461"/>
      <c r="B49" s="1461"/>
      <c r="C49" s="627"/>
      <c r="D49" s="627"/>
      <c r="E49" s="627"/>
      <c r="F49" s="627"/>
      <c r="G49" s="627"/>
      <c r="H49" s="627"/>
      <c r="I49" s="627"/>
      <c r="J49" s="2241"/>
      <c r="K49" s="2242"/>
      <c r="L49" s="2242"/>
      <c r="M49" s="627"/>
      <c r="N49" s="627"/>
      <c r="O49" s="627"/>
      <c r="P49" s="627"/>
      <c r="Q49" s="627"/>
      <c r="R49" s="627"/>
      <c r="S49" s="2243"/>
      <c r="T49" s="2243"/>
      <c r="U49" s="2243"/>
      <c r="V49" s="2243"/>
    </row>
    <row r="50" spans="1:22" s="1615" customFormat="1">
      <c r="A50" s="1461"/>
      <c r="B50" s="1461"/>
      <c r="C50" s="627"/>
      <c r="D50" s="627"/>
      <c r="E50" s="627"/>
      <c r="F50" s="627"/>
      <c r="G50" s="627"/>
      <c r="H50" s="627"/>
      <c r="I50" s="627"/>
      <c r="J50" s="2241"/>
      <c r="K50" s="2242"/>
      <c r="L50" s="2242"/>
      <c r="M50" s="627"/>
      <c r="N50" s="627"/>
      <c r="O50" s="627"/>
      <c r="P50" s="627"/>
      <c r="Q50" s="627"/>
      <c r="R50" s="627"/>
      <c r="S50" s="2243"/>
      <c r="T50" s="2243"/>
      <c r="U50" s="2243"/>
      <c r="V50" s="2243"/>
    </row>
    <row r="51" spans="1:22" s="1615" customFormat="1">
      <c r="A51" s="1461"/>
      <c r="B51" s="1461"/>
      <c r="C51" s="627"/>
      <c r="D51" s="627"/>
      <c r="E51" s="627"/>
      <c r="F51" s="627"/>
      <c r="G51" s="627"/>
      <c r="H51" s="627"/>
      <c r="I51" s="627"/>
      <c r="J51" s="2241"/>
      <c r="K51" s="2242"/>
      <c r="L51" s="2242"/>
      <c r="M51" s="627"/>
      <c r="N51" s="627"/>
      <c r="O51" s="627"/>
      <c r="P51" s="627"/>
      <c r="Q51" s="627"/>
      <c r="R51" s="627"/>
    </row>
    <row r="52" spans="1:22" s="1615" customFormat="1">
      <c r="A52" s="1461"/>
      <c r="B52" s="1461"/>
      <c r="C52" s="1461"/>
      <c r="D52" s="1461"/>
      <c r="E52" s="1461"/>
      <c r="F52" s="627"/>
      <c r="G52" s="1461"/>
      <c r="H52" s="1461"/>
      <c r="I52" s="1461"/>
      <c r="J52" s="2244"/>
      <c r="K52" s="2242"/>
      <c r="L52" s="2242"/>
      <c r="M52" s="2242"/>
      <c r="N52" s="1461"/>
      <c r="O52" s="1461"/>
      <c r="P52" s="1461"/>
      <c r="Q52" s="1461"/>
      <c r="R52" s="1461"/>
    </row>
    <row r="53" spans="1:22" s="1615" customFormat="1">
      <c r="A53" s="1461"/>
      <c r="B53" s="1461"/>
      <c r="C53" s="1461"/>
      <c r="D53" s="1461"/>
      <c r="E53" s="1461"/>
      <c r="F53" s="627"/>
      <c r="G53" s="1461"/>
      <c r="H53" s="1461"/>
      <c r="I53" s="1461"/>
      <c r="J53" s="2244"/>
      <c r="K53" s="2242"/>
      <c r="L53" s="2242"/>
      <c r="M53" s="2242"/>
      <c r="N53" s="1461"/>
      <c r="O53" s="1461"/>
      <c r="P53" s="1461"/>
      <c r="Q53" s="1461"/>
      <c r="R53" s="1461"/>
    </row>
    <row r="54" spans="1:22" s="1615" customFormat="1">
      <c r="A54" s="1461"/>
      <c r="B54" s="1461"/>
      <c r="C54" s="1461"/>
      <c r="D54" s="1461"/>
      <c r="E54" s="1461"/>
      <c r="F54" s="627"/>
      <c r="G54" s="1461"/>
      <c r="H54" s="1461"/>
      <c r="I54" s="1461"/>
      <c r="J54" s="2244"/>
      <c r="K54" s="2242"/>
      <c r="L54" s="2242"/>
      <c r="M54" s="2242"/>
      <c r="N54" s="1461"/>
      <c r="O54" s="1461"/>
      <c r="P54" s="1461"/>
      <c r="Q54" s="1461"/>
      <c r="R54" s="1461"/>
    </row>
    <row r="55" spans="1:22" s="1615" customFormat="1">
      <c r="A55" s="1461"/>
      <c r="B55" s="1461"/>
      <c r="C55" s="1461"/>
      <c r="D55" s="1461"/>
      <c r="E55" s="1461"/>
      <c r="F55" s="627"/>
      <c r="G55" s="1461"/>
      <c r="H55" s="1461"/>
      <c r="I55" s="1461"/>
      <c r="J55" s="2244"/>
      <c r="K55" s="2242"/>
      <c r="L55" s="2242"/>
      <c r="M55" s="2242"/>
      <c r="N55" s="1461"/>
      <c r="O55" s="1461"/>
      <c r="P55" s="1461"/>
      <c r="Q55" s="1461"/>
      <c r="R55" s="1461"/>
    </row>
    <row r="56" spans="1:22" s="1615" customFormat="1">
      <c r="A56" s="1461"/>
      <c r="B56" s="1461"/>
      <c r="C56" s="1461"/>
      <c r="D56" s="1461"/>
      <c r="E56" s="1461"/>
      <c r="F56" s="627"/>
      <c r="G56" s="1461"/>
      <c r="H56" s="1461"/>
      <c r="I56" s="1461"/>
      <c r="J56" s="2244"/>
      <c r="K56" s="2242"/>
      <c r="L56" s="2242"/>
      <c r="M56" s="2242"/>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C00-000000000000}">
      <formula1>"自然人,企业"</formula1>
    </dataValidation>
    <dataValidation type="list" allowBlank="1" showInputMessage="1" showErrorMessage="1" sqref="B10" xr:uid="{00000000-0002-0000-0C00-000001000000}">
      <formula1>"北京市,其他："</formula1>
    </dataValidation>
    <dataValidation type="list" allowBlank="1" showInputMessage="1" showErrorMessage="1" sqref="C27" xr:uid="{00000000-0002-0000-0C00-000002000000}">
      <formula1>"居住项目,商业项目,办公项目,工业项目,综合项目（居住、综合）,综合项目（商业、办公）"</formula1>
    </dataValidation>
    <dataValidation type="list" allowBlank="1" showInputMessage="1" showErrorMessage="1" sqref="C29" xr:uid="{00000000-0002-0000-0C00-000003000000}">
      <formula1>"否,全部为保障性住房,含保障性住房"</formula1>
    </dataValidation>
    <dataValidation type="list" allowBlank="1" showInputMessage="1" showErrorMessage="1" sqref="C28" xr:uid="{00000000-0002-0000-0C00-000004000000}">
      <formula1>"无,低密度住宅,商场,酒店,旅游地产,仓储物流,高新技术产业用地,其他特殊："</formula1>
    </dataValidation>
    <dataValidation type="list" showInputMessage="1" showErrorMessage="1" sqref="B31:B33" xr:uid="{00000000-0002-0000-0C00-000005000000}">
      <formula1>"现房,在建,土地,-"</formula1>
    </dataValidation>
    <dataValidation type="list" allowBlank="1" showInputMessage="1" showErrorMessage="1" sqref="B37:F37" xr:uid="{00000000-0002-0000-0C00-000006000000}">
      <formula1>土地级别</formula1>
    </dataValidation>
    <dataValidation type="list" allowBlank="1" showInputMessage="1" showErrorMessage="1" sqref="E38" xr:uid="{00000000-0002-0000-0C00-000007000000}">
      <formula1>INDIRECT($E$37)</formula1>
    </dataValidation>
    <dataValidation type="list" allowBlank="1" showInputMessage="1" showErrorMessage="1" sqref="B38" xr:uid="{00000000-0002-0000-0C00-000008000000}">
      <formula1>INDIRECT(B37)</formula1>
    </dataValidation>
    <dataValidation type="list" allowBlank="1" showInputMessage="1" showErrorMessage="1" sqref="C38" xr:uid="{00000000-0002-0000-0C00-000009000000}">
      <formula1>INDIRECT($C$37)</formula1>
    </dataValidation>
    <dataValidation type="list" allowBlank="1" showInputMessage="1" showErrorMessage="1" sqref="D38" xr:uid="{00000000-0002-0000-0C00-00000A000000}">
      <formula1>INDIRECT($D$37)</formula1>
    </dataValidation>
    <dataValidation type="list" allowBlank="1" showInputMessage="1" showErrorMessage="1" sqref="B9" xr:uid="{00000000-0002-0000-0C00-00000B000000}">
      <formula1>"房地产抵押价值,房地产市场价值"</formula1>
    </dataValidation>
    <dataValidation type="list" allowBlank="1" showInputMessage="1" showErrorMessage="1" sqref="B8" xr:uid="{00000000-0002-0000-0C00-00000C000000}">
      <formula1>"抵押,核定资产,出让"</formula1>
    </dataValidation>
    <dataValidation type="list" allowBlank="1" showInputMessage="1" showErrorMessage="1" sqref="H4 B4 F4 D4" xr:uid="{00000000-0002-0000-0C00-00000D000000}">
      <formula1>注册房地产估价师</formula1>
    </dataValidation>
    <dataValidation type="list" allowBlank="1" showInputMessage="1" showErrorMessage="1" sqref="E8" xr:uid="{00000000-0002-0000-0C00-00000E000000}">
      <formula1>价值类型2</formula1>
    </dataValidation>
    <dataValidation type="list" allowBlank="1" showInputMessage="1" showErrorMessage="1" sqref="E9" xr:uid="{00000000-0002-0000-0C00-00000F000000}">
      <formula1>"抵押净值,——"</formula1>
    </dataValidation>
    <dataValidation type="list" allowBlank="1" showInputMessage="1" showErrorMessage="1" sqref="B34:H34" xr:uid="{00000000-0002-0000-0C00-000010000000}">
      <formula1>七通一平</formula1>
    </dataValidation>
    <dataValidation type="list" allowBlank="1" showInputMessage="1" showErrorMessage="1" sqref="C19 E19 G19" xr:uid="{00000000-0002-0000-0C00-000011000000}">
      <formula1>估价范围判定</formula1>
    </dataValidation>
    <dataValidation type="list" allowBlank="1" showInputMessage="1" showErrorMessage="1" sqref="B21:B22" xr:uid="{00000000-0002-0000-0C00-000012000000}">
      <formula1>"《房屋所有权证》,《国有土地使用证》,《不动产权证书》,——"</formula1>
    </dataValidation>
    <dataValidation type="list" allowBlank="1" showInputMessage="1" showErrorMessage="1" sqref="C21:C22 E21" xr:uid="{00000000-0002-0000-0C00-000013000000}">
      <formula1>"原件,复印件,——"</formula1>
    </dataValidation>
    <dataValidation type="list" allowBlank="1" showInputMessage="1" showErrorMessage="1" sqref="A13" xr:uid="{00000000-0002-0000-0C00-000014000000}">
      <formula1>"出让,划拨"</formula1>
    </dataValidation>
    <dataValidation type="list" allowBlank="1" showInputMessage="1" showErrorMessage="1" sqref="C14:I14" xr:uid="{00000000-0002-0000-0C00-000015000000}">
      <formula1>法定最高年限</formula1>
    </dataValidation>
    <dataValidation type="list" allowBlank="1" showInputMessage="1" showErrorMessage="1" sqref="A18" xr:uid="{00000000-0002-0000-0C00-000016000000}">
      <formula1>"建筑与土地面积依据相同,——"</formula1>
    </dataValidation>
    <dataValidation type="list" allowBlank="1" showInputMessage="1" showErrorMessage="1" sqref="F38" xr:uid="{00000000-0002-0000-0C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P17" sqref="P17"/>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c r="B3" s="11">
        <f>IF(C3="否",G5-AT5,G5)</f>
        <v>312.66000000000003</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312.66000000000003</v>
      </c>
      <c r="H5" s="13">
        <f t="shared" ref="H5:AT5" si="0">SUM(H13:H656)</f>
        <v>312.66000000000003</v>
      </c>
      <c r="I5" s="13">
        <f t="shared" si="0"/>
        <v>312.66000000000003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312.66000000000003</v>
      </c>
      <c r="BA5" s="15">
        <f t="shared" si="1"/>
        <v>312.66000000000003</v>
      </c>
      <c r="BB5" s="15">
        <f t="shared" si="1"/>
        <v>312.66000000000003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6"/>
      <c r="H9" s="1489" t="s">
        <v>1091</v>
      </c>
      <c r="I9" s="1490" t="s">
        <v>3390</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3.2">
      <c r="A10" s="1481"/>
      <c r="B10" s="1481"/>
      <c r="C10" s="1481"/>
      <c r="D10" s="1481"/>
      <c r="E10" s="1481"/>
      <c r="F10" s="1481"/>
      <c r="G10" s="1006"/>
      <c r="H10" s="25"/>
      <c r="I10" s="1490" t="s">
        <v>673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627"/>
      <c r="B13" s="627"/>
      <c r="C13" s="627" t="s">
        <v>3389</v>
      </c>
      <c r="D13" s="1512" t="s">
        <v>3386</v>
      </c>
      <c r="E13" s="13">
        <f>IF($C$3="是",ROUND($A$3*G13/$B$3,2),ROUND($A$3*(G13-AT13)/$B$3,2))</f>
        <v>0</v>
      </c>
      <c r="F13" s="29"/>
      <c r="G13" s="30">
        <f>H13+AC13+AT13</f>
        <v>156.33000000000001</v>
      </c>
      <c r="H13" s="17">
        <f>SUMIF(I$12:AB$12,"总值",I13:AB13)</f>
        <v>156.33000000000001</v>
      </c>
      <c r="I13" s="1513">
        <v>156.33000000000001</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1号</v>
      </c>
      <c r="AY13" s="1259">
        <f>ROUND($AY$6*AZ13/$AZ$5,2)</f>
        <v>0</v>
      </c>
      <c r="AZ13" s="13">
        <f>BA13+BL13</f>
        <v>156.33000000000001</v>
      </c>
      <c r="BA13" s="13">
        <f>SUM(BB13:BK13)</f>
        <v>156.33000000000001</v>
      </c>
      <c r="BB13" s="13">
        <f>IF($D13="是",I13-J13,0)</f>
        <v>156.33000000000001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7"/>
      <c r="B14" s="627"/>
      <c r="C14" s="1461" t="s">
        <v>3391</v>
      </c>
      <c r="D14" s="1512" t="s">
        <v>3386</v>
      </c>
      <c r="E14" s="13">
        <f>IF($C$3="是",ROUND($A$3*G14/$B$3,2),ROUND($A$3*(G14-AT14)/$B$3,2))</f>
        <v>0</v>
      </c>
      <c r="F14" s="29"/>
      <c r="G14" s="30">
        <f>H14+AC14+AT14</f>
        <v>156.33000000000001</v>
      </c>
      <c r="H14" s="17">
        <f>SUMIF(I$12:AB$12,"总值",I14:AB14)</f>
        <v>156.33000000000001</v>
      </c>
      <c r="I14" s="1513">
        <v>156.33000000000001</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t="str">
        <f t="shared" si="6"/>
        <v>2号</v>
      </c>
      <c r="AY14" s="1259">
        <f>ROUND($AY$6*AZ14/$AZ$5,2)</f>
        <v>0</v>
      </c>
      <c r="AZ14" s="13">
        <f>BA14+BL14</f>
        <v>156.33000000000001</v>
      </c>
      <c r="BA14" s="13">
        <f>SUM(BB14:BK14)</f>
        <v>156.33000000000001</v>
      </c>
      <c r="BB14" s="13">
        <f>IF($D14="是",I14-J14,0)</f>
        <v>156.33000000000001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Normal="100" zoomScaleSheetLayoutView="70" workbookViewId="0">
      <selection activeCell="F21" sqref="F21"/>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0"/>
      <c r="C1" s="1070"/>
      <c r="D1" s="1070"/>
      <c r="E1" s="1070"/>
      <c r="F1" s="1070"/>
      <c r="G1" s="1070"/>
      <c r="H1" s="1070"/>
      <c r="I1" s="1070"/>
      <c r="J1" s="1070"/>
      <c r="K1" s="1070"/>
      <c r="L1" s="1070"/>
      <c r="M1" s="1070"/>
      <c r="N1" s="1070"/>
      <c r="O1" s="1070"/>
      <c r="P1" s="1070"/>
    </row>
    <row r="2" spans="1:16" ht="14.4">
      <c r="A2" s="3271" t="s">
        <v>1131</v>
      </c>
      <c r="B2" s="3271"/>
      <c r="C2" s="3271"/>
      <c r="D2" s="747" t="s">
        <v>1107</v>
      </c>
      <c r="E2" s="1522" t="s">
        <v>1108</v>
      </c>
      <c r="F2" s="2437"/>
      <c r="G2" s="2430"/>
      <c r="H2" s="2431"/>
      <c r="I2" s="2145" t="s">
        <v>1132</v>
      </c>
      <c r="J2" s="2437"/>
      <c r="K2" s="2437"/>
      <c r="L2" s="2437"/>
      <c r="M2" s="2437"/>
      <c r="N2" s="2438"/>
      <c r="O2" s="2437"/>
      <c r="P2" s="2437"/>
    </row>
    <row r="3" spans="1:16" ht="15" thickBot="1">
      <c r="A3" s="3272" t="s">
        <v>1105</v>
      </c>
      <c r="B3" s="3272"/>
      <c r="C3" s="3272"/>
      <c r="D3" s="41">
        <f>'数据-基础表'!AY6</f>
        <v>0</v>
      </c>
      <c r="E3" s="41">
        <f>'数据-基础表'!AZ5</f>
        <v>312.66000000000003</v>
      </c>
      <c r="F3" s="2437"/>
      <c r="G3" s="42"/>
      <c r="H3" s="43" t="s">
        <v>1106</v>
      </c>
      <c r="I3" s="801" t="e">
        <f>ROUND('数据-基础表'!B3/'数据-基础表'!A3,2)</f>
        <v>#DIV/0!</v>
      </c>
      <c r="J3" s="2437"/>
      <c r="K3" s="2437"/>
      <c r="L3" s="2437"/>
      <c r="M3" s="2437"/>
      <c r="N3" s="2438"/>
      <c r="O3" s="2437"/>
      <c r="P3" s="2437"/>
    </row>
    <row r="4" spans="1:16" ht="14.4">
      <c r="A4" s="3273"/>
      <c r="B4" s="3274"/>
      <c r="C4" s="3275"/>
      <c r="D4" s="1523" t="s">
        <v>1107</v>
      </c>
      <c r="E4" s="1524" t="s">
        <v>1108</v>
      </c>
      <c r="F4" s="2437"/>
      <c r="G4" s="2432" t="s">
        <v>1133</v>
      </c>
      <c r="H4" s="43" t="s">
        <v>1113</v>
      </c>
      <c r="I4" s="801" t="e">
        <f>ROUND(SUMIF('数据-基础表'!I9:AS9,"地上",'数据-基础表'!I5:AS5)/'数据-基础表'!A3,2)</f>
        <v>#DIV/0!</v>
      </c>
      <c r="J4" s="2437"/>
      <c r="K4" s="2437"/>
      <c r="L4" s="2437"/>
      <c r="M4" s="2437"/>
      <c r="N4" s="2438"/>
      <c r="O4" s="2437"/>
      <c r="P4" s="2437"/>
    </row>
    <row r="5" spans="1:16" ht="14.4">
      <c r="A5" s="42" t="s">
        <v>1109</v>
      </c>
      <c r="B5" s="3276" t="s">
        <v>1110</v>
      </c>
      <c r="C5" s="3276"/>
      <c r="D5" s="43">
        <f>ROUND($D$3*E5/$E$3,2)</f>
        <v>0</v>
      </c>
      <c r="E5" s="44">
        <f>SUMIF('数据-基础表'!$11:$11,"住宅",'数据-基础表'!$5:$5)</f>
        <v>0</v>
      </c>
      <c r="F5" s="2437"/>
      <c r="G5" s="42"/>
      <c r="H5" s="43" t="s">
        <v>1106</v>
      </c>
      <c r="I5" s="801" t="e">
        <f>ROUND(E31/D31,2)</f>
        <v>#DIV/0!</v>
      </c>
      <c r="J5" s="2437"/>
      <c r="K5" s="2437"/>
      <c r="L5" s="2437"/>
      <c r="M5" s="2437"/>
      <c r="N5" s="2437"/>
      <c r="O5" s="2437"/>
      <c r="P5" s="2437"/>
    </row>
    <row r="6" spans="1:16" ht="15" thickBot="1">
      <c r="A6" s="1526"/>
      <c r="B6" s="3276" t="s">
        <v>1111</v>
      </c>
      <c r="C6" s="3276"/>
      <c r="D6" s="43">
        <f>ROUND($D$3*E6/$E$3,2)</f>
        <v>0</v>
      </c>
      <c r="E6" s="44">
        <f>E3-E5</f>
        <v>312.66000000000003</v>
      </c>
      <c r="F6" s="2437"/>
      <c r="G6" s="1528" t="s">
        <v>1112</v>
      </c>
      <c r="H6" s="45" t="s">
        <v>1113</v>
      </c>
      <c r="I6" s="2433" t="e">
        <f>ROUND(F31/D31,2)</f>
        <v>#DIV/0!</v>
      </c>
      <c r="J6" s="2437"/>
      <c r="K6" s="2437"/>
      <c r="L6" s="2437"/>
      <c r="M6" s="2437"/>
      <c r="N6" s="2437"/>
      <c r="O6" s="2437"/>
      <c r="P6" s="2437"/>
    </row>
    <row r="7" spans="1:16" ht="15" thickBot="1">
      <c r="A7" s="3268"/>
      <c r="B7" s="3269"/>
      <c r="C7" s="3270"/>
      <c r="D7" s="1523" t="s">
        <v>1107</v>
      </c>
      <c r="E7" s="1527" t="s">
        <v>1114</v>
      </c>
      <c r="F7" s="2437"/>
      <c r="G7" s="2434" t="s">
        <v>1115</v>
      </c>
      <c r="H7" s="95"/>
      <c r="I7" s="2435"/>
      <c r="J7" s="2437"/>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312.66000000000003</v>
      </c>
      <c r="F8" s="2437"/>
      <c r="G8" s="2437"/>
      <c r="H8" s="2437"/>
      <c r="I8" s="2437"/>
      <c r="J8" s="2437"/>
      <c r="K8" s="2437"/>
      <c r="L8" s="2437"/>
      <c r="M8" s="2437"/>
      <c r="N8" s="2437"/>
      <c r="O8" s="2437"/>
      <c r="P8" s="2437"/>
    </row>
    <row r="9" spans="1:16" ht="14.4">
      <c r="A9" s="1528"/>
      <c r="B9" s="1529"/>
      <c r="C9" s="43" t="s">
        <v>1119</v>
      </c>
      <c r="D9" s="43">
        <f t="shared" si="0"/>
        <v>0</v>
      </c>
      <c r="E9" s="47">
        <v>0</v>
      </c>
      <c r="F9" s="2437"/>
      <c r="G9" s="2437"/>
      <c r="H9" s="2437"/>
      <c r="I9" s="2437"/>
      <c r="J9" s="2437"/>
      <c r="K9" s="2437"/>
      <c r="L9" s="2437"/>
      <c r="M9" s="2437"/>
      <c r="N9" s="2437"/>
      <c r="O9" s="2437"/>
      <c r="P9" s="2437"/>
    </row>
    <row r="10" spans="1:16" ht="14.4">
      <c r="A10" s="1528"/>
      <c r="B10" s="1529"/>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8"/>
      <c r="B11" s="1529"/>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8"/>
      <c r="B12" s="1529"/>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8"/>
      <c r="B13" s="1529"/>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8"/>
      <c r="B14" s="1529"/>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8"/>
      <c r="B15" s="1529"/>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6"/>
      <c r="B16" s="1529"/>
      <c r="C16" s="45" t="s">
        <v>1123</v>
      </c>
      <c r="D16" s="45">
        <f>SUM(D8:D15)</f>
        <v>0</v>
      </c>
      <c r="E16" s="48">
        <f>SUM(E8:E15)</f>
        <v>312.66000000000003</v>
      </c>
      <c r="F16" s="2437"/>
      <c r="G16" s="2437"/>
      <c r="H16" s="1530" t="s">
        <v>1135</v>
      </c>
      <c r="I16" s="1531"/>
      <c r="J16" s="1070"/>
      <c r="K16" s="3265" t="s">
        <v>1135</v>
      </c>
      <c r="L16" s="3266"/>
      <c r="M16" s="3266"/>
      <c r="N16" s="3266"/>
      <c r="O16" s="3266"/>
      <c r="P16" s="3267"/>
    </row>
    <row r="17" spans="1:19" ht="14.4">
      <c r="A17" s="1532" t="s">
        <v>1136</v>
      </c>
      <c r="B17" s="1533" t="s">
        <v>1137</v>
      </c>
      <c r="C17" s="1534" t="s">
        <v>1138</v>
      </c>
      <c r="D17" s="1535" t="s">
        <v>1126</v>
      </c>
      <c r="E17" s="1536" t="s">
        <v>1127</v>
      </c>
      <c r="F17" s="1537"/>
      <c r="G17" s="1538"/>
      <c r="H17" s="1539" t="s">
        <v>1139</v>
      </c>
      <c r="I17" s="1540" t="s">
        <v>1124</v>
      </c>
      <c r="J17" s="1070"/>
      <c r="K17" s="3262" t="s">
        <v>1140</v>
      </c>
      <c r="L17" s="3263"/>
      <c r="M17" s="3264"/>
      <c r="N17" s="3262" t="s">
        <v>1141</v>
      </c>
      <c r="O17" s="3263"/>
      <c r="P17" s="3264"/>
      <c r="R17" s="768" t="s">
        <v>1142</v>
      </c>
      <c r="S17" s="54"/>
    </row>
    <row r="18" spans="1:19" ht="14.4">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ht="14.4">
      <c r="A19" s="1548"/>
      <c r="B19" s="45" t="s">
        <v>1125</v>
      </c>
      <c r="C19" s="3113" t="str">
        <f>'数据-基础表'!C13</f>
        <v>1号</v>
      </c>
      <c r="D19" s="43">
        <f>ROUND($D$3*E19/$E$3,2)</f>
        <v>0</v>
      </c>
      <c r="E19" s="51">
        <f t="shared" ref="E19:E26" si="1">SUM(F19:G19)</f>
        <v>156.33000000000001</v>
      </c>
      <c r="F19" s="2555">
        <f>'数据-基础表'!H13</f>
        <v>156.33000000000001</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156.33000000000001</v>
      </c>
    </row>
    <row r="20" spans="1:19" ht="14.4">
      <c r="A20" s="1548"/>
      <c r="B20" s="45" t="s">
        <v>1153</v>
      </c>
      <c r="C20" s="3113" t="str">
        <f>'数据-基础表'!C14</f>
        <v>2号</v>
      </c>
      <c r="D20" s="43">
        <f t="shared" ref="D20:D26" si="6">ROUND($D$3*E20/$E$3,2)</f>
        <v>0</v>
      </c>
      <c r="E20" s="51">
        <f t="shared" si="1"/>
        <v>156.33000000000001</v>
      </c>
      <c r="F20" s="2555">
        <f>'数据-基础表'!H14</f>
        <v>156.33000000000001</v>
      </c>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156.33000000000001</v>
      </c>
    </row>
    <row r="21" spans="1:19" ht="14.4">
      <c r="A21" s="1548"/>
      <c r="B21" s="45" t="s">
        <v>1153</v>
      </c>
      <c r="C21" s="3113"/>
      <c r="D21" s="43">
        <f t="shared" si="6"/>
        <v>0</v>
      </c>
      <c r="E21" s="51">
        <f t="shared" si="1"/>
        <v>0</v>
      </c>
      <c r="F21" s="2555"/>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ht="14.4">
      <c r="A22" s="1548"/>
      <c r="B22" s="45" t="s">
        <v>1153</v>
      </c>
      <c r="C22" s="3114"/>
      <c r="D22" s="43">
        <f t="shared" si="6"/>
        <v>0</v>
      </c>
      <c r="E22" s="51">
        <f t="shared" si="1"/>
        <v>0</v>
      </c>
      <c r="F22" s="2556"/>
      <c r="G22" s="2557"/>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ht="14.4">
      <c r="A23" s="1548"/>
      <c r="B23" s="45" t="s">
        <v>1153</v>
      </c>
      <c r="C23" s="3114"/>
      <c r="D23" s="43">
        <f>ROUND($D$3*E23/$E$3,2)</f>
        <v>0</v>
      </c>
      <c r="E23" s="51">
        <f>SUM(F23:G23)</f>
        <v>0</v>
      </c>
      <c r="F23" s="2556"/>
      <c r="G23" s="2557"/>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ht="14.4">
      <c r="A24" s="1548"/>
      <c r="B24" s="45" t="s">
        <v>1153</v>
      </c>
      <c r="C24" s="3114"/>
      <c r="D24" s="43">
        <f>ROUND($D$3*E24/$E$3,2)</f>
        <v>0</v>
      </c>
      <c r="E24" s="51">
        <f>SUM(F24:G24)</f>
        <v>0</v>
      </c>
      <c r="F24" s="2556"/>
      <c r="G24" s="2557"/>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ht="14.4">
      <c r="A25" s="1548"/>
      <c r="B25" s="45" t="s">
        <v>1153</v>
      </c>
      <c r="C25" s="3114"/>
      <c r="D25" s="43">
        <f t="shared" si="6"/>
        <v>0</v>
      </c>
      <c r="E25" s="51">
        <f t="shared" si="1"/>
        <v>0</v>
      </c>
      <c r="F25" s="2556"/>
      <c r="G25" s="2557"/>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6"/>
      <c r="G26" s="2557"/>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1">
        <f>SUM(D19:D26)</f>
        <v>0</v>
      </c>
      <c r="E27" s="1072">
        <f>IF(SUM(E19:E26)='数据-基础表'!BA5,SUM(E19:E26),IF(F27="地上面积有误","面积有误","地下面积有误"))</f>
        <v>312.66000000000003</v>
      </c>
      <c r="F27" s="1071">
        <f>IF(SUM(F19:F26)=E8,SUM(F19:F26),"地上面积有误")</f>
        <v>312.66000000000003</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312.66000000000003</v>
      </c>
    </row>
    <row r="28" spans="1:19" ht="14.4">
      <c r="A28" s="1548"/>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8"/>
      <c r="B29" s="45" t="s">
        <v>1155</v>
      </c>
      <c r="C29" s="1554"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8"/>
      <c r="B30" s="45"/>
      <c r="C30" s="1555" t="s">
        <v>1154</v>
      </c>
      <c r="D30" s="1071">
        <f>SUM(D28:D29)</f>
        <v>0</v>
      </c>
      <c r="E30" s="1071">
        <f>SUM(E28:E29)</f>
        <v>0</v>
      </c>
      <c r="F30" s="1071">
        <f>SUM(F28:F29)</f>
        <v>0</v>
      </c>
      <c r="G30" s="1073">
        <f>SUM(G28:G29)</f>
        <v>0</v>
      </c>
      <c r="H30" s="2437"/>
      <c r="I30" s="2437"/>
      <c r="J30" s="2437"/>
      <c r="K30" s="2437"/>
      <c r="L30" s="2437"/>
      <c r="M30" s="2437"/>
      <c r="N30" s="2437"/>
      <c r="O30" s="2437"/>
      <c r="P30" s="2437"/>
    </row>
    <row r="31" spans="1:19" ht="15" thickBot="1">
      <c r="A31" s="1556"/>
      <c r="B31" s="96"/>
      <c r="C31" s="784" t="s">
        <v>1158</v>
      </c>
      <c r="D31" s="642">
        <f>D27+D30</f>
        <v>0</v>
      </c>
      <c r="E31" s="642">
        <f>E27+E30</f>
        <v>312.66000000000003</v>
      </c>
      <c r="F31" s="643">
        <f>F27+F30</f>
        <v>312.66000000000003</v>
      </c>
      <c r="G31" s="644">
        <f>G27+G30</f>
        <v>0</v>
      </c>
      <c r="H31" s="2437"/>
      <c r="I31" s="2437"/>
      <c r="J31" s="2437"/>
      <c r="K31" s="2437"/>
      <c r="L31" s="2437"/>
      <c r="M31" s="2437"/>
      <c r="N31" s="2437"/>
      <c r="O31" s="2437"/>
      <c r="P31" s="2437"/>
    </row>
    <row r="32" spans="1:19" ht="14.4">
      <c r="A32" s="1525"/>
      <c r="B32" s="1525" t="s">
        <v>1159</v>
      </c>
      <c r="C32" s="1525"/>
      <c r="D32" s="1525"/>
      <c r="E32" s="989">
        <f>SUMIF(C19:C26,"*住宅*",E19:E26)</f>
        <v>0</v>
      </c>
      <c r="F32" s="1525"/>
      <c r="G32" s="1525"/>
      <c r="H32" s="2437"/>
      <c r="I32" s="2437"/>
      <c r="J32" s="2437"/>
      <c r="K32" s="2437"/>
      <c r="L32" s="2437"/>
      <c r="M32" s="2437"/>
      <c r="N32" s="2437"/>
      <c r="O32" s="2437"/>
      <c r="P32" s="2437"/>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V6" activePane="bottomRight" state="frozen"/>
      <selection activeCell="C50" sqref="C50"/>
      <selection pane="topRight" activeCell="C50" sqref="C50"/>
      <selection pane="bottomLeft" activeCell="C50" sqref="C50"/>
      <selection pane="bottomRight" activeCell="AK18" sqref="AK18"/>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1"/>
    <col min="41" max="41" width="11.6640625" style="121" customWidth="1"/>
    <col min="42" max="42" width="9.77734375" style="121" customWidth="1"/>
    <col min="43" max="67" width="13.77734375" style="121"/>
    <col min="68" max="16384" width="13.77734375" style="1560"/>
  </cols>
  <sheetData>
    <row r="1" spans="1:67" ht="18"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6"/>
      <c r="AO1" s="2446"/>
      <c r="AP1" s="2446"/>
      <c r="AQ1" s="2446"/>
      <c r="AR1" s="2446"/>
    </row>
    <row r="2" spans="1:67" s="1450" customFormat="1" ht="15" thickBot="1">
      <c r="A2" s="1561" t="s">
        <v>1161</v>
      </c>
      <c r="B2" s="983">
        <f>项目基本情况!D3</f>
        <v>45562</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7"/>
      <c r="AO2" s="2437"/>
      <c r="AP2" s="2437"/>
      <c r="AQ2" s="2437"/>
      <c r="AR2" s="2437"/>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7"/>
      <c r="AO3" s="2437"/>
      <c r="AP3" s="2437"/>
      <c r="AQ3" s="2437"/>
      <c r="AR3" s="2437"/>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6"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7"/>
      <c r="AO4" s="2437"/>
      <c r="AP4" s="2437"/>
      <c r="AQ4" s="2437"/>
      <c r="AR4" s="2437"/>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3400</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3.8">
      <c r="A6" s="1585" t="str">
        <f>'数据-汇总表'!C19</f>
        <v>1号</v>
      </c>
      <c r="B6" s="1586" t="str">
        <f>IF(A6=0,"","经营性")</f>
        <v>经营性</v>
      </c>
      <c r="C6" s="1587" t="s">
        <v>673</v>
      </c>
      <c r="D6" s="804">
        <f>SUMIF(项目基本情况!C$12:I$12,C6,项目基本情况!C$14:I$14)</f>
        <v>40</v>
      </c>
      <c r="E6" s="803">
        <f>IF(B6="","",SUMIF(项目基本情况!C$12:I$12,C6,项目基本情况!C$13:I$13))</f>
        <v>51769</v>
      </c>
      <c r="F6" s="61">
        <f>SUMIF(项目基本情况!C$12:I$12,C6,项目基本情况!C$15:I$15)</f>
        <v>17</v>
      </c>
      <c r="G6" s="62">
        <f>IF(ISERROR(ROUND(POWER(1+H6,D6-F6)*(POWER(1+H6,F6)-1)/(POWER(1+H6,D6)-1),3)),0,ROUND(POWER(1+H6,D6-F6)*(POWER(1+H6,F6)-1)/(POWER(1+H6,D6)-1),3))</f>
        <v>0.65700000000000003</v>
      </c>
      <c r="H6" s="690">
        <v>0.05</v>
      </c>
      <c r="I6" s="690">
        <v>5.5E-2</v>
      </c>
      <c r="J6" s="63">
        <v>7.0000000000000007E-2</v>
      </c>
      <c r="K6" s="969">
        <f>SUMIF('数据-汇总表'!C$19:C$33,A6,'数据-汇总表'!E$19:E$33)</f>
        <v>156.33000000000001</v>
      </c>
      <c r="L6" s="691">
        <v>3000</v>
      </c>
      <c r="M6" s="64">
        <f t="shared" ref="M6:M14" si="0">ROUND(K6*L6/10000,0)</f>
        <v>47</v>
      </c>
      <c r="N6" s="689">
        <f>N22</f>
        <v>0.7</v>
      </c>
      <c r="O6" s="64" t="str">
        <f>IF($N$5="成新度","——",ROUND(M6*N6,0))</f>
        <v>——</v>
      </c>
      <c r="P6" s="65" t="str">
        <f>IF($N$5="成新度","——",M6-O6)</f>
        <v>——</v>
      </c>
      <c r="Q6" s="692">
        <v>0.1</v>
      </c>
      <c r="R6" s="66">
        <f ca="1">SUMIF('数据-汇总表'!C$19:C$33,A6,'数据-汇总表'!R$19:R$27)</f>
        <v>0</v>
      </c>
      <c r="S6" s="49">
        <f>IF('数据-汇总表'!$I$17="按面积比例",SUMIF('数据-汇总表'!C$19:C$33,A6,'数据-汇总表'!K$19:K$33),SUMIF('数据-汇总表'!C$19:C$33,A6,'数据-汇总表'!N$19:N$33))</f>
        <v>0</v>
      </c>
      <c r="T6" s="1091">
        <f>ROUND($L$14*S6/10000,0)</f>
        <v>0</v>
      </c>
      <c r="U6" s="3124">
        <v>1.5</v>
      </c>
      <c r="V6" s="67">
        <v>0.02</v>
      </c>
      <c r="W6" s="67">
        <v>0.1</v>
      </c>
      <c r="X6" s="978"/>
      <c r="Y6" s="68">
        <f>N6</f>
        <v>0.7</v>
      </c>
      <c r="Z6" s="69"/>
      <c r="AA6" s="63"/>
      <c r="AB6" s="63"/>
      <c r="AC6" s="978"/>
      <c r="AD6" s="70"/>
      <c r="AE6" s="979">
        <f ca="1">IF(AN6="",0,SUMIF(INDIRECT("'"&amp;AN6&amp;"'"&amp;"!E:E"),$AE$5,INDIRECT("'"&amp;AN6&amp;"'"&amp;"!F:F")))</f>
        <v>17</v>
      </c>
      <c r="AF6" s="74"/>
      <c r="AG6" s="129">
        <f>IF(AF6="",0,AE6-AF6)</f>
        <v>0</v>
      </c>
      <c r="AH6" s="71"/>
      <c r="AI6" s="73">
        <v>365</v>
      </c>
      <c r="AJ6" s="74"/>
      <c r="AK6" s="75">
        <v>2E-3</v>
      </c>
      <c r="AL6" s="76">
        <v>1E-3</v>
      </c>
      <c r="AM6" s="77">
        <v>5.0000000000000001E-3</v>
      </c>
      <c r="AN6" s="1588" t="s">
        <v>3513</v>
      </c>
      <c r="AO6" s="50">
        <f ca="1">SUMIF(INDIRECT("'"&amp;AN6&amp;"'"&amp;"!A:A"),"总价",INDIRECT("'"&amp;AN6&amp;"'"&amp;"!B:B"))</f>
        <v>94.671499999999995</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t="str">
        <f>'数据-汇总表'!C20</f>
        <v>2号</v>
      </c>
      <c r="B7" s="1586" t="str">
        <f t="shared" ref="B7:B13" si="1">IF(A7=0,"","经营性")</f>
        <v>经营性</v>
      </c>
      <c r="C7" s="1587" t="s">
        <v>673</v>
      </c>
      <c r="D7" s="804">
        <f>SUMIF(项目基本情况!C$12:I$12,C7,项目基本情况!C$14:I$14)</f>
        <v>40</v>
      </c>
      <c r="E7" s="803">
        <f>IF(B7="","",SUMIF(项目基本情况!C$12:I$12,C7,项目基本情况!C$13:I$13))</f>
        <v>51769</v>
      </c>
      <c r="F7" s="61">
        <f>SUMIF(项目基本情况!C$12:I$12,C7,项目基本情况!C$15:I$15)</f>
        <v>17</v>
      </c>
      <c r="G7" s="62">
        <f t="shared" ref="G7:G11" si="2">IF(ISERROR(ROUND(POWER(1+H7,D7-F7)*(POWER(1+H7,F7)-1)/(POWER(1+H7,D7)-1),3)),0,ROUND(POWER(1+H7,D7-F7)*(POWER(1+H7,F7)-1)/(POWER(1+H7,D7)-1),3))</f>
        <v>0.65700000000000003</v>
      </c>
      <c r="H7" s="690">
        <f>H6</f>
        <v>0.05</v>
      </c>
      <c r="I7" s="690">
        <f>I6</f>
        <v>5.5E-2</v>
      </c>
      <c r="J7" s="63">
        <f>J6</f>
        <v>7.0000000000000007E-2</v>
      </c>
      <c r="K7" s="969">
        <f>SUMIF('数据-汇总表'!C$19:C$33,A7,'数据-汇总表'!E$19:E$33)</f>
        <v>156.33000000000001</v>
      </c>
      <c r="L7" s="691">
        <f>L6</f>
        <v>3000</v>
      </c>
      <c r="M7" s="64">
        <f t="shared" si="0"/>
        <v>47</v>
      </c>
      <c r="N7" s="689">
        <f>N6</f>
        <v>0.7</v>
      </c>
      <c r="O7" s="64" t="str">
        <f t="shared" ref="O7:O14" si="3">IF($N$5="成新度","——",ROUND(M7*N7,0))</f>
        <v>——</v>
      </c>
      <c r="P7" s="65" t="str">
        <f t="shared" ref="P7:P14" si="4">IF($N$5="成新度","——",M7-O7)</f>
        <v>——</v>
      </c>
      <c r="Q7" s="692">
        <f>Q6</f>
        <v>0.1</v>
      </c>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4">
        <f>U6</f>
        <v>1.5</v>
      </c>
      <c r="V7" s="67">
        <f>V6</f>
        <v>0.02</v>
      </c>
      <c r="W7" s="67">
        <f>W6</f>
        <v>0.1</v>
      </c>
      <c r="X7" s="978"/>
      <c r="Y7" s="68">
        <f>Y6</f>
        <v>0.7</v>
      </c>
      <c r="Z7" s="69"/>
      <c r="AA7" s="63"/>
      <c r="AB7" s="63"/>
      <c r="AC7" s="978"/>
      <c r="AD7" s="70"/>
      <c r="AE7" s="979">
        <f t="shared" ref="AE7:AE13" ca="1" si="6">IF(AN7="",0,SUMIF(INDIRECT("'"&amp;AN7&amp;"'"&amp;"!E:E"),$AE$5,INDIRECT("'"&amp;AN7&amp;"'"&amp;"!F:F")))</f>
        <v>17</v>
      </c>
      <c r="AF7" s="74"/>
      <c r="AG7" s="129">
        <f t="shared" ref="AG7:AG13" si="7">IF(AF7="",0,AE7-AF7)</f>
        <v>0</v>
      </c>
      <c r="AH7" s="71"/>
      <c r="AI7" s="73">
        <v>365</v>
      </c>
      <c r="AJ7" s="74"/>
      <c r="AK7" s="75">
        <f>AK6</f>
        <v>2E-3</v>
      </c>
      <c r="AL7" s="76">
        <f>AL6</f>
        <v>1E-3</v>
      </c>
      <c r="AM7" s="77">
        <f>AM6</f>
        <v>5.0000000000000001E-3</v>
      </c>
      <c r="AN7" s="1588" t="s">
        <v>3554</v>
      </c>
      <c r="AO7" s="50">
        <f t="shared" ref="AO7:AO13" ca="1" si="8">SUMIF(INDIRECT("'"&amp;AN7&amp;"'"&amp;"!A:A"),"总价",INDIRECT("'"&amp;AN7&amp;"'"&amp;"!B:B"))</f>
        <v>94.671499999999995</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5"/>
      <c r="V8" s="693"/>
      <c r="W8" s="693"/>
      <c r="X8" s="978"/>
      <c r="Y8" s="68"/>
      <c r="Z8" s="69"/>
      <c r="AA8" s="63"/>
      <c r="AB8" s="63"/>
      <c r="AC8" s="978"/>
      <c r="AD8" s="70"/>
      <c r="AE8" s="979">
        <f t="shared" ca="1" si="6"/>
        <v>0</v>
      </c>
      <c r="AF8" s="74"/>
      <c r="AG8" s="129">
        <f t="shared" si="7"/>
        <v>0</v>
      </c>
      <c r="AH8" s="694"/>
      <c r="AI8" s="73"/>
      <c r="AJ8" s="74"/>
      <c r="AK8" s="695"/>
      <c r="AL8" s="696"/>
      <c r="AM8" s="105"/>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4"/>
      <c r="V9" s="67"/>
      <c r="W9" s="67"/>
      <c r="X9" s="978"/>
      <c r="Y9" s="68"/>
      <c r="Z9" s="69"/>
      <c r="AA9" s="63"/>
      <c r="AB9" s="63"/>
      <c r="AC9" s="978"/>
      <c r="AD9" s="70"/>
      <c r="AE9" s="979">
        <f t="shared" ca="1" si="6"/>
        <v>0</v>
      </c>
      <c r="AF9" s="74"/>
      <c r="AG9" s="129">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4"/>
      <c r="V10" s="67"/>
      <c r="W10" s="67"/>
      <c r="X10" s="978"/>
      <c r="Y10" s="68"/>
      <c r="Z10" s="69"/>
      <c r="AA10" s="63"/>
      <c r="AB10" s="63"/>
      <c r="AC10" s="978"/>
      <c r="AD10" s="70"/>
      <c r="AE10" s="979">
        <f t="shared" ca="1" si="6"/>
        <v>0</v>
      </c>
      <c r="AF10" s="74"/>
      <c r="AG10" s="129">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4"/>
      <c r="V11" s="63"/>
      <c r="W11" s="63"/>
      <c r="X11" s="978"/>
      <c r="Y11" s="68"/>
      <c r="Z11" s="81"/>
      <c r="AA11" s="63"/>
      <c r="AB11" s="63"/>
      <c r="AC11" s="978"/>
      <c r="AD11" s="70"/>
      <c r="AE11" s="979">
        <f t="shared" ca="1" si="6"/>
        <v>0</v>
      </c>
      <c r="AF11" s="74"/>
      <c r="AG11" s="129">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4"/>
      <c r="V12" s="63"/>
      <c r="W12" s="63"/>
      <c r="X12" s="978"/>
      <c r="Y12" s="68"/>
      <c r="Z12" s="81"/>
      <c r="AA12" s="63"/>
      <c r="AB12" s="63"/>
      <c r="AC12" s="978"/>
      <c r="AD12" s="70"/>
      <c r="AE12" s="979">
        <f t="shared" ca="1" si="6"/>
        <v>0</v>
      </c>
      <c r="AF12" s="74"/>
      <c r="AG12" s="129">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6"/>
      <c r="V13" s="67"/>
      <c r="W13" s="67"/>
      <c r="X13" s="978"/>
      <c r="Y13" s="68"/>
      <c r="Z13" s="69"/>
      <c r="AA13" s="63"/>
      <c r="AB13" s="63"/>
      <c r="AC13" s="978"/>
      <c r="AD13" s="70"/>
      <c r="AE13" s="979">
        <f t="shared" ca="1" si="6"/>
        <v>0</v>
      </c>
      <c r="AF13" s="74"/>
      <c r="AG13" s="129">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6"/>
      <c r="AO14" s="2437"/>
      <c r="AP14" s="2437"/>
      <c r="AQ14" s="2437"/>
      <c r="AR14" s="2437"/>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6"/>
      <c r="AO15" s="2437"/>
      <c r="AP15" s="2437"/>
      <c r="AQ15" s="2437"/>
      <c r="AR15" s="2437"/>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2"/>
      <c r="D16" s="1593"/>
      <c r="E16" s="82"/>
      <c r="F16" s="82"/>
      <c r="G16" s="83">
        <f>ROUND(SUMPRODUCT(G6:G13,K6:K13)/SUMPRODUCT((G6:G13&gt;0)*(K6:K13)),3)</f>
        <v>0.65700000000000003</v>
      </c>
      <c r="H16" s="84">
        <f>ROUND(SUMPRODUCT(H6:H13,K6:K13)/SUMPRODUCT((H6:H13&gt;0)*(K6:K13)),3)</f>
        <v>0.05</v>
      </c>
      <c r="I16" s="85"/>
      <c r="J16" s="85"/>
      <c r="K16" s="86">
        <f>SUM(K6:K15)</f>
        <v>312.66000000000003</v>
      </c>
      <c r="L16" s="87">
        <f>ROUND(M16*10000/SUM(K6:K14),0)</f>
        <v>3006</v>
      </c>
      <c r="M16" s="87">
        <f>SUM(M6:M14)</f>
        <v>94</v>
      </c>
      <c r="N16" s="88">
        <f>ROUND(SUMPRODUCT(M6:M14,N6:N14)/M16,3)</f>
        <v>0.7</v>
      </c>
      <c r="O16" s="87">
        <f>SUM(O6:O14)</f>
        <v>0</v>
      </c>
      <c r="P16" s="87">
        <f>SUM(P6:P14)</f>
        <v>0</v>
      </c>
      <c r="Q16" s="89">
        <f>ROUND(SUMPRODUCT(Q6:Q13,K6:K13)/SUMPRODUCT((Q6:Q13&gt;0)*(K6:K13)),2)</f>
        <v>0.1</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3277" t="s">
        <v>3392</v>
      </c>
      <c r="J18" s="3278"/>
      <c r="K18" s="3278"/>
      <c r="L18" s="2447"/>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28.8">
      <c r="A19" s="1595" t="s">
        <v>1211</v>
      </c>
      <c r="B19" s="97">
        <v>0</v>
      </c>
      <c r="C19" s="2558" t="s">
        <v>2301</v>
      </c>
      <c r="D19" s="2449"/>
      <c r="E19" s="2437"/>
      <c r="F19" s="2437"/>
      <c r="G19" s="2437"/>
      <c r="H19" s="2437"/>
      <c r="I19" s="3144" t="s">
        <v>3393</v>
      </c>
      <c r="J19" s="3144" t="s">
        <v>3394</v>
      </c>
      <c r="K19" s="3144" t="s">
        <v>3395</v>
      </c>
      <c r="L19" s="2447"/>
      <c r="M19" s="3153" t="s">
        <v>3401</v>
      </c>
      <c r="N19" s="2446">
        <v>2002</v>
      </c>
      <c r="O19" s="3153" t="s">
        <v>3431</v>
      </c>
      <c r="P19" s="3159">
        <f>N19-B20</f>
        <v>2001</v>
      </c>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6" t="s">
        <v>1212</v>
      </c>
      <c r="B20" s="3182">
        <v>1</v>
      </c>
      <c r="C20" s="2559" t="s">
        <v>2299</v>
      </c>
      <c r="D20" s="2449"/>
      <c r="E20" s="2437"/>
      <c r="F20" s="2437"/>
      <c r="G20" s="2437"/>
      <c r="H20" s="2437"/>
      <c r="I20" s="3144" t="s">
        <v>3396</v>
      </c>
      <c r="J20" s="3144" t="s">
        <v>3397</v>
      </c>
      <c r="K20" s="3144" t="s">
        <v>3398</v>
      </c>
      <c r="L20" s="2447"/>
      <c r="M20" s="3153" t="s">
        <v>3402</v>
      </c>
      <c r="N20" s="2446">
        <f>ROUND(1-(1-2%)*(2024-N19)/50,2)</f>
        <v>0.56999999999999995</v>
      </c>
      <c r="O20" s="2446">
        <v>0.3</v>
      </c>
      <c r="P20" s="3159">
        <f>P19+40</f>
        <v>2041</v>
      </c>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7" t="s">
        <v>1213</v>
      </c>
      <c r="B21" s="3182">
        <v>1</v>
      </c>
      <c r="C21" s="2437"/>
      <c r="D21" s="2449"/>
      <c r="E21" s="2437"/>
      <c r="F21" s="2437"/>
      <c r="G21" s="2437"/>
      <c r="H21" s="2437"/>
      <c r="I21" s="3145">
        <v>10</v>
      </c>
      <c r="J21" s="3145">
        <v>6</v>
      </c>
      <c r="K21" s="3145">
        <v>3</v>
      </c>
      <c r="L21" s="2447"/>
      <c r="M21" s="3153" t="s">
        <v>3403</v>
      </c>
      <c r="N21" s="2446">
        <v>0.75</v>
      </c>
      <c r="O21" s="2446">
        <v>0.7</v>
      </c>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6" t="s">
        <v>1214</v>
      </c>
      <c r="B22" s="98">
        <f>B19+B20</f>
        <v>1</v>
      </c>
      <c r="C22" s="2437"/>
      <c r="D22" s="2449"/>
      <c r="E22" s="2437"/>
      <c r="F22" s="2437"/>
      <c r="G22" s="2437"/>
      <c r="H22" s="2437"/>
      <c r="I22" s="3145">
        <v>2</v>
      </c>
      <c r="J22" s="3145">
        <v>2</v>
      </c>
      <c r="K22" s="3145">
        <v>0</v>
      </c>
      <c r="L22" s="2447"/>
      <c r="M22" s="3153" t="s">
        <v>3404</v>
      </c>
      <c r="N22" s="2446">
        <f>ROUND((N20*O20+N21*O21),2)</f>
        <v>0.7</v>
      </c>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7" t="s">
        <v>1215</v>
      </c>
      <c r="B23" s="98">
        <f>B19+B21</f>
        <v>1</v>
      </c>
      <c r="C23" s="2437"/>
      <c r="D23" s="2449"/>
      <c r="E23" s="2437"/>
      <c r="F23" s="2437"/>
      <c r="G23" s="2437"/>
      <c r="H23" s="2437"/>
      <c r="I23" s="3145">
        <v>67000</v>
      </c>
      <c r="J23" s="3145">
        <v>100000</v>
      </c>
      <c r="K23" s="3145">
        <v>21000</v>
      </c>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8" t="s">
        <v>1216</v>
      </c>
      <c r="B24" s="99">
        <f>B20-B21</f>
        <v>0</v>
      </c>
      <c r="C24" s="2437"/>
      <c r="D24" s="2449"/>
      <c r="E24" s="2437"/>
      <c r="F24" s="2437"/>
      <c r="G24" s="2437"/>
      <c r="H24" s="2437"/>
      <c r="I24" s="3146">
        <v>52000</v>
      </c>
      <c r="J24" s="3146">
        <v>72000</v>
      </c>
      <c r="K24" s="3146">
        <v>21000</v>
      </c>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8"/>
      <c r="B25" s="1541"/>
      <c r="C25" s="2437"/>
      <c r="D25" s="2449"/>
      <c r="E25" s="2437"/>
      <c r="F25" s="2437"/>
      <c r="G25" s="2437"/>
      <c r="H25" s="2437"/>
      <c r="I25" s="3146">
        <v>15000</v>
      </c>
      <c r="J25" s="3146">
        <v>28000</v>
      </c>
      <c r="K25" s="3146">
        <v>0</v>
      </c>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1" t="s">
        <v>1217</v>
      </c>
      <c r="B26" s="1599" t="s">
        <v>1218</v>
      </c>
      <c r="C26" s="2450" t="s">
        <v>1219</v>
      </c>
      <c r="D26" s="2449"/>
      <c r="E26" s="2437"/>
      <c r="F26" s="2437"/>
      <c r="G26" s="2437"/>
      <c r="H26" s="2437"/>
      <c r="I26" s="3147">
        <f t="shared" ref="I26:K26" si="12">I27+I31+I30</f>
        <v>6002</v>
      </c>
      <c r="J26" s="3147">
        <f t="shared" si="12"/>
        <v>4964</v>
      </c>
      <c r="K26" s="3147">
        <f t="shared" si="12"/>
        <v>3045</v>
      </c>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0" t="s">
        <v>1220</v>
      </c>
      <c r="B27" s="100">
        <v>100</v>
      </c>
      <c r="C27" s="2560" t="s">
        <v>2303</v>
      </c>
      <c r="D27" s="2452"/>
      <c r="E27" s="2438"/>
      <c r="F27" s="2438"/>
      <c r="G27" s="2437"/>
      <c r="H27" s="2437"/>
      <c r="I27" s="3148">
        <v>2924</v>
      </c>
      <c r="J27" s="3148">
        <v>2788</v>
      </c>
      <c r="K27" s="3148">
        <v>1470</v>
      </c>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1" t="s">
        <v>1221</v>
      </c>
      <c r="B28" s="102">
        <v>150</v>
      </c>
      <c r="C28" s="2453"/>
      <c r="D28" s="2452"/>
      <c r="E28" s="2438"/>
      <c r="F28" s="2438"/>
      <c r="G28" s="2437"/>
      <c r="H28" s="2437"/>
      <c r="I28" s="3146">
        <v>2105</v>
      </c>
      <c r="J28" s="3146">
        <v>2008</v>
      </c>
      <c r="K28" s="3146">
        <v>1470</v>
      </c>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2" t="s">
        <v>1222</v>
      </c>
      <c r="B29" s="104"/>
      <c r="C29" s="2561" t="s">
        <v>2292</v>
      </c>
      <c r="D29" s="2452"/>
      <c r="E29" s="2438"/>
      <c r="F29" s="2438"/>
      <c r="G29" s="2437"/>
      <c r="H29" s="2437"/>
      <c r="I29" s="3146">
        <v>5763</v>
      </c>
      <c r="J29" s="3146">
        <v>4793</v>
      </c>
      <c r="K29" s="3146" t="s">
        <v>3399</v>
      </c>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3" t="s">
        <v>1223</v>
      </c>
      <c r="B30" s="637">
        <v>200</v>
      </c>
      <c r="C30" s="2453"/>
      <c r="D30" s="2452"/>
      <c r="E30" s="2438"/>
      <c r="F30" s="2438"/>
      <c r="G30" s="2437"/>
      <c r="H30" s="2437"/>
      <c r="I30" s="3149">
        <v>1397</v>
      </c>
      <c r="J30" s="3149">
        <v>700</v>
      </c>
      <c r="K30" s="3149">
        <v>350</v>
      </c>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1" t="s">
        <v>1224</v>
      </c>
      <c r="B31" s="103">
        <f>B30-B32</f>
        <v>200</v>
      </c>
      <c r="C31" s="2451"/>
      <c r="D31" s="2452"/>
      <c r="E31" s="2438"/>
      <c r="F31" s="2438"/>
      <c r="G31" s="2437"/>
      <c r="H31" s="2437"/>
      <c r="I31" s="3150">
        <v>1681</v>
      </c>
      <c r="J31" s="3150">
        <v>1476</v>
      </c>
      <c r="K31" s="3150">
        <v>1225</v>
      </c>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4" t="s">
        <v>1225</v>
      </c>
      <c r="B32" s="638"/>
      <c r="C32" s="2453"/>
      <c r="D32" s="2449"/>
      <c r="E32" s="2437"/>
      <c r="F32" s="2437"/>
      <c r="G32" s="2437"/>
      <c r="H32" s="2437"/>
      <c r="I32" s="3151"/>
      <c r="J32" s="3151"/>
      <c r="K32" s="3151"/>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0" t="s">
        <v>1226</v>
      </c>
      <c r="B33" s="639">
        <v>0.03</v>
      </c>
      <c r="C33" s="2562" t="s">
        <v>3379</v>
      </c>
      <c r="D33" s="2449"/>
      <c r="E33" s="2437"/>
      <c r="F33" s="2437"/>
      <c r="G33" s="2437"/>
      <c r="H33" s="2437"/>
      <c r="I33" s="3151"/>
      <c r="J33" s="3151"/>
      <c r="K33" s="3151"/>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1" t="s">
        <v>1227</v>
      </c>
      <c r="B34" s="105">
        <v>0</v>
      </c>
      <c r="C34" s="2562" t="s">
        <v>2293</v>
      </c>
      <c r="D34" s="2457" t="s">
        <v>2300</v>
      </c>
      <c r="E34" s="2455"/>
      <c r="F34" s="2437"/>
      <c r="G34" s="2437"/>
      <c r="H34" s="2437"/>
      <c r="I34" s="3151"/>
      <c r="J34" s="3151"/>
      <c r="K34" s="3151"/>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1" t="s">
        <v>1228</v>
      </c>
      <c r="B35" s="102">
        <v>200</v>
      </c>
      <c r="C35" s="2562" t="s">
        <v>2294</v>
      </c>
      <c r="D35" s="2452"/>
      <c r="E35" s="2438"/>
      <c r="F35" s="2438"/>
      <c r="G35" s="2437"/>
      <c r="H35" s="2437"/>
      <c r="I35" s="3151"/>
      <c r="J35" s="3151"/>
      <c r="K35" s="3151"/>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2" t="s">
        <v>1229</v>
      </c>
      <c r="B36" s="106">
        <v>0.02</v>
      </c>
      <c r="C36" s="2562" t="s">
        <v>3380</v>
      </c>
      <c r="D36" s="2449"/>
      <c r="E36" s="2437"/>
      <c r="F36" s="2437"/>
      <c r="G36" s="2437"/>
      <c r="H36" s="2437"/>
      <c r="I36" s="3152">
        <f t="shared" ref="I36:K36" si="13">I27/I26</f>
        <v>0.48717094301899366</v>
      </c>
      <c r="J36" s="3152">
        <f t="shared" si="13"/>
        <v>0.56164383561643838</v>
      </c>
      <c r="K36" s="3152">
        <f t="shared" si="13"/>
        <v>0.48275862068965519</v>
      </c>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3" t="s">
        <v>1230</v>
      </c>
      <c r="B37" s="107">
        <v>0.02</v>
      </c>
      <c r="C37" s="2562" t="s">
        <v>2295</v>
      </c>
      <c r="D37" s="2449"/>
      <c r="E37" s="2437"/>
      <c r="F37" s="2437"/>
      <c r="G37" s="2437"/>
      <c r="H37" s="2437"/>
      <c r="I37" s="3152">
        <f t="shared" ref="I37:K37" si="14">I30/I26</f>
        <v>0.23275574808397201</v>
      </c>
      <c r="J37" s="3152">
        <f t="shared" si="14"/>
        <v>0.14101531023368252</v>
      </c>
      <c r="K37" s="3152">
        <f t="shared" si="14"/>
        <v>0.11494252873563218</v>
      </c>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1" t="s">
        <v>1231</v>
      </c>
      <c r="B38" s="105">
        <v>0.02</v>
      </c>
      <c r="C38" s="2562" t="s">
        <v>2295</v>
      </c>
      <c r="D38" s="2449"/>
      <c r="E38" s="2437"/>
      <c r="F38" s="2437"/>
      <c r="G38" s="2437"/>
      <c r="H38" s="2437"/>
      <c r="I38" s="3152">
        <f t="shared" ref="I38:K38" si="15">I31/I26</f>
        <v>0.2800733088970343</v>
      </c>
      <c r="J38" s="3152">
        <f t="shared" si="15"/>
        <v>0.29734085414987915</v>
      </c>
      <c r="K38" s="3152">
        <f t="shared" si="15"/>
        <v>0.40229885057471265</v>
      </c>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4" t="s">
        <v>1232</v>
      </c>
      <c r="B39" s="308">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2310</v>
      </c>
      <c r="B40" s="1014">
        <f ca="1">IF(A40="利息：取LPR",存贷款利率!G1,存贷款利率!G1+C40)</f>
        <v>3.3500000000000002E-2</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0" t="s">
        <v>1233</v>
      </c>
      <c r="B41" s="108">
        <f>B42+B43</f>
        <v>5.5000000000000007E-2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5" t="s">
        <v>1234</v>
      </c>
      <c r="B42" s="109">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5" t="s">
        <v>1235</v>
      </c>
      <c r="B43" s="110">
        <f>B42*(B44+B45+B46)+B47</f>
        <v>5.000000000000001E-3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6" t="s">
        <v>1236</v>
      </c>
      <c r="B44" s="111">
        <v>0.05</v>
      </c>
      <c r="C44" s="2562" t="s">
        <v>2304</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6" t="s">
        <v>1237</v>
      </c>
      <c r="B45" s="109">
        <v>0.03</v>
      </c>
      <c r="C45" s="2561" t="s">
        <v>2296</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6" t="s">
        <v>1238</v>
      </c>
      <c r="B46" s="109">
        <v>0.02</v>
      </c>
      <c r="C46" s="2561" t="s">
        <v>2297</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7" t="s">
        <v>1239</v>
      </c>
      <c r="B47" s="112"/>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8" t="s">
        <v>1240</v>
      </c>
      <c r="B48" s="113">
        <v>0.03</v>
      </c>
      <c r="C48" s="2561" t="s">
        <v>2296</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4" t="s">
        <v>1241</v>
      </c>
      <c r="B49" s="109">
        <v>5.0000000000000001E-4</v>
      </c>
      <c r="C49" s="2561" t="s">
        <v>2298</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09" t="s">
        <v>1242</v>
      </c>
      <c r="B50" s="114">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2" t="s">
        <v>1243</v>
      </c>
      <c r="B51" s="115">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09" t="s">
        <v>1244</v>
      </c>
      <c r="B52" s="116">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1" t="s">
        <v>1245</v>
      </c>
      <c r="B53" s="1610" t="s">
        <v>29</v>
      </c>
      <c r="C53" s="2438" t="s">
        <v>1246</v>
      </c>
      <c r="D53" s="2563" t="s">
        <v>2302</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1"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1"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1"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1"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1"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1" t="s">
        <v>1252</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1"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1"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1"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2" t="s">
        <v>1256</v>
      </c>
      <c r="B63" s="117"/>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3"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3"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3"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3"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3"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password="CEE9" sheet="1" objects="1" scenarios="1" formatCells="0" formatColumns="0" formatRows="0"/>
  <mergeCells count="1">
    <mergeCell ref="I18:K18"/>
  </mergeCells>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3.8"/>
  <cols>
    <col min="1" max="1" width="9.44140625" style="1521" customWidth="1"/>
    <col min="2" max="3" width="24.44140625" style="507" customWidth="1"/>
    <col min="4" max="4" width="2.6640625" style="507" customWidth="1"/>
    <col min="5" max="5" width="5.88671875" style="507" customWidth="1"/>
    <col min="6" max="7" width="27" style="507"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0" customWidth="1"/>
    <col min="19" max="29" width="9" style="750"/>
    <col min="30" max="16384" width="9" style="1521"/>
  </cols>
  <sheetData>
    <row r="1" spans="1:29" s="2257" customFormat="1" ht="18" thickBot="1">
      <c r="A1" s="3279" t="s">
        <v>2284</v>
      </c>
      <c r="B1" s="3280"/>
      <c r="C1" s="3280"/>
      <c r="D1" s="3280"/>
      <c r="E1" s="3280"/>
      <c r="F1" s="3280"/>
      <c r="G1" s="3280"/>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2279</v>
      </c>
      <c r="D2" s="1594"/>
      <c r="E2" s="2258"/>
      <c r="F2" s="2261"/>
      <c r="G2" s="2260" t="s">
        <v>2280</v>
      </c>
      <c r="H2" s="750"/>
      <c r="I2" s="750"/>
      <c r="J2" s="750"/>
      <c r="K2" s="750"/>
      <c r="L2" s="750"/>
      <c r="M2" s="750"/>
      <c r="N2" s="750"/>
      <c r="O2" s="750"/>
      <c r="P2" s="750"/>
      <c r="Q2" s="750"/>
    </row>
    <row r="3" spans="1:29" ht="48">
      <c r="A3" s="2245" t="s">
        <v>2281</v>
      </c>
      <c r="B3" s="2262" t="s">
        <v>2252</v>
      </c>
      <c r="C3" s="2263" t="s">
        <v>2282</v>
      </c>
      <c r="D3" s="2264"/>
      <c r="E3" s="2246" t="s">
        <v>2281</v>
      </c>
      <c r="F3" s="2265" t="s">
        <v>2253</v>
      </c>
      <c r="G3" s="2266" t="s">
        <v>2283</v>
      </c>
      <c r="H3" s="750"/>
      <c r="I3" s="750"/>
      <c r="J3" s="750"/>
      <c r="K3" s="750"/>
      <c r="L3" s="750"/>
      <c r="M3" s="750"/>
      <c r="N3" s="750"/>
      <c r="O3" s="750"/>
      <c r="P3" s="750"/>
      <c r="Q3" s="750"/>
    </row>
    <row r="4" spans="1:29" ht="48">
      <c r="A4" s="2246"/>
      <c r="B4" s="314" t="s">
        <v>2254</v>
      </c>
      <c r="C4" s="3171" t="s">
        <v>3505</v>
      </c>
      <c r="D4" s="2264"/>
      <c r="E4" s="2268"/>
      <c r="F4" s="1280" t="s">
        <v>2255</v>
      </c>
      <c r="G4" s="2269" t="s">
        <v>2256</v>
      </c>
      <c r="H4" s="750"/>
      <c r="I4" s="750"/>
      <c r="J4" s="750"/>
      <c r="K4" s="750"/>
      <c r="L4" s="750"/>
      <c r="M4" s="750"/>
      <c r="N4" s="750"/>
      <c r="O4" s="750"/>
      <c r="P4" s="750"/>
      <c r="Q4" s="750"/>
    </row>
    <row r="5" spans="1:29" ht="37.200000000000003">
      <c r="A5" s="2246"/>
      <c r="B5" s="314" t="s">
        <v>2257</v>
      </c>
      <c r="C5" s="2267" t="s">
        <v>2258</v>
      </c>
      <c r="D5" s="2264"/>
      <c r="E5" s="2268"/>
      <c r="F5" s="314" t="s">
        <v>2259</v>
      </c>
      <c r="G5" s="2269" t="s">
        <v>2260</v>
      </c>
      <c r="H5" s="750"/>
      <c r="I5" s="750"/>
      <c r="J5" s="750"/>
      <c r="K5" s="750"/>
      <c r="L5" s="750"/>
      <c r="M5" s="750"/>
      <c r="N5" s="750"/>
      <c r="O5" s="750"/>
      <c r="P5" s="750"/>
      <c r="Q5" s="750"/>
    </row>
    <row r="6" spans="1:29" ht="60">
      <c r="A6" s="2246"/>
      <c r="B6" s="314" t="s">
        <v>2261</v>
      </c>
      <c r="C6" s="3172" t="s">
        <v>3550</v>
      </c>
      <c r="D6" s="2264"/>
      <c r="E6" s="2268"/>
      <c r="F6" s="314" t="s">
        <v>2262</v>
      </c>
      <c r="G6" s="2269" t="s">
        <v>2263</v>
      </c>
      <c r="H6" s="750"/>
      <c r="I6" s="750"/>
      <c r="J6" s="750"/>
      <c r="K6" s="750"/>
      <c r="L6" s="750"/>
      <c r="M6" s="750"/>
      <c r="N6" s="750"/>
      <c r="O6" s="750"/>
      <c r="P6" s="750"/>
      <c r="Q6" s="750"/>
    </row>
    <row r="7" spans="1:29" ht="84.6" thickBot="1">
      <c r="A7" s="2246"/>
      <c r="B7" s="314" t="s">
        <v>2259</v>
      </c>
      <c r="C7" s="3172" t="s">
        <v>3507</v>
      </c>
      <c r="D7" s="2243"/>
      <c r="E7" s="2270"/>
      <c r="F7" s="2271" t="s">
        <v>2264</v>
      </c>
      <c r="G7" s="2272" t="s">
        <v>2265</v>
      </c>
      <c r="H7" s="750"/>
      <c r="I7" s="750"/>
      <c r="J7" s="750"/>
      <c r="K7" s="750"/>
      <c r="L7" s="750"/>
      <c r="M7" s="750"/>
      <c r="N7" s="750"/>
      <c r="O7" s="750"/>
      <c r="P7" s="750"/>
      <c r="Q7" s="750"/>
    </row>
    <row r="8" spans="1:29" ht="24">
      <c r="A8" s="2246"/>
      <c r="B8" s="314" t="s">
        <v>2262</v>
      </c>
      <c r="C8" s="2269" t="s">
        <v>2263</v>
      </c>
      <c r="D8" s="2243"/>
      <c r="E8" s="2243"/>
      <c r="F8" s="120"/>
      <c r="G8" s="120"/>
      <c r="H8" s="750"/>
      <c r="I8" s="750"/>
      <c r="J8" s="750"/>
      <c r="K8" s="750"/>
      <c r="L8" s="750"/>
      <c r="M8" s="750"/>
      <c r="N8" s="750"/>
      <c r="O8" s="750"/>
      <c r="P8" s="750"/>
      <c r="Q8" s="750"/>
    </row>
    <row r="9" spans="1:29" ht="84">
      <c r="A9" s="2246"/>
      <c r="B9" s="314" t="s">
        <v>2266</v>
      </c>
      <c r="C9" s="3171" t="s">
        <v>3508</v>
      </c>
      <c r="D9" s="2264"/>
      <c r="E9" s="2243"/>
      <c r="F9" s="120"/>
      <c r="G9" s="120"/>
      <c r="H9" s="750"/>
      <c r="I9" s="750"/>
      <c r="J9" s="750"/>
      <c r="K9" s="750"/>
      <c r="L9" s="750"/>
      <c r="M9" s="750"/>
      <c r="N9" s="750"/>
      <c r="O9" s="750"/>
      <c r="P9" s="750"/>
      <c r="Q9" s="750"/>
    </row>
    <row r="10" spans="1:29" ht="14.4" thickBot="1">
      <c r="A10" s="2247"/>
      <c r="B10" s="2273" t="s">
        <v>2267</v>
      </c>
      <c r="C10" s="2274"/>
      <c r="D10" s="2264"/>
      <c r="E10" s="2264"/>
      <c r="F10" s="120"/>
      <c r="G10" s="120"/>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2285</v>
      </c>
      <c r="B13" s="2278"/>
      <c r="C13" s="2278"/>
      <c r="D13" s="2277"/>
      <c r="E13" s="2278"/>
      <c r="F13" s="2278"/>
      <c r="G13" s="2278"/>
    </row>
    <row r="14" spans="1:29" ht="14.4" thickBot="1">
      <c r="A14" s="2283"/>
      <c r="B14" s="2283"/>
      <c r="C14" s="2284" t="s">
        <v>2268</v>
      </c>
      <c r="D14" s="2264"/>
      <c r="E14" s="2285"/>
      <c r="F14" s="2285"/>
      <c r="G14" s="2260" t="s">
        <v>2269</v>
      </c>
    </row>
    <row r="15" spans="1:29" ht="52.8">
      <c r="A15" s="2248" t="s">
        <v>2270</v>
      </c>
      <c r="B15" s="2286" t="s">
        <v>2252</v>
      </c>
      <c r="C15" s="2287" t="str">
        <f>C3</f>
        <v>估价对象周边居住用地比例、居住小区规模和社区发展完善程度，综合评价居住社区成熟度一般</v>
      </c>
      <c r="D15" s="2264"/>
      <c r="E15" s="2249" t="s">
        <v>2271</v>
      </c>
      <c r="F15" s="2286" t="s">
        <v>2272</v>
      </c>
      <c r="G15" s="2288" t="str">
        <f>G3</f>
        <v>估价对象位于XX开发区，园区建设成熟度XX，产业集聚程度XX</v>
      </c>
    </row>
    <row r="16" spans="1:29" ht="52.8">
      <c r="A16" s="2250"/>
      <c r="B16" s="2289" t="s">
        <v>2254</v>
      </c>
      <c r="C16" s="2290" t="str">
        <f>C4</f>
        <v>估价对象2公里范围内有百品尚购物中心，周边商业氛围一般，人流量一般，商业繁华一般</v>
      </c>
      <c r="D16" s="2264"/>
      <c r="E16" s="2251"/>
      <c r="F16" s="2291" t="s">
        <v>2255</v>
      </c>
      <c r="G16" s="2292" t="str">
        <f>G4</f>
        <v>估价对象周边道路状况、公共交通通达情况、停车便捷程度，综合评价交通便捷度较好</v>
      </c>
    </row>
    <row r="17" spans="1:17" ht="39.6">
      <c r="A17" s="2250"/>
      <c r="B17" s="2289" t="s">
        <v>2257</v>
      </c>
      <c r="C17" s="2290" t="str">
        <f>C5</f>
        <v>估价对象位于XX商圈，周边办公楼项目较多，入驻率高，办公集聚程度较好</v>
      </c>
      <c r="D17" s="2243"/>
      <c r="E17" s="2251"/>
      <c r="F17" s="2291" t="s">
        <v>2273</v>
      </c>
      <c r="G17" s="2293"/>
    </row>
    <row r="18" spans="1:17" ht="66">
      <c r="A18" s="2250"/>
      <c r="B18" s="2291" t="s">
        <v>2261</v>
      </c>
      <c r="C18" s="2292" t="str">
        <f>C6</f>
        <v>估价对象临城市主干道--妫川路，周边有Y9路、919路、920路公交车，门口可停车，停车便捷程度较好，综合评价交通便捷度一般</v>
      </c>
      <c r="D18" s="2243"/>
      <c r="E18" s="2251"/>
      <c r="F18" s="2291" t="s">
        <v>2264</v>
      </c>
      <c r="G18" s="2292" t="str">
        <f>G7</f>
        <v>该园区内是否有污染型企业，绿化情况，卫生条件，整体环境状况判断</v>
      </c>
    </row>
    <row r="19" spans="1:17" ht="26.4">
      <c r="A19" s="2250"/>
      <c r="B19" s="2291" t="s">
        <v>2274</v>
      </c>
      <c r="C19" s="2293"/>
      <c r="D19" s="2264"/>
      <c r="E19" s="2251"/>
      <c r="F19" s="314" t="s">
        <v>2259</v>
      </c>
      <c r="G19" s="2292" t="str">
        <f>G5</f>
        <v>估价对象所在区域公共配套设施齐备情况</v>
      </c>
    </row>
    <row r="20" spans="1:17" ht="92.4">
      <c r="A20" s="2250"/>
      <c r="B20" s="2291" t="s">
        <v>2275</v>
      </c>
      <c r="C20" s="2290" t="str">
        <f>C9</f>
        <v>区域自然环境：迎宾公园、百泉公园、夏都公园、北京延庆世界地质公园；人文环境：延庆区职业学院、妫川宝塔、延庆地质博物馆、水生野生博物馆；综合评价环境状况较好</v>
      </c>
      <c r="D20" s="2243"/>
      <c r="E20" s="2251"/>
      <c r="F20" s="314" t="s">
        <v>2262</v>
      </c>
      <c r="G20" s="2292" t="str">
        <f>G6</f>
        <v>估价对象所在区域基础设施水平</v>
      </c>
    </row>
    <row r="21" spans="1:17" ht="92.4">
      <c r="A21" s="2250"/>
      <c r="B21" s="314" t="s">
        <v>2259</v>
      </c>
      <c r="C21" s="2292" t="str">
        <f>C7</f>
        <v>估价对象所在区域公共配套设施齐备情况：农业银行、农业发展银行、中国银行，司家营小学、北京市延庆区第二中学，国润家园社区卫生服务站、北京中医医院延庆医院，百尚购物中心</v>
      </c>
      <c r="D21" s="2264"/>
      <c r="E21" s="2251"/>
      <c r="F21" s="2291" t="s">
        <v>2276</v>
      </c>
      <c r="G21" s="2294"/>
    </row>
    <row r="22" spans="1:17" ht="13.5" customHeight="1">
      <c r="A22" s="2250"/>
      <c r="B22" s="314" t="s">
        <v>2262</v>
      </c>
      <c r="C22" s="2292" t="str">
        <f>C8</f>
        <v>估价对象所在区域基础设施水平</v>
      </c>
      <c r="D22" s="2264"/>
      <c r="E22" s="2251"/>
      <c r="F22" s="2291" t="s">
        <v>2267</v>
      </c>
      <c r="G22" s="2293"/>
    </row>
    <row r="23" spans="1:17" s="750" customFormat="1" ht="14.4" thickBot="1">
      <c r="A23" s="2250"/>
      <c r="B23" s="2291" t="s">
        <v>2276</v>
      </c>
      <c r="C23" s="2294"/>
      <c r="D23" s="1613"/>
      <c r="E23" s="2252"/>
      <c r="F23" s="2295" t="s">
        <v>2277</v>
      </c>
      <c r="G23" s="2296"/>
      <c r="H23" s="2275"/>
      <c r="I23" s="2275"/>
      <c r="J23" s="2275"/>
      <c r="K23" s="2275"/>
      <c r="L23" s="2275"/>
      <c r="M23" s="2275"/>
      <c r="N23" s="2275"/>
      <c r="O23" s="2275"/>
      <c r="P23" s="2275"/>
      <c r="Q23" s="2275"/>
    </row>
    <row r="24" spans="1:17" s="750" customFormat="1" ht="14.4" thickBot="1">
      <c r="A24" s="2253"/>
      <c r="B24" s="2295" t="s">
        <v>2278</v>
      </c>
      <c r="C24" s="2297">
        <f>C10</f>
        <v>0</v>
      </c>
      <c r="D24" s="1613"/>
      <c r="E24" s="2243"/>
      <c r="F24" s="2243"/>
      <c r="G24" s="2243"/>
      <c r="H24" s="2275"/>
      <c r="I24" s="2275"/>
      <c r="J24" s="2275"/>
      <c r="K24" s="2275"/>
      <c r="L24" s="2275"/>
      <c r="M24" s="2275"/>
      <c r="N24" s="2275"/>
      <c r="O24" s="2275"/>
      <c r="P24" s="2275"/>
      <c r="Q24" s="2275"/>
    </row>
    <row r="25" spans="1:17" s="750" customFormat="1">
      <c r="B25" s="2275"/>
      <c r="C25" s="2275"/>
      <c r="D25" s="2275"/>
      <c r="H25" s="2275"/>
      <c r="I25" s="2275"/>
      <c r="J25" s="2275"/>
      <c r="K25" s="2275"/>
      <c r="L25" s="2275"/>
      <c r="M25" s="2275"/>
      <c r="N25" s="2275"/>
      <c r="O25" s="2275"/>
      <c r="P25" s="2275"/>
      <c r="Q25" s="2275"/>
    </row>
    <row r="26" spans="1:17" s="750" customFormat="1">
      <c r="B26" s="2275"/>
      <c r="C26" s="2275"/>
      <c r="D26" s="2275"/>
      <c r="H26" s="2275"/>
      <c r="I26" s="2275"/>
      <c r="J26" s="2275"/>
      <c r="K26" s="2275"/>
      <c r="L26" s="2275"/>
      <c r="M26" s="2275"/>
      <c r="N26" s="2275"/>
      <c r="O26" s="2275"/>
      <c r="P26" s="2275"/>
      <c r="Q26" s="2275"/>
    </row>
    <row r="27" spans="1:17" s="750" customFormat="1">
      <c r="B27" s="2275"/>
      <c r="C27" s="2275"/>
      <c r="D27" s="2275"/>
      <c r="H27" s="2275"/>
      <c r="I27" s="2275"/>
      <c r="J27" s="2275"/>
      <c r="K27" s="2275"/>
      <c r="L27" s="2275"/>
      <c r="M27" s="2275"/>
      <c r="N27" s="2275"/>
      <c r="O27" s="2275"/>
      <c r="P27" s="2275"/>
      <c r="Q27" s="2275"/>
    </row>
    <row r="28" spans="1:17" s="750" customFormat="1">
      <c r="B28" s="2275"/>
      <c r="C28" s="2275"/>
      <c r="D28" s="2275"/>
      <c r="H28" s="2275"/>
      <c r="I28" s="2275"/>
      <c r="J28" s="2275"/>
      <c r="K28" s="2275"/>
      <c r="L28" s="2275"/>
      <c r="M28" s="2275"/>
      <c r="N28" s="2275"/>
      <c r="O28" s="2275"/>
      <c r="P28" s="2275"/>
      <c r="Q28" s="2275"/>
    </row>
    <row r="29" spans="1:17" s="750" customFormat="1">
      <c r="B29" s="2275"/>
      <c r="C29" s="2275"/>
      <c r="D29" s="2275"/>
      <c r="H29" s="2275"/>
      <c r="I29" s="2275"/>
      <c r="J29" s="2275"/>
      <c r="K29" s="2275"/>
      <c r="L29" s="2275"/>
      <c r="M29" s="2275"/>
      <c r="N29" s="2275"/>
      <c r="O29" s="2275"/>
      <c r="P29" s="2275"/>
      <c r="Q29" s="2275"/>
    </row>
    <row r="30" spans="1:17" s="750" customFormat="1">
      <c r="B30" s="2275"/>
      <c r="C30" s="2275"/>
      <c r="D30" s="2275"/>
      <c r="H30" s="2275"/>
      <c r="I30" s="2275"/>
      <c r="J30" s="2275"/>
      <c r="K30" s="2275"/>
      <c r="L30" s="2275"/>
      <c r="M30" s="2275"/>
      <c r="N30" s="2275"/>
      <c r="O30" s="2275"/>
      <c r="P30" s="2275"/>
      <c r="Q30" s="2275"/>
    </row>
    <row r="31" spans="1:17" s="750" customFormat="1">
      <c r="B31" s="2275"/>
      <c r="C31" s="2275"/>
      <c r="D31" s="2275"/>
      <c r="H31" s="2275"/>
      <c r="I31" s="2275"/>
      <c r="J31" s="2275"/>
      <c r="K31" s="2275"/>
      <c r="L31" s="2275"/>
      <c r="M31" s="2275"/>
      <c r="N31" s="2275"/>
      <c r="O31" s="2275"/>
      <c r="P31" s="2275"/>
      <c r="Q31" s="2275"/>
    </row>
    <row r="32" spans="1:17" s="750" customFormat="1">
      <c r="B32" s="2275"/>
      <c r="C32" s="2275"/>
      <c r="D32" s="2275"/>
      <c r="H32" s="2275"/>
      <c r="I32" s="2275"/>
      <c r="J32" s="2275"/>
      <c r="K32" s="2275"/>
      <c r="L32" s="2275"/>
      <c r="M32" s="2275"/>
      <c r="N32" s="2275"/>
      <c r="O32" s="2275"/>
      <c r="P32" s="2275"/>
      <c r="Q32" s="2275"/>
    </row>
    <row r="33" spans="2:17" s="750" customFormat="1">
      <c r="B33" s="2275"/>
      <c r="C33" s="2275"/>
      <c r="D33" s="2275"/>
      <c r="H33" s="2275"/>
      <c r="I33" s="2275"/>
      <c r="J33" s="2275"/>
      <c r="K33" s="2275"/>
      <c r="L33" s="2275"/>
      <c r="M33" s="2275"/>
      <c r="N33" s="2275"/>
      <c r="O33" s="2275"/>
      <c r="P33" s="2275"/>
      <c r="Q33" s="2275"/>
    </row>
    <row r="34" spans="2:17" s="750" customFormat="1">
      <c r="B34" s="2275"/>
      <c r="C34" s="2275"/>
      <c r="D34" s="2275"/>
      <c r="H34" s="2275"/>
      <c r="I34" s="2275"/>
      <c r="J34" s="2275"/>
      <c r="K34" s="2275"/>
      <c r="L34" s="2275"/>
      <c r="M34" s="2275"/>
      <c r="N34" s="2275"/>
      <c r="O34" s="2275"/>
      <c r="P34" s="2275"/>
      <c r="Q34" s="2275"/>
    </row>
    <row r="35" spans="2:17" s="750" customFormat="1">
      <c r="B35" s="2275"/>
      <c r="C35" s="2275"/>
      <c r="D35" s="2275"/>
      <c r="H35" s="2275"/>
      <c r="I35" s="2275"/>
      <c r="J35" s="2275"/>
      <c r="K35" s="2275"/>
      <c r="L35" s="2275"/>
      <c r="M35" s="2275"/>
      <c r="N35" s="2275"/>
      <c r="O35" s="2275"/>
      <c r="P35" s="2275"/>
      <c r="Q35" s="2275"/>
    </row>
    <row r="36" spans="2:17" s="750" customFormat="1">
      <c r="B36" s="2275"/>
      <c r="C36" s="2275"/>
      <c r="D36" s="2275"/>
      <c r="H36" s="2275"/>
      <c r="I36" s="2275"/>
      <c r="J36" s="2275"/>
      <c r="K36" s="2275"/>
      <c r="L36" s="2275"/>
      <c r="M36" s="2275"/>
      <c r="N36" s="2275"/>
      <c r="O36" s="2275"/>
      <c r="P36" s="2275"/>
      <c r="Q36" s="2275"/>
    </row>
    <row r="37" spans="2:17" s="750" customFormat="1">
      <c r="B37" s="2275"/>
      <c r="C37" s="2275"/>
      <c r="D37" s="2275"/>
      <c r="H37" s="2275"/>
      <c r="I37" s="2275"/>
      <c r="J37" s="2275"/>
      <c r="K37" s="2275"/>
      <c r="L37" s="2275"/>
      <c r="M37" s="2275"/>
      <c r="N37" s="2275"/>
      <c r="O37" s="2275"/>
      <c r="P37" s="2275"/>
      <c r="Q37" s="2275"/>
    </row>
    <row r="38" spans="2:17" s="750" customFormat="1">
      <c r="B38" s="2275"/>
      <c r="C38" s="2275"/>
      <c r="D38" s="2275"/>
      <c r="E38" s="2275"/>
      <c r="F38" s="2275"/>
      <c r="G38" s="2275"/>
      <c r="H38" s="2275"/>
      <c r="I38" s="2275"/>
      <c r="J38" s="2275"/>
      <c r="K38" s="2275"/>
      <c r="L38" s="2275"/>
      <c r="M38" s="2275"/>
      <c r="N38" s="2275"/>
      <c r="O38" s="2275"/>
      <c r="P38" s="2275"/>
      <c r="Q38" s="2275"/>
    </row>
    <row r="39" spans="2:17" s="750" customFormat="1">
      <c r="B39" s="2275"/>
      <c r="C39" s="2275"/>
      <c r="D39" s="2275"/>
      <c r="E39" s="2275"/>
      <c r="F39" s="2275"/>
      <c r="G39" s="2275"/>
      <c r="H39" s="2275"/>
      <c r="I39" s="2275"/>
      <c r="J39" s="2275"/>
      <c r="K39" s="2275"/>
      <c r="L39" s="2275"/>
      <c r="M39" s="2275"/>
      <c r="N39" s="2275"/>
      <c r="O39" s="2275"/>
      <c r="P39" s="2275"/>
      <c r="Q39" s="2275"/>
    </row>
    <row r="40" spans="2:17" s="750" customFormat="1">
      <c r="B40" s="2275"/>
      <c r="C40" s="2275"/>
      <c r="D40" s="2275"/>
      <c r="E40" s="2275"/>
      <c r="F40" s="2275"/>
      <c r="G40" s="2275"/>
      <c r="H40" s="2275"/>
      <c r="I40" s="2275"/>
      <c r="J40" s="2275"/>
      <c r="K40" s="2275"/>
      <c r="L40" s="2275"/>
      <c r="M40" s="2275"/>
      <c r="N40" s="2275"/>
      <c r="O40" s="2275"/>
      <c r="P40" s="2275"/>
      <c r="Q40" s="2275"/>
    </row>
    <row r="41" spans="2:17" s="750" customFormat="1">
      <c r="B41" s="2275"/>
      <c r="C41" s="2275"/>
      <c r="D41" s="2275"/>
      <c r="E41" s="2275"/>
      <c r="F41" s="2275"/>
      <c r="G41" s="2275"/>
      <c r="H41" s="2275"/>
      <c r="I41" s="2275"/>
      <c r="J41" s="2275"/>
      <c r="K41" s="2275"/>
      <c r="L41" s="2275"/>
      <c r="M41" s="2275"/>
      <c r="N41" s="2275"/>
      <c r="O41" s="2275"/>
      <c r="P41" s="2275"/>
      <c r="Q41" s="2275"/>
    </row>
    <row r="42" spans="2:17" s="750" customFormat="1">
      <c r="B42" s="2275"/>
      <c r="C42" s="2275"/>
      <c r="D42" s="2275"/>
      <c r="E42" s="2275"/>
      <c r="F42" s="2275"/>
      <c r="G42" s="2275"/>
      <c r="H42" s="2275"/>
      <c r="I42" s="2275"/>
      <c r="J42" s="2275"/>
      <c r="K42" s="2275"/>
      <c r="L42" s="2275"/>
      <c r="M42" s="2275"/>
      <c r="N42" s="2275"/>
      <c r="O42" s="2275"/>
      <c r="P42" s="2275"/>
      <c r="Q42" s="2275"/>
    </row>
    <row r="43" spans="2:17" s="750" customFormat="1">
      <c r="B43" s="2275"/>
      <c r="C43" s="2275"/>
      <c r="D43" s="2275"/>
      <c r="E43" s="2275"/>
      <c r="F43" s="2275"/>
      <c r="G43" s="2275"/>
      <c r="H43" s="2275"/>
      <c r="I43" s="2275"/>
      <c r="J43" s="2275"/>
      <c r="K43" s="2275"/>
      <c r="L43" s="2275"/>
      <c r="M43" s="2275"/>
      <c r="N43" s="2275"/>
      <c r="O43" s="2275"/>
      <c r="P43" s="2275"/>
      <c r="Q43" s="2275"/>
    </row>
    <row r="44" spans="2:17" s="750" customFormat="1">
      <c r="B44" s="2275"/>
      <c r="C44" s="2275"/>
      <c r="D44" s="2275"/>
      <c r="E44" s="2275"/>
      <c r="F44" s="2275"/>
      <c r="G44" s="2275"/>
      <c r="H44" s="2275"/>
      <c r="I44" s="2275"/>
      <c r="J44" s="2275"/>
      <c r="K44" s="2275"/>
      <c r="L44" s="2275"/>
      <c r="M44" s="2275"/>
      <c r="N44" s="2275"/>
      <c r="O44" s="2275"/>
      <c r="P44" s="2275"/>
      <c r="Q44" s="2275"/>
    </row>
    <row r="45" spans="2:17" s="750" customFormat="1">
      <c r="B45" s="2275"/>
      <c r="C45" s="2275"/>
      <c r="D45" s="2275"/>
      <c r="E45" s="2275"/>
      <c r="F45" s="2275"/>
      <c r="G45" s="2275"/>
      <c r="H45" s="2275"/>
      <c r="I45" s="2275"/>
      <c r="J45" s="2275"/>
      <c r="K45" s="2275"/>
      <c r="L45" s="2275"/>
      <c r="M45" s="2275"/>
      <c r="N45" s="2275"/>
      <c r="O45" s="2275"/>
      <c r="P45" s="2275"/>
      <c r="Q45" s="2275"/>
    </row>
    <row r="46" spans="2:17" s="750" customFormat="1">
      <c r="B46" s="2275"/>
      <c r="C46" s="2275"/>
      <c r="D46" s="2275"/>
      <c r="E46" s="2275"/>
      <c r="F46" s="2275"/>
      <c r="G46" s="2275"/>
      <c r="H46" s="2275"/>
      <c r="I46" s="2275"/>
      <c r="J46" s="2275"/>
      <c r="K46" s="2275"/>
      <c r="L46" s="2275"/>
      <c r="M46" s="2275"/>
      <c r="N46" s="2275"/>
      <c r="O46" s="2275"/>
      <c r="P46" s="2275"/>
      <c r="Q46" s="2275"/>
    </row>
    <row r="47" spans="2:17" s="750" customFormat="1">
      <c r="B47" s="2275"/>
      <c r="C47" s="2275"/>
      <c r="D47" s="2275"/>
      <c r="E47" s="2275"/>
      <c r="F47" s="2275"/>
      <c r="G47" s="2275"/>
      <c r="H47" s="2275"/>
      <c r="I47" s="2275"/>
      <c r="J47" s="2275"/>
      <c r="K47" s="2275"/>
      <c r="L47" s="2275"/>
      <c r="M47" s="2275"/>
      <c r="N47" s="2275"/>
      <c r="O47" s="2275"/>
      <c r="P47" s="2275"/>
      <c r="Q47" s="2275"/>
    </row>
    <row r="48" spans="2:17" s="750" customFormat="1">
      <c r="B48" s="2275"/>
      <c r="C48" s="2275"/>
      <c r="D48" s="2275"/>
      <c r="E48" s="2275"/>
      <c r="F48" s="2275"/>
      <c r="G48" s="2275"/>
      <c r="H48" s="2275"/>
      <c r="I48" s="2275"/>
      <c r="J48" s="2275"/>
      <c r="K48" s="2275"/>
      <c r="L48" s="2275"/>
      <c r="M48" s="2275"/>
      <c r="N48" s="2275"/>
      <c r="O48" s="2275"/>
      <c r="P48" s="2275"/>
      <c r="Q48" s="2275"/>
    </row>
    <row r="49" spans="2:17" s="750" customFormat="1">
      <c r="B49" s="2275"/>
      <c r="C49" s="2275"/>
      <c r="D49" s="2275"/>
      <c r="E49" s="2275"/>
      <c r="F49" s="2275"/>
      <c r="G49" s="2275"/>
      <c r="H49" s="2275"/>
      <c r="I49" s="2275"/>
      <c r="J49" s="2275"/>
      <c r="K49" s="2275"/>
      <c r="L49" s="2275"/>
      <c r="M49" s="2275"/>
      <c r="N49" s="2275"/>
      <c r="O49" s="2275"/>
      <c r="P49" s="2275"/>
      <c r="Q49" s="2275"/>
    </row>
    <row r="50" spans="2:17" s="750" customFormat="1">
      <c r="B50" s="2275"/>
      <c r="C50" s="2275"/>
      <c r="D50" s="2275"/>
      <c r="E50" s="2275"/>
      <c r="F50" s="2275"/>
      <c r="G50" s="2275"/>
      <c r="H50" s="2275"/>
      <c r="I50" s="2275"/>
      <c r="J50" s="2275"/>
      <c r="K50" s="2275"/>
      <c r="L50" s="2275"/>
      <c r="M50" s="2275"/>
      <c r="N50" s="2275"/>
      <c r="O50" s="2275"/>
      <c r="P50" s="2275"/>
      <c r="Q50" s="2275"/>
    </row>
    <row r="51" spans="2:17" s="750" customFormat="1">
      <c r="B51" s="2275"/>
      <c r="C51" s="2275"/>
      <c r="D51" s="2275"/>
      <c r="E51" s="2275"/>
      <c r="F51" s="2275"/>
      <c r="G51" s="2275"/>
      <c r="H51" s="2275"/>
      <c r="I51" s="2275"/>
      <c r="J51" s="2275"/>
      <c r="K51" s="2275"/>
      <c r="L51" s="2275"/>
      <c r="M51" s="2275"/>
      <c r="N51" s="2275"/>
      <c r="O51" s="2275"/>
      <c r="P51" s="2275"/>
      <c r="Q51" s="2275"/>
    </row>
    <row r="52" spans="2:17" s="750" customFormat="1">
      <c r="B52" s="2275"/>
      <c r="C52" s="2275"/>
      <c r="D52" s="2275"/>
      <c r="E52" s="2275"/>
      <c r="F52" s="2275"/>
      <c r="G52" s="2275"/>
      <c r="H52" s="2275"/>
      <c r="I52" s="2275"/>
      <c r="J52" s="2275"/>
      <c r="K52" s="2275"/>
      <c r="L52" s="2275"/>
      <c r="M52" s="2275"/>
      <c r="N52" s="2275"/>
      <c r="O52" s="2275"/>
      <c r="P52" s="2275"/>
      <c r="Q52" s="2275"/>
    </row>
    <row r="53" spans="2:17" s="750" customFormat="1">
      <c r="B53" s="2275"/>
      <c r="C53" s="2275"/>
      <c r="D53" s="2275"/>
      <c r="E53" s="2275"/>
      <c r="F53" s="2275"/>
      <c r="G53" s="2275"/>
      <c r="H53" s="2275"/>
      <c r="I53" s="2275"/>
      <c r="J53" s="2275"/>
      <c r="K53" s="2275"/>
      <c r="L53" s="2275"/>
      <c r="M53" s="2275"/>
      <c r="N53" s="2275"/>
      <c r="O53" s="2275"/>
      <c r="P53" s="2275"/>
      <c r="Q53" s="2275"/>
    </row>
    <row r="54" spans="2:17" s="750" customFormat="1">
      <c r="B54" s="2275"/>
      <c r="C54" s="2275"/>
      <c r="D54" s="2275"/>
      <c r="E54" s="2275"/>
      <c r="F54" s="2275"/>
      <c r="G54" s="2275"/>
      <c r="H54" s="2275"/>
      <c r="I54" s="2275"/>
      <c r="J54" s="2275"/>
      <c r="K54" s="2275"/>
      <c r="L54" s="2275"/>
      <c r="M54" s="2275"/>
      <c r="N54" s="2275"/>
      <c r="O54" s="2275"/>
      <c r="P54" s="2275"/>
      <c r="Q54" s="2275"/>
    </row>
    <row r="55" spans="2:17" s="750" customFormat="1">
      <c r="B55" s="2275"/>
      <c r="C55" s="2275"/>
      <c r="D55" s="2275"/>
      <c r="E55" s="2275"/>
      <c r="F55" s="2275"/>
      <c r="G55" s="2275"/>
      <c r="H55" s="2275"/>
      <c r="I55" s="2275"/>
      <c r="J55" s="2275"/>
      <c r="K55" s="2275"/>
      <c r="L55" s="2275"/>
      <c r="M55" s="2275"/>
      <c r="N55" s="2275"/>
      <c r="O55" s="2275"/>
      <c r="P55" s="2275"/>
      <c r="Q55" s="2275"/>
    </row>
    <row r="56" spans="2:17" s="750" customFormat="1">
      <c r="B56" s="2275"/>
      <c r="C56" s="2275"/>
      <c r="D56" s="2275"/>
      <c r="E56" s="2275"/>
      <c r="F56" s="2275"/>
      <c r="G56" s="2275"/>
      <c r="H56" s="2275"/>
      <c r="I56" s="2275"/>
      <c r="J56" s="2275"/>
      <c r="K56" s="2275"/>
      <c r="L56" s="2275"/>
      <c r="M56" s="2275"/>
      <c r="N56" s="2275"/>
      <c r="O56" s="2275"/>
      <c r="P56" s="2275"/>
      <c r="Q56" s="2275"/>
    </row>
    <row r="57" spans="2:17" s="750" customFormat="1">
      <c r="B57" s="2275"/>
      <c r="C57" s="2275"/>
      <c r="D57" s="2275"/>
      <c r="E57" s="2275"/>
      <c r="F57" s="2275"/>
      <c r="G57" s="2275"/>
      <c r="H57" s="2275"/>
      <c r="I57" s="2275"/>
      <c r="J57" s="2275"/>
      <c r="K57" s="2275"/>
      <c r="L57" s="2275"/>
      <c r="M57" s="2275"/>
      <c r="N57" s="2275"/>
      <c r="O57" s="2275"/>
      <c r="P57" s="2275"/>
      <c r="Q57" s="2275"/>
    </row>
    <row r="58" spans="2:17" s="750" customFormat="1">
      <c r="B58" s="2275"/>
      <c r="C58" s="2275"/>
      <c r="D58" s="2275"/>
      <c r="E58" s="2275"/>
      <c r="F58" s="2275"/>
      <c r="G58" s="2275"/>
      <c r="H58" s="2275"/>
      <c r="I58" s="2275"/>
      <c r="J58" s="2275"/>
      <c r="K58" s="2275"/>
      <c r="L58" s="2275"/>
      <c r="M58" s="2275"/>
      <c r="N58" s="2275"/>
      <c r="O58" s="2275"/>
      <c r="P58" s="2275"/>
      <c r="Q58" s="2275"/>
    </row>
    <row r="59" spans="2:17" s="750" customFormat="1">
      <c r="B59" s="2275"/>
      <c r="C59" s="2275"/>
      <c r="D59" s="2275"/>
      <c r="E59" s="2275"/>
      <c r="F59" s="2275"/>
      <c r="G59" s="2275"/>
      <c r="H59" s="2275"/>
      <c r="I59" s="2275"/>
      <c r="J59" s="2275"/>
      <c r="K59" s="2275"/>
      <c r="L59" s="2275"/>
      <c r="M59" s="2275"/>
      <c r="N59" s="2275"/>
      <c r="O59" s="2275"/>
      <c r="P59" s="2275"/>
      <c r="Q59" s="2275"/>
    </row>
    <row r="60" spans="2:17" s="750" customFormat="1">
      <c r="B60" s="2275"/>
      <c r="C60" s="2275"/>
      <c r="D60" s="2275"/>
      <c r="E60" s="2275"/>
      <c r="F60" s="2275"/>
      <c r="G60" s="2275"/>
      <c r="H60" s="2275"/>
      <c r="I60" s="2275"/>
      <c r="J60" s="2275"/>
      <c r="K60" s="2275"/>
      <c r="L60" s="2275"/>
      <c r="M60" s="2275"/>
      <c r="N60" s="2275"/>
      <c r="O60" s="2275"/>
      <c r="P60" s="2275"/>
      <c r="Q60" s="2275"/>
    </row>
    <row r="61" spans="2:17" s="750" customFormat="1">
      <c r="B61" s="2275"/>
      <c r="C61" s="2275"/>
      <c r="D61" s="2275"/>
      <c r="E61" s="2275"/>
      <c r="F61" s="2275"/>
      <c r="G61" s="2275"/>
      <c r="H61" s="2275"/>
      <c r="I61" s="2275"/>
      <c r="J61" s="2275"/>
      <c r="K61" s="2275"/>
      <c r="L61" s="2275"/>
      <c r="M61" s="2275"/>
      <c r="N61" s="2275"/>
      <c r="O61" s="2275"/>
      <c r="P61" s="2275"/>
      <c r="Q61" s="2275"/>
    </row>
    <row r="62" spans="2:17" s="750" customFormat="1">
      <c r="B62" s="2275"/>
      <c r="C62" s="2275"/>
      <c r="D62" s="2275"/>
      <c r="E62" s="2275"/>
      <c r="F62" s="2275"/>
      <c r="G62" s="2275"/>
      <c r="H62" s="2275"/>
      <c r="I62" s="2275"/>
      <c r="J62" s="2275"/>
      <c r="K62" s="2275"/>
      <c r="L62" s="2275"/>
      <c r="M62" s="2275"/>
      <c r="N62" s="2275"/>
      <c r="O62" s="2275"/>
      <c r="P62" s="2275"/>
      <c r="Q62" s="2275"/>
    </row>
    <row r="63" spans="2:17" s="750" customFormat="1">
      <c r="B63" s="2275"/>
      <c r="C63" s="2275"/>
      <c r="D63" s="2275"/>
      <c r="E63" s="2275"/>
      <c r="F63" s="2275"/>
      <c r="G63" s="2275"/>
      <c r="H63" s="2275"/>
      <c r="I63" s="2275"/>
      <c r="J63" s="2275"/>
      <c r="K63" s="2275"/>
      <c r="L63" s="2275"/>
      <c r="M63" s="2275"/>
      <c r="N63" s="2275"/>
      <c r="O63" s="2275"/>
      <c r="P63" s="2275"/>
      <c r="Q63" s="2275"/>
    </row>
    <row r="64" spans="2:17" s="750" customFormat="1">
      <c r="B64" s="2275"/>
      <c r="C64" s="2275"/>
      <c r="D64" s="2275"/>
      <c r="E64" s="2275"/>
      <c r="F64" s="2275"/>
      <c r="G64" s="2275"/>
      <c r="H64" s="2275"/>
      <c r="I64" s="2275"/>
      <c r="J64" s="2275"/>
      <c r="K64" s="2275"/>
      <c r="L64" s="2275"/>
      <c r="M64" s="2275"/>
      <c r="N64" s="2275"/>
      <c r="O64" s="2275"/>
      <c r="P64" s="2275"/>
      <c r="Q64" s="2275"/>
    </row>
    <row r="65" spans="2:17" s="750" customFormat="1">
      <c r="B65" s="2275"/>
      <c r="C65" s="2275"/>
      <c r="D65" s="2275"/>
      <c r="E65" s="2275"/>
      <c r="F65" s="2275"/>
      <c r="G65" s="2275"/>
      <c r="H65" s="2275"/>
      <c r="I65" s="2275"/>
      <c r="J65" s="2275"/>
      <c r="K65" s="2275"/>
      <c r="L65" s="2275"/>
      <c r="M65" s="2275"/>
      <c r="N65" s="2275"/>
      <c r="O65" s="2275"/>
      <c r="P65" s="2275"/>
      <c r="Q65" s="2275"/>
    </row>
    <row r="66" spans="2:17" s="750" customFormat="1">
      <c r="B66" s="2275"/>
      <c r="C66" s="2275"/>
      <c r="D66" s="2275"/>
      <c r="E66" s="2275"/>
      <c r="F66" s="2275"/>
      <c r="G66" s="2275"/>
      <c r="H66" s="2275"/>
      <c r="I66" s="2275"/>
      <c r="J66" s="2275"/>
      <c r="K66" s="2275"/>
      <c r="L66" s="2275"/>
      <c r="M66" s="2275"/>
      <c r="N66" s="2275"/>
      <c r="O66" s="2275"/>
      <c r="P66" s="2275"/>
      <c r="Q66" s="2275"/>
    </row>
    <row r="67" spans="2:17" s="750" customFormat="1">
      <c r="B67" s="2275"/>
      <c r="C67" s="2275"/>
      <c r="D67" s="2275"/>
      <c r="E67" s="2275"/>
      <c r="F67" s="2275"/>
      <c r="G67" s="2275"/>
      <c r="H67" s="2275"/>
      <c r="I67" s="2275"/>
      <c r="J67" s="2275"/>
      <c r="K67" s="2275"/>
      <c r="L67" s="2275"/>
      <c r="M67" s="2275"/>
      <c r="N67" s="2275"/>
      <c r="O67" s="2275"/>
      <c r="P67" s="2275"/>
      <c r="Q67" s="2275"/>
    </row>
    <row r="68" spans="2:17" s="750" customFormat="1">
      <c r="B68" s="2275"/>
      <c r="C68" s="2275"/>
      <c r="D68" s="2275"/>
      <c r="E68" s="2275"/>
      <c r="F68" s="2275"/>
      <c r="G68" s="2275"/>
      <c r="H68" s="2275"/>
      <c r="I68" s="2275"/>
      <c r="J68" s="2275"/>
      <c r="K68" s="2275"/>
      <c r="L68" s="2275"/>
      <c r="M68" s="2275"/>
      <c r="N68" s="2275"/>
      <c r="O68" s="2275"/>
      <c r="P68" s="2275"/>
      <c r="Q68" s="2275"/>
    </row>
    <row r="69" spans="2:17" s="750" customFormat="1">
      <c r="B69" s="2275"/>
      <c r="C69" s="2275"/>
      <c r="D69" s="2275"/>
      <c r="E69" s="2275"/>
      <c r="F69" s="2275"/>
      <c r="G69" s="2275"/>
      <c r="H69" s="2275"/>
      <c r="I69" s="2275"/>
      <c r="J69" s="2275"/>
      <c r="K69" s="2275"/>
      <c r="L69" s="2275"/>
      <c r="M69" s="2275"/>
      <c r="N69" s="2275"/>
      <c r="O69" s="2275"/>
      <c r="P69" s="2275"/>
      <c r="Q69" s="2275"/>
    </row>
    <row r="70" spans="2:17" s="750" customFormat="1">
      <c r="B70" s="2275"/>
      <c r="C70" s="2275"/>
      <c r="D70" s="2275"/>
      <c r="E70" s="2275"/>
      <c r="F70" s="2275"/>
      <c r="G70" s="2275"/>
      <c r="H70" s="2275"/>
      <c r="I70" s="2275"/>
      <c r="J70" s="2275"/>
      <c r="K70" s="2275"/>
      <c r="L70" s="2275"/>
      <c r="M70" s="2275"/>
      <c r="N70" s="2275"/>
      <c r="O70" s="2275"/>
      <c r="P70" s="2275"/>
      <c r="Q70" s="2275"/>
    </row>
    <row r="71" spans="2:17" s="750" customFormat="1">
      <c r="B71" s="2275"/>
      <c r="C71" s="2275"/>
      <c r="D71" s="2275"/>
      <c r="E71" s="2275"/>
      <c r="F71" s="2275"/>
      <c r="G71" s="2275"/>
      <c r="H71" s="2275"/>
      <c r="I71" s="2275"/>
      <c r="J71" s="2275"/>
      <c r="K71" s="2275"/>
      <c r="L71" s="2275"/>
      <c r="M71" s="2275"/>
      <c r="N71" s="2275"/>
      <c r="O71" s="2275"/>
      <c r="P71" s="2275"/>
      <c r="Q71" s="2275"/>
    </row>
    <row r="72" spans="2:17" s="750" customFormat="1">
      <c r="B72" s="2275"/>
      <c r="C72" s="2275"/>
      <c r="D72" s="2275"/>
      <c r="E72" s="2275"/>
      <c r="F72" s="2275"/>
      <c r="G72" s="2275"/>
      <c r="H72" s="2275"/>
      <c r="I72" s="2275"/>
      <c r="J72" s="2275"/>
      <c r="K72" s="2275"/>
      <c r="L72" s="2275"/>
      <c r="M72" s="2275"/>
      <c r="N72" s="2275"/>
      <c r="O72" s="2275"/>
      <c r="P72" s="2275"/>
      <c r="Q72" s="2275"/>
    </row>
    <row r="73" spans="2:17" s="750" customFormat="1">
      <c r="B73" s="2275"/>
      <c r="C73" s="2275"/>
      <c r="D73" s="2275"/>
      <c r="E73" s="2275"/>
      <c r="F73" s="2275"/>
      <c r="G73" s="2275"/>
      <c r="H73" s="2275"/>
      <c r="I73" s="2275"/>
      <c r="J73" s="2275"/>
      <c r="K73" s="2275"/>
      <c r="L73" s="2275"/>
      <c r="M73" s="2275"/>
      <c r="N73" s="2275"/>
      <c r="O73" s="2275"/>
      <c r="P73" s="2275"/>
      <c r="Q73" s="2275"/>
    </row>
    <row r="74" spans="2:17" s="750" customFormat="1">
      <c r="B74" s="2275"/>
      <c r="C74" s="2275"/>
      <c r="D74" s="2275"/>
      <c r="E74" s="2275"/>
      <c r="F74" s="2275"/>
      <c r="G74" s="2275"/>
      <c r="H74" s="2275"/>
      <c r="I74" s="2275"/>
      <c r="J74" s="2275"/>
      <c r="K74" s="2275"/>
      <c r="L74" s="2275"/>
      <c r="M74" s="2275"/>
      <c r="N74" s="2275"/>
      <c r="O74" s="2275"/>
      <c r="P74" s="2275"/>
      <c r="Q74" s="2275"/>
    </row>
    <row r="75" spans="2:17" s="750" customFormat="1">
      <c r="B75" s="2275"/>
      <c r="C75" s="2275"/>
      <c r="D75" s="2275"/>
      <c r="E75" s="2275"/>
      <c r="F75" s="2275"/>
      <c r="G75" s="2275"/>
      <c r="H75" s="2275"/>
      <c r="I75" s="2275"/>
      <c r="J75" s="2275"/>
      <c r="K75" s="2275"/>
      <c r="L75" s="2275"/>
      <c r="M75" s="2275"/>
      <c r="N75" s="2275"/>
      <c r="O75" s="2275"/>
      <c r="P75" s="2275"/>
      <c r="Q75" s="2275"/>
    </row>
    <row r="76" spans="2:17" s="750" customFormat="1">
      <c r="B76" s="2275"/>
      <c r="C76" s="2275"/>
      <c r="D76" s="2275"/>
      <c r="E76" s="2275"/>
      <c r="F76" s="2275"/>
      <c r="G76" s="2275"/>
      <c r="H76" s="2275"/>
      <c r="I76" s="2275"/>
      <c r="J76" s="2275"/>
      <c r="K76" s="2275"/>
      <c r="L76" s="2275"/>
      <c r="M76" s="2275"/>
      <c r="N76" s="2275"/>
      <c r="O76" s="2275"/>
      <c r="P76" s="2275"/>
      <c r="Q76" s="2275"/>
    </row>
    <row r="77" spans="2:17" s="750" customFormat="1">
      <c r="B77" s="2275"/>
      <c r="C77" s="2275"/>
      <c r="D77" s="2275"/>
      <c r="E77" s="2275"/>
      <c r="F77" s="2275"/>
      <c r="G77" s="2275"/>
      <c r="H77" s="2275"/>
      <c r="I77" s="2275"/>
      <c r="J77" s="2275"/>
      <c r="K77" s="2275"/>
      <c r="L77" s="2275"/>
      <c r="M77" s="2275"/>
      <c r="N77" s="2275"/>
      <c r="O77" s="2275"/>
      <c r="P77" s="2275"/>
      <c r="Q77" s="2275"/>
    </row>
    <row r="78" spans="2:17" s="750" customFormat="1">
      <c r="B78" s="2275"/>
      <c r="C78" s="2275"/>
      <c r="D78" s="2275"/>
      <c r="E78" s="2275"/>
      <c r="F78" s="2275"/>
      <c r="G78" s="2275"/>
      <c r="H78" s="2275"/>
      <c r="I78" s="2275"/>
      <c r="J78" s="2275"/>
      <c r="K78" s="2275"/>
      <c r="L78" s="2275"/>
      <c r="M78" s="2275"/>
      <c r="N78" s="2275"/>
      <c r="O78" s="2275"/>
      <c r="P78" s="2275"/>
      <c r="Q78" s="2275"/>
    </row>
    <row r="79" spans="2:17" s="750" customFormat="1">
      <c r="B79" s="2275"/>
      <c r="C79" s="2275"/>
      <c r="D79" s="2275"/>
      <c r="E79" s="2275"/>
      <c r="F79" s="2275"/>
      <c r="G79" s="2275"/>
      <c r="H79" s="2275"/>
      <c r="I79" s="2275"/>
      <c r="J79" s="2275"/>
      <c r="K79" s="2275"/>
      <c r="L79" s="2275"/>
      <c r="M79" s="2275"/>
      <c r="N79" s="2275"/>
      <c r="O79" s="2275"/>
      <c r="P79" s="2275"/>
      <c r="Q79" s="2275"/>
    </row>
    <row r="80" spans="2:17" s="750" customFormat="1">
      <c r="B80" s="2275"/>
      <c r="C80" s="2275"/>
      <c r="D80" s="2275"/>
      <c r="E80" s="2275"/>
      <c r="F80" s="2275"/>
      <c r="G80" s="2275"/>
      <c r="H80" s="2275"/>
      <c r="I80" s="2275"/>
      <c r="J80" s="2275"/>
      <c r="K80" s="2275"/>
      <c r="L80" s="2275"/>
      <c r="M80" s="2275"/>
      <c r="N80" s="2275"/>
      <c r="O80" s="2275"/>
      <c r="P80" s="2275"/>
      <c r="Q80" s="2275"/>
    </row>
    <row r="81" spans="2:17" s="750" customFormat="1">
      <c r="B81" s="2275"/>
      <c r="C81" s="2275"/>
      <c r="D81" s="2275"/>
      <c r="E81" s="2275"/>
      <c r="F81" s="2275"/>
      <c r="G81" s="2275"/>
      <c r="H81" s="2275"/>
      <c r="I81" s="2275"/>
      <c r="J81" s="2275"/>
      <c r="K81" s="2275"/>
      <c r="L81" s="2275"/>
      <c r="M81" s="2275"/>
      <c r="N81" s="2275"/>
      <c r="O81" s="2275"/>
      <c r="P81" s="2275"/>
      <c r="Q81" s="2275"/>
    </row>
    <row r="82" spans="2:17" s="750" customFormat="1">
      <c r="B82" s="2275"/>
      <c r="C82" s="2275"/>
      <c r="D82" s="2275"/>
      <c r="E82" s="2275"/>
      <c r="F82" s="2275"/>
      <c r="G82" s="2275"/>
      <c r="H82" s="2275"/>
      <c r="I82" s="2275"/>
      <c r="J82" s="2275"/>
      <c r="K82" s="2275"/>
      <c r="L82" s="2275"/>
      <c r="M82" s="2275"/>
      <c r="N82" s="2275"/>
      <c r="O82" s="2275"/>
      <c r="P82" s="2275"/>
      <c r="Q82" s="2275"/>
    </row>
    <row r="83" spans="2:17" s="750" customFormat="1">
      <c r="B83" s="2275"/>
      <c r="C83" s="2275"/>
      <c r="D83" s="2275"/>
      <c r="E83" s="2275"/>
      <c r="F83" s="2275"/>
      <c r="G83" s="2275"/>
      <c r="H83" s="2275"/>
      <c r="I83" s="2275"/>
      <c r="J83" s="2275"/>
      <c r="K83" s="2275"/>
      <c r="L83" s="2275"/>
      <c r="M83" s="2275"/>
      <c r="N83" s="2275"/>
      <c r="O83" s="2275"/>
      <c r="P83" s="2275"/>
      <c r="Q83" s="2275"/>
    </row>
    <row r="84" spans="2:17" s="750" customFormat="1">
      <c r="B84" s="2275"/>
      <c r="C84" s="2275"/>
      <c r="D84" s="2275"/>
      <c r="E84" s="2275"/>
      <c r="F84" s="2275"/>
      <c r="G84" s="2275"/>
      <c r="H84" s="2275"/>
      <c r="I84" s="2275"/>
      <c r="J84" s="2275"/>
      <c r="K84" s="2275"/>
      <c r="L84" s="2275"/>
      <c r="M84" s="2275"/>
      <c r="N84" s="2275"/>
      <c r="O84" s="2275"/>
      <c r="P84" s="2275"/>
      <c r="Q84" s="2275"/>
    </row>
    <row r="85" spans="2:17" s="750" customFormat="1">
      <c r="B85" s="2275"/>
      <c r="C85" s="2275"/>
      <c r="D85" s="2275"/>
      <c r="E85" s="2275"/>
      <c r="F85" s="2275"/>
      <c r="G85" s="2275"/>
      <c r="H85" s="2275"/>
      <c r="I85" s="2275"/>
      <c r="J85" s="2275"/>
      <c r="K85" s="2275"/>
      <c r="L85" s="2275"/>
      <c r="M85" s="2275"/>
      <c r="N85" s="2275"/>
      <c r="O85" s="2275"/>
      <c r="P85" s="2275"/>
      <c r="Q85" s="2275"/>
    </row>
    <row r="86" spans="2:17" s="750" customFormat="1">
      <c r="B86" s="2275"/>
      <c r="C86" s="2275"/>
      <c r="D86" s="2275"/>
      <c r="E86" s="2275"/>
      <c r="F86" s="2275"/>
      <c r="G86" s="2275"/>
      <c r="H86" s="2275"/>
      <c r="I86" s="2275"/>
      <c r="J86" s="2275"/>
      <c r="K86" s="2275"/>
      <c r="L86" s="2275"/>
      <c r="M86" s="2275"/>
      <c r="N86" s="2275"/>
      <c r="O86" s="2275"/>
      <c r="P86" s="2275"/>
      <c r="Q86" s="2275"/>
    </row>
    <row r="87" spans="2:17" s="750" customFormat="1">
      <c r="B87" s="2275"/>
      <c r="C87" s="2275"/>
      <c r="D87" s="2275"/>
      <c r="E87" s="2275"/>
      <c r="F87" s="2275"/>
      <c r="G87" s="2275"/>
      <c r="H87" s="2275"/>
      <c r="I87" s="2275"/>
      <c r="J87" s="2275"/>
      <c r="K87" s="2275"/>
      <c r="L87" s="2275"/>
      <c r="M87" s="2275"/>
      <c r="N87" s="2275"/>
      <c r="O87" s="2275"/>
      <c r="P87" s="2275"/>
      <c r="Q87" s="2275"/>
    </row>
    <row r="88" spans="2:17" s="750" customFormat="1">
      <c r="B88" s="2275"/>
      <c r="C88" s="2275"/>
      <c r="D88" s="2275"/>
      <c r="E88" s="2275"/>
      <c r="F88" s="2275"/>
      <c r="G88" s="2275"/>
      <c r="H88" s="2275"/>
      <c r="I88" s="2275"/>
      <c r="J88" s="2275"/>
      <c r="K88" s="2275"/>
      <c r="L88" s="2275"/>
      <c r="M88" s="2275"/>
      <c r="N88" s="2275"/>
      <c r="O88" s="2275"/>
      <c r="P88" s="2275"/>
      <c r="Q88" s="2275"/>
    </row>
    <row r="89" spans="2:17" s="750" customFormat="1">
      <c r="B89" s="2275"/>
      <c r="C89" s="2275"/>
      <c r="D89" s="2275"/>
      <c r="E89" s="2275"/>
      <c r="F89" s="2275"/>
      <c r="G89" s="2275"/>
      <c r="H89" s="2275"/>
      <c r="I89" s="2275"/>
      <c r="J89" s="2275"/>
      <c r="K89" s="2275"/>
      <c r="L89" s="2275"/>
      <c r="M89" s="2275"/>
      <c r="N89" s="2275"/>
      <c r="O89" s="2275"/>
      <c r="P89" s="2275"/>
      <c r="Q89" s="2275"/>
    </row>
    <row r="90" spans="2:17" s="750" customFormat="1">
      <c r="B90" s="2275"/>
      <c r="C90" s="2275"/>
      <c r="D90" s="2275"/>
      <c r="E90" s="2275"/>
      <c r="F90" s="2275"/>
      <c r="G90" s="2275"/>
      <c r="H90" s="2275"/>
      <c r="I90" s="2275"/>
      <c r="J90" s="2275"/>
      <c r="K90" s="2275"/>
      <c r="L90" s="2275"/>
      <c r="M90" s="2275"/>
      <c r="N90" s="2275"/>
      <c r="O90" s="2275"/>
      <c r="P90" s="2275"/>
      <c r="Q90" s="2275"/>
    </row>
    <row r="91" spans="2:17" s="750" customFormat="1">
      <c r="B91" s="2275"/>
      <c r="C91" s="2275"/>
      <c r="D91" s="2275"/>
      <c r="E91" s="2275"/>
      <c r="F91" s="2275"/>
      <c r="G91" s="2275"/>
      <c r="H91" s="2275"/>
      <c r="I91" s="2275"/>
      <c r="J91" s="2275"/>
      <c r="K91" s="2275"/>
      <c r="L91" s="2275"/>
      <c r="M91" s="2275"/>
      <c r="N91" s="2275"/>
      <c r="O91" s="2275"/>
      <c r="P91" s="2275"/>
      <c r="Q91" s="2275"/>
    </row>
    <row r="92" spans="2:17" s="750" customFormat="1">
      <c r="B92" s="2275"/>
      <c r="C92" s="2275"/>
      <c r="D92" s="2275"/>
      <c r="E92" s="2275"/>
      <c r="F92" s="2275"/>
      <c r="G92" s="2275"/>
      <c r="H92" s="2275"/>
      <c r="I92" s="2275"/>
      <c r="J92" s="2275"/>
      <c r="K92" s="2275"/>
      <c r="L92" s="2275"/>
      <c r="M92" s="2275"/>
      <c r="N92" s="2275"/>
      <c r="O92" s="2275"/>
      <c r="P92" s="2275"/>
      <c r="Q92" s="2275"/>
    </row>
    <row r="93" spans="2:17" s="750" customFormat="1">
      <c r="B93" s="2275"/>
      <c r="C93" s="2275"/>
      <c r="D93" s="2275"/>
      <c r="E93" s="2275"/>
      <c r="F93" s="2275"/>
      <c r="G93" s="2275"/>
      <c r="H93" s="2275"/>
      <c r="I93" s="2275"/>
      <c r="J93" s="2275"/>
      <c r="K93" s="2275"/>
      <c r="L93" s="2275"/>
      <c r="M93" s="2275"/>
      <c r="N93" s="2275"/>
      <c r="O93" s="2275"/>
      <c r="P93" s="2275"/>
      <c r="Q93" s="2275"/>
    </row>
    <row r="94" spans="2:17" s="750" customFormat="1">
      <c r="B94" s="2275"/>
      <c r="C94" s="2275"/>
      <c r="D94" s="2275"/>
      <c r="E94" s="2275"/>
      <c r="F94" s="2275"/>
      <c r="G94" s="2275"/>
      <c r="H94" s="2275"/>
      <c r="I94" s="2275"/>
      <c r="J94" s="2275"/>
      <c r="K94" s="2275"/>
      <c r="L94" s="2275"/>
      <c r="M94" s="2275"/>
      <c r="N94" s="2275"/>
      <c r="O94" s="2275"/>
      <c r="P94" s="2275"/>
      <c r="Q94" s="2275"/>
    </row>
    <row r="95" spans="2:17" s="750" customFormat="1">
      <c r="B95" s="2275"/>
      <c r="C95" s="2275"/>
      <c r="D95" s="2275"/>
      <c r="E95" s="2275"/>
      <c r="F95" s="2275"/>
      <c r="G95" s="2275"/>
      <c r="H95" s="2275"/>
      <c r="I95" s="2275"/>
      <c r="J95" s="2275"/>
      <c r="K95" s="2275"/>
      <c r="L95" s="2275"/>
      <c r="M95" s="2275"/>
      <c r="N95" s="2275"/>
      <c r="O95" s="2275"/>
      <c r="P95" s="2275"/>
      <c r="Q95" s="2275"/>
    </row>
    <row r="96" spans="2:17" s="750" customFormat="1">
      <c r="B96" s="2275"/>
      <c r="C96" s="2275"/>
      <c r="D96" s="2275"/>
      <c r="E96" s="2275"/>
      <c r="F96" s="2275"/>
      <c r="G96" s="2275"/>
      <c r="H96" s="2275"/>
      <c r="I96" s="2275"/>
      <c r="J96" s="2275"/>
      <c r="K96" s="2275"/>
      <c r="L96" s="2275"/>
      <c r="M96" s="2275"/>
      <c r="N96" s="2275"/>
      <c r="O96" s="2275"/>
      <c r="P96" s="2275"/>
      <c r="Q96" s="2275"/>
    </row>
    <row r="97" spans="2:17" s="750" customFormat="1">
      <c r="B97" s="2275"/>
      <c r="C97" s="2275"/>
      <c r="D97" s="2275"/>
      <c r="E97" s="2275"/>
      <c r="F97" s="2275"/>
      <c r="G97" s="2275"/>
      <c r="H97" s="2275"/>
      <c r="I97" s="2275"/>
      <c r="J97" s="2275"/>
      <c r="K97" s="2275"/>
      <c r="L97" s="2275"/>
      <c r="M97" s="2275"/>
      <c r="N97" s="2275"/>
      <c r="O97" s="2275"/>
      <c r="P97" s="2275"/>
      <c r="Q97" s="2275"/>
    </row>
    <row r="98" spans="2:17" s="750" customFormat="1">
      <c r="B98" s="2275"/>
      <c r="C98" s="2275"/>
      <c r="D98" s="2275"/>
      <c r="E98" s="2275"/>
      <c r="F98" s="2275"/>
      <c r="G98" s="2275"/>
      <c r="H98" s="2275"/>
      <c r="I98" s="2275"/>
      <c r="J98" s="2275"/>
      <c r="K98" s="2275"/>
      <c r="L98" s="2275"/>
      <c r="M98" s="2275"/>
      <c r="N98" s="2275"/>
      <c r="O98" s="2275"/>
      <c r="P98" s="2275"/>
      <c r="Q98" s="2275"/>
    </row>
    <row r="99" spans="2:17" s="750" customFormat="1">
      <c r="B99" s="2275"/>
      <c r="C99" s="2275"/>
      <c r="D99" s="2275"/>
      <c r="E99" s="2275"/>
      <c r="F99" s="2275"/>
      <c r="G99" s="2275"/>
      <c r="H99" s="2275"/>
      <c r="I99" s="2275"/>
      <c r="J99" s="2275"/>
      <c r="K99" s="2275"/>
      <c r="L99" s="2275"/>
      <c r="M99" s="2275"/>
      <c r="N99" s="2275"/>
      <c r="O99" s="2275"/>
      <c r="P99" s="2275"/>
      <c r="Q99" s="2275"/>
    </row>
    <row r="100" spans="2:17" s="750" customFormat="1">
      <c r="B100" s="2275"/>
      <c r="C100" s="2275"/>
      <c r="D100" s="2275"/>
      <c r="E100" s="2275"/>
      <c r="F100" s="2275"/>
      <c r="G100" s="2275"/>
      <c r="H100" s="2275"/>
      <c r="I100" s="2275"/>
      <c r="J100" s="2275"/>
      <c r="K100" s="2275"/>
      <c r="L100" s="2275"/>
      <c r="M100" s="2275"/>
      <c r="N100" s="2275"/>
      <c r="O100" s="2275"/>
      <c r="P100" s="2275"/>
      <c r="Q100" s="2275"/>
    </row>
    <row r="101" spans="2:17" s="750" customFormat="1">
      <c r="B101" s="2275"/>
      <c r="C101" s="2275"/>
      <c r="D101" s="2275"/>
      <c r="E101" s="2275"/>
      <c r="F101" s="2275"/>
      <c r="G101" s="2275"/>
      <c r="H101" s="2275"/>
      <c r="I101" s="2275"/>
      <c r="J101" s="2275"/>
      <c r="K101" s="2275"/>
      <c r="L101" s="2275"/>
      <c r="M101" s="2275"/>
      <c r="N101" s="2275"/>
      <c r="O101" s="2275"/>
      <c r="P101" s="2275"/>
      <c r="Q101" s="2275"/>
    </row>
    <row r="102" spans="2:17" s="750" customFormat="1">
      <c r="B102" s="2275"/>
      <c r="C102" s="2275"/>
      <c r="D102" s="2275"/>
      <c r="E102" s="2275"/>
      <c r="F102" s="2275"/>
      <c r="G102" s="2275"/>
      <c r="H102" s="2275"/>
      <c r="I102" s="2275"/>
      <c r="J102" s="2275"/>
      <c r="K102" s="2275"/>
      <c r="L102" s="2275"/>
      <c r="M102" s="2275"/>
      <c r="N102" s="2275"/>
      <c r="O102" s="2275"/>
      <c r="P102" s="2275"/>
      <c r="Q102" s="2275"/>
    </row>
    <row r="103" spans="2:17" s="750" customFormat="1">
      <c r="B103" s="2275"/>
      <c r="C103" s="2275"/>
      <c r="D103" s="2275"/>
      <c r="E103" s="2275"/>
      <c r="F103" s="2275"/>
      <c r="G103" s="2275"/>
      <c r="H103" s="2275"/>
      <c r="I103" s="2275"/>
      <c r="J103" s="2275"/>
      <c r="K103" s="2275"/>
      <c r="L103" s="2275"/>
      <c r="M103" s="2275"/>
      <c r="N103" s="2275"/>
      <c r="O103" s="2275"/>
      <c r="P103" s="2275"/>
      <c r="Q103" s="2275"/>
    </row>
    <row r="104" spans="2:17" s="750" customFormat="1">
      <c r="B104" s="2275"/>
      <c r="C104" s="2275"/>
      <c r="D104" s="2275"/>
      <c r="E104" s="2275"/>
      <c r="F104" s="2275"/>
      <c r="G104" s="2275"/>
      <c r="H104" s="2275"/>
      <c r="I104" s="2275"/>
      <c r="J104" s="2275"/>
      <c r="K104" s="2275"/>
      <c r="L104" s="2275"/>
      <c r="M104" s="2275"/>
      <c r="N104" s="2275"/>
      <c r="O104" s="2275"/>
      <c r="P104" s="2275"/>
      <c r="Q104" s="2275"/>
    </row>
    <row r="105" spans="2:17" s="750" customFormat="1">
      <c r="B105" s="2275"/>
      <c r="C105" s="2275"/>
      <c r="D105" s="2275"/>
      <c r="E105" s="2275"/>
      <c r="F105" s="2275"/>
      <c r="G105" s="2275"/>
      <c r="H105" s="2275"/>
      <c r="I105" s="2275"/>
      <c r="J105" s="2275"/>
      <c r="K105" s="2275"/>
      <c r="L105" s="2275"/>
      <c r="M105" s="2275"/>
      <c r="N105" s="2275"/>
      <c r="O105" s="2275"/>
      <c r="P105" s="2275"/>
      <c r="Q105" s="2275"/>
    </row>
    <row r="106" spans="2:17" s="750" customFormat="1">
      <c r="B106" s="2275"/>
      <c r="C106" s="2275"/>
      <c r="D106" s="2275"/>
      <c r="E106" s="2275"/>
      <c r="F106" s="2275"/>
      <c r="G106" s="2275"/>
      <c r="H106" s="2275"/>
      <c r="I106" s="2275"/>
      <c r="J106" s="2275"/>
      <c r="K106" s="2275"/>
      <c r="L106" s="2275"/>
      <c r="M106" s="2275"/>
      <c r="N106" s="2275"/>
      <c r="O106" s="2275"/>
      <c r="P106" s="2275"/>
      <c r="Q106" s="2275"/>
    </row>
    <row r="107" spans="2:17" s="750" customFormat="1">
      <c r="B107" s="2275"/>
      <c r="C107" s="2275"/>
      <c r="D107" s="2275"/>
      <c r="E107" s="2275"/>
      <c r="F107" s="2275"/>
      <c r="G107" s="2275"/>
      <c r="H107" s="2275"/>
      <c r="I107" s="2275"/>
      <c r="J107" s="2275"/>
      <c r="K107" s="2275"/>
      <c r="L107" s="2275"/>
      <c r="M107" s="2275"/>
      <c r="N107" s="2275"/>
      <c r="O107" s="2275"/>
      <c r="P107" s="2275"/>
      <c r="Q107" s="2275"/>
    </row>
    <row r="108" spans="2:17" s="750" customFormat="1">
      <c r="B108" s="2275"/>
      <c r="C108" s="2275"/>
      <c r="D108" s="2275"/>
      <c r="E108" s="2275"/>
      <c r="F108" s="2275"/>
      <c r="G108" s="2275"/>
      <c r="H108" s="2275"/>
      <c r="I108" s="2275"/>
      <c r="J108" s="2275"/>
      <c r="K108" s="2275"/>
      <c r="L108" s="2275"/>
      <c r="M108" s="2275"/>
      <c r="N108" s="2275"/>
      <c r="O108" s="2275"/>
      <c r="P108" s="2275"/>
      <c r="Q108" s="2275"/>
    </row>
    <row r="109" spans="2:17" s="750" customFormat="1">
      <c r="B109" s="2275"/>
      <c r="C109" s="2275"/>
      <c r="D109" s="2275"/>
      <c r="E109" s="2275"/>
      <c r="F109" s="2275"/>
      <c r="G109" s="2275"/>
      <c r="H109" s="2275"/>
      <c r="I109" s="2275"/>
      <c r="J109" s="2275"/>
      <c r="K109" s="2275"/>
      <c r="L109" s="2275"/>
      <c r="M109" s="2275"/>
      <c r="N109" s="2275"/>
      <c r="O109" s="2275"/>
      <c r="P109" s="2275"/>
      <c r="Q109" s="2275"/>
    </row>
    <row r="110" spans="2:17" s="750" customFormat="1">
      <c r="B110" s="2275"/>
      <c r="C110" s="2275"/>
      <c r="D110" s="2275"/>
      <c r="E110" s="2275"/>
      <c r="F110" s="2275"/>
      <c r="G110" s="2275"/>
      <c r="H110" s="2275"/>
      <c r="I110" s="2275"/>
      <c r="J110" s="2275"/>
      <c r="K110" s="2275"/>
      <c r="L110" s="2275"/>
      <c r="M110" s="2275"/>
      <c r="N110" s="2275"/>
      <c r="O110" s="2275"/>
      <c r="P110" s="2275"/>
      <c r="Q110" s="2275"/>
    </row>
    <row r="111" spans="2:17" s="750" customFormat="1">
      <c r="B111" s="2275"/>
      <c r="C111" s="2275"/>
      <c r="D111" s="2275"/>
      <c r="E111" s="2275"/>
      <c r="F111" s="2275"/>
      <c r="G111" s="2275"/>
      <c r="H111" s="2275"/>
      <c r="I111" s="2275"/>
      <c r="J111" s="2275"/>
      <c r="K111" s="2275"/>
      <c r="L111" s="2275"/>
      <c r="M111" s="2275"/>
      <c r="N111" s="2275"/>
      <c r="O111" s="2275"/>
      <c r="P111" s="2275"/>
      <c r="Q111" s="2275"/>
    </row>
    <row r="112" spans="2:17" s="750" customFormat="1">
      <c r="B112" s="2275"/>
      <c r="C112" s="2275"/>
      <c r="D112" s="2275"/>
      <c r="E112" s="2275"/>
      <c r="F112" s="2275"/>
      <c r="G112" s="2275"/>
      <c r="H112" s="2275"/>
      <c r="I112" s="2275"/>
      <c r="J112" s="2275"/>
      <c r="K112" s="2275"/>
      <c r="L112" s="2275"/>
      <c r="M112" s="2275"/>
      <c r="N112" s="2275"/>
      <c r="O112" s="2275"/>
      <c r="P112" s="2275"/>
      <c r="Q112" s="2275"/>
    </row>
    <row r="113" spans="2:17" s="750" customFormat="1">
      <c r="B113" s="2275"/>
      <c r="C113" s="2275"/>
      <c r="D113" s="2275"/>
      <c r="E113" s="2275"/>
      <c r="F113" s="2275"/>
      <c r="G113" s="2275"/>
      <c r="H113" s="2275"/>
      <c r="I113" s="2275"/>
      <c r="J113" s="2275"/>
      <c r="K113" s="2275"/>
      <c r="L113" s="2275"/>
      <c r="M113" s="2275"/>
      <c r="N113" s="2275"/>
      <c r="O113" s="2275"/>
      <c r="P113" s="2275"/>
      <c r="Q113" s="2275"/>
    </row>
    <row r="114" spans="2:17" s="750" customFormat="1">
      <c r="B114" s="2275"/>
      <c r="C114" s="2275"/>
      <c r="D114" s="2275"/>
      <c r="E114" s="2275"/>
      <c r="F114" s="2275"/>
      <c r="G114" s="2275"/>
      <c r="H114" s="2275"/>
      <c r="I114" s="2275"/>
      <c r="J114" s="2275"/>
      <c r="K114" s="2275"/>
      <c r="L114" s="2275"/>
      <c r="M114" s="2275"/>
      <c r="N114" s="2275"/>
      <c r="O114" s="2275"/>
      <c r="P114" s="2275"/>
      <c r="Q114" s="2275"/>
    </row>
    <row r="115" spans="2:17" s="750" customFormat="1">
      <c r="B115" s="2275"/>
      <c r="C115" s="2275"/>
      <c r="D115" s="2275"/>
      <c r="E115" s="2275"/>
      <c r="F115" s="2275"/>
      <c r="G115" s="2275"/>
      <c r="H115" s="2275"/>
      <c r="I115" s="2275"/>
      <c r="J115" s="2275"/>
      <c r="K115" s="2275"/>
      <c r="L115" s="2275"/>
      <c r="M115" s="2275"/>
      <c r="N115" s="2275"/>
      <c r="O115" s="2275"/>
      <c r="P115" s="2275"/>
      <c r="Q115" s="2275"/>
    </row>
    <row r="116" spans="2:17" s="750" customFormat="1">
      <c r="B116" s="2275"/>
      <c r="C116" s="2275"/>
      <c r="D116" s="2275"/>
      <c r="E116" s="2275"/>
      <c r="F116" s="2275"/>
      <c r="G116" s="2275"/>
      <c r="H116" s="2275"/>
      <c r="I116" s="2275"/>
      <c r="J116" s="2275"/>
      <c r="K116" s="2275"/>
      <c r="L116" s="2275"/>
      <c r="M116" s="2275"/>
      <c r="N116" s="2275"/>
      <c r="O116" s="2275"/>
      <c r="P116" s="2275"/>
      <c r="Q116" s="2275"/>
    </row>
    <row r="117" spans="2:17" s="750" customFormat="1">
      <c r="B117" s="2275"/>
      <c r="C117" s="2275"/>
      <c r="D117" s="2275"/>
      <c r="E117" s="2275"/>
      <c r="F117" s="2275"/>
      <c r="G117" s="2275"/>
      <c r="H117" s="2275"/>
      <c r="I117" s="2275"/>
      <c r="J117" s="2275"/>
      <c r="K117" s="2275"/>
      <c r="L117" s="2275"/>
      <c r="M117" s="2275"/>
      <c r="N117" s="2275"/>
      <c r="O117" s="2275"/>
      <c r="P117" s="2275"/>
      <c r="Q117" s="2275"/>
    </row>
    <row r="118" spans="2:17" s="750" customFormat="1">
      <c r="B118" s="2275"/>
      <c r="C118" s="2275"/>
      <c r="D118" s="2275"/>
      <c r="E118" s="2275"/>
      <c r="F118" s="2275"/>
      <c r="G118" s="2275"/>
      <c r="H118" s="2275"/>
      <c r="I118" s="2275"/>
      <c r="J118" s="2275"/>
      <c r="K118" s="2275"/>
      <c r="L118" s="2275"/>
      <c r="M118" s="2275"/>
      <c r="N118" s="2275"/>
      <c r="O118" s="2275"/>
      <c r="P118" s="2275"/>
      <c r="Q118" s="2275"/>
    </row>
    <row r="119" spans="2:17" s="750" customFormat="1">
      <c r="B119" s="2275"/>
      <c r="C119" s="2275"/>
      <c r="D119" s="2275"/>
      <c r="E119" s="2275"/>
      <c r="F119" s="2275"/>
      <c r="G119" s="2275"/>
      <c r="H119" s="2275"/>
      <c r="I119" s="2275"/>
      <c r="J119" s="2275"/>
      <c r="K119" s="2275"/>
      <c r="L119" s="2275"/>
      <c r="M119" s="2275"/>
      <c r="N119" s="2275"/>
      <c r="O119" s="2275"/>
      <c r="P119" s="2275"/>
      <c r="Q119" s="2275"/>
    </row>
    <row r="120" spans="2:17" s="750" customFormat="1">
      <c r="B120" s="2275"/>
      <c r="C120" s="2275"/>
      <c r="D120" s="2275"/>
      <c r="E120" s="2275"/>
      <c r="F120" s="2275"/>
      <c r="G120" s="2275"/>
      <c r="H120" s="2275"/>
      <c r="I120" s="2275"/>
      <c r="J120" s="2275"/>
      <c r="K120" s="2275"/>
      <c r="L120" s="2275"/>
      <c r="M120" s="2275"/>
      <c r="N120" s="2275"/>
      <c r="O120" s="2275"/>
      <c r="P120" s="2275"/>
      <c r="Q120" s="2275"/>
    </row>
    <row r="121" spans="2:17" s="750" customFormat="1">
      <c r="B121" s="2275"/>
      <c r="C121" s="2275"/>
      <c r="D121" s="2275"/>
      <c r="E121" s="2275"/>
      <c r="F121" s="2275"/>
      <c r="G121" s="2275"/>
      <c r="H121" s="2275"/>
      <c r="I121" s="2275"/>
      <c r="J121" s="2275"/>
      <c r="K121" s="2275"/>
      <c r="L121" s="2275"/>
      <c r="M121" s="2275"/>
      <c r="N121" s="2275"/>
      <c r="O121" s="2275"/>
      <c r="P121" s="2275"/>
      <c r="Q121" s="2275"/>
    </row>
    <row r="122" spans="2:17" s="750" customFormat="1">
      <c r="B122" s="2275"/>
      <c r="C122" s="2275"/>
      <c r="D122" s="2275"/>
      <c r="E122" s="2275"/>
      <c r="F122" s="2275"/>
      <c r="G122" s="2275"/>
      <c r="H122" s="2275"/>
      <c r="I122" s="2275"/>
      <c r="J122" s="2275"/>
      <c r="K122" s="2275"/>
      <c r="L122" s="2275"/>
      <c r="M122" s="2275"/>
      <c r="N122" s="2275"/>
      <c r="O122" s="2275"/>
      <c r="P122" s="2275"/>
      <c r="Q122" s="2275"/>
    </row>
    <row r="123" spans="2:17" s="750" customFormat="1">
      <c r="B123" s="2275"/>
      <c r="C123" s="2275"/>
      <c r="D123" s="2275"/>
      <c r="E123" s="2275"/>
      <c r="F123" s="2275"/>
      <c r="G123" s="2275"/>
      <c r="H123" s="2275"/>
      <c r="I123" s="2275"/>
      <c r="J123" s="2275"/>
      <c r="K123" s="2275"/>
      <c r="L123" s="2275"/>
      <c r="M123" s="2275"/>
      <c r="N123" s="2275"/>
      <c r="O123" s="2275"/>
      <c r="P123" s="2275"/>
      <c r="Q123" s="2275"/>
    </row>
    <row r="124" spans="2:17" s="750" customFormat="1">
      <c r="B124" s="2275"/>
      <c r="C124" s="2275"/>
      <c r="D124" s="2275"/>
      <c r="E124" s="2275"/>
      <c r="F124" s="2275"/>
      <c r="G124" s="2275"/>
      <c r="H124" s="2275"/>
      <c r="I124" s="2275"/>
      <c r="J124" s="2275"/>
      <c r="K124" s="2275"/>
      <c r="L124" s="2275"/>
      <c r="M124" s="2275"/>
      <c r="N124" s="2275"/>
      <c r="O124" s="2275"/>
      <c r="P124" s="2275"/>
      <c r="Q124" s="2275"/>
    </row>
    <row r="125" spans="2:17" s="750" customFormat="1">
      <c r="B125" s="2275"/>
      <c r="C125" s="2275"/>
      <c r="D125" s="2275"/>
      <c r="E125" s="2275"/>
      <c r="F125" s="2275"/>
      <c r="G125" s="2275"/>
      <c r="H125" s="2275"/>
      <c r="I125" s="2275"/>
      <c r="J125" s="2275"/>
      <c r="K125" s="2275"/>
      <c r="L125" s="2275"/>
      <c r="M125" s="2275"/>
      <c r="N125" s="2275"/>
      <c r="O125" s="2275"/>
      <c r="P125" s="2275"/>
      <c r="Q125" s="2275"/>
    </row>
    <row r="126" spans="2:17" s="750" customFormat="1">
      <c r="B126" s="2275"/>
      <c r="C126" s="2275"/>
      <c r="D126" s="2275"/>
      <c r="E126" s="2275"/>
      <c r="F126" s="2275"/>
      <c r="G126" s="2275"/>
      <c r="H126" s="2275"/>
      <c r="I126" s="2275"/>
      <c r="J126" s="2275"/>
      <c r="K126" s="2275"/>
      <c r="L126" s="2275"/>
      <c r="M126" s="2275"/>
      <c r="N126" s="2275"/>
      <c r="O126" s="2275"/>
      <c r="P126" s="2275"/>
      <c r="Q126" s="2275"/>
    </row>
    <row r="127" spans="2:17" s="750" customFormat="1">
      <c r="B127" s="2275"/>
      <c r="C127" s="2275"/>
      <c r="D127" s="2275"/>
      <c r="E127" s="2275"/>
      <c r="F127" s="2275"/>
      <c r="G127" s="2275"/>
      <c r="H127" s="2275"/>
      <c r="I127" s="2275"/>
      <c r="J127" s="2275"/>
      <c r="K127" s="2275"/>
      <c r="L127" s="2275"/>
      <c r="M127" s="2275"/>
      <c r="N127" s="2275"/>
      <c r="O127" s="2275"/>
      <c r="P127" s="2275"/>
      <c r="Q127" s="2275"/>
    </row>
    <row r="128" spans="2:17" s="750" customFormat="1">
      <c r="B128" s="2275"/>
      <c r="C128" s="2275"/>
      <c r="D128" s="2275"/>
      <c r="E128" s="2275"/>
      <c r="F128" s="2275"/>
      <c r="G128" s="2275"/>
      <c r="H128" s="2275"/>
      <c r="I128" s="2275"/>
      <c r="J128" s="2275"/>
      <c r="K128" s="2275"/>
      <c r="L128" s="2275"/>
      <c r="M128" s="2275"/>
      <c r="N128" s="2275"/>
      <c r="O128" s="2275"/>
      <c r="P128" s="2275"/>
      <c r="Q128" s="2275"/>
    </row>
    <row r="129" spans="2:17" s="750" customFormat="1">
      <c r="B129" s="2275"/>
      <c r="C129" s="2275"/>
      <c r="D129" s="2275"/>
      <c r="E129" s="2275"/>
      <c r="F129" s="2275"/>
      <c r="G129" s="2275"/>
      <c r="H129" s="2275"/>
      <c r="I129" s="2275"/>
      <c r="J129" s="2275"/>
      <c r="K129" s="2275"/>
      <c r="L129" s="2275"/>
      <c r="M129" s="2275"/>
      <c r="N129" s="2275"/>
      <c r="O129" s="2275"/>
      <c r="P129" s="2275"/>
      <c r="Q129" s="2275"/>
    </row>
    <row r="130" spans="2:17" s="750" customFormat="1">
      <c r="B130" s="2275"/>
      <c r="C130" s="2275"/>
      <c r="D130" s="2275"/>
      <c r="E130" s="2275"/>
      <c r="F130" s="2275"/>
      <c r="G130" s="2275"/>
      <c r="H130" s="2275"/>
      <c r="I130" s="2275"/>
      <c r="J130" s="2275"/>
      <c r="K130" s="2275"/>
      <c r="L130" s="2275"/>
      <c r="M130" s="2275"/>
      <c r="N130" s="2275"/>
      <c r="O130" s="2275"/>
      <c r="P130" s="2275"/>
      <c r="Q130" s="2275"/>
    </row>
    <row r="131" spans="2:17" s="750" customFormat="1">
      <c r="B131" s="2275"/>
      <c r="C131" s="2275"/>
      <c r="D131" s="2275"/>
      <c r="E131" s="2275"/>
      <c r="F131" s="2275"/>
      <c r="G131" s="2275"/>
      <c r="H131" s="2275"/>
      <c r="I131" s="2275"/>
      <c r="J131" s="2275"/>
      <c r="K131" s="2275"/>
      <c r="L131" s="2275"/>
      <c r="M131" s="2275"/>
      <c r="N131" s="2275"/>
      <c r="O131" s="2275"/>
      <c r="P131" s="2275"/>
      <c r="Q131" s="2275"/>
    </row>
    <row r="132" spans="2:17" s="750" customFormat="1">
      <c r="B132" s="2275"/>
      <c r="C132" s="2275"/>
      <c r="D132" s="2275"/>
      <c r="E132" s="2275"/>
      <c r="F132" s="2275"/>
      <c r="G132" s="2275"/>
      <c r="H132" s="2275"/>
      <c r="I132" s="2275"/>
      <c r="J132" s="2275"/>
      <c r="K132" s="2275"/>
      <c r="L132" s="2275"/>
      <c r="M132" s="2275"/>
      <c r="N132" s="2275"/>
      <c r="O132" s="2275"/>
      <c r="P132" s="2275"/>
      <c r="Q132" s="2275"/>
    </row>
    <row r="133" spans="2:17" s="750" customFormat="1">
      <c r="B133" s="2275"/>
      <c r="C133" s="2275"/>
      <c r="D133" s="2275"/>
      <c r="E133" s="2275"/>
      <c r="F133" s="2275"/>
      <c r="G133" s="2275"/>
      <c r="H133" s="2275"/>
      <c r="I133" s="2275"/>
      <c r="J133" s="2275"/>
      <c r="K133" s="2275"/>
      <c r="L133" s="2275"/>
      <c r="M133" s="2275"/>
      <c r="N133" s="2275"/>
      <c r="O133" s="2275"/>
      <c r="P133" s="2275"/>
      <c r="Q133" s="2275"/>
    </row>
    <row r="134" spans="2:17" s="750" customFormat="1">
      <c r="B134" s="2275"/>
      <c r="C134" s="2275"/>
      <c r="D134" s="2275"/>
      <c r="E134" s="2275"/>
      <c r="F134" s="2275"/>
      <c r="G134" s="2275"/>
      <c r="H134" s="2275"/>
      <c r="I134" s="2275"/>
      <c r="J134" s="2275"/>
      <c r="K134" s="2275"/>
      <c r="L134" s="2275"/>
      <c r="M134" s="2275"/>
      <c r="N134" s="2275"/>
      <c r="O134" s="2275"/>
      <c r="P134" s="2275"/>
      <c r="Q134" s="2275"/>
    </row>
    <row r="135" spans="2:17" s="750" customFormat="1">
      <c r="B135" s="2275"/>
      <c r="C135" s="2275"/>
      <c r="D135" s="2275"/>
      <c r="E135" s="2275"/>
      <c r="F135" s="2275"/>
      <c r="G135" s="2275"/>
      <c r="H135" s="2275"/>
      <c r="I135" s="2275"/>
      <c r="J135" s="2275"/>
      <c r="K135" s="2275"/>
      <c r="L135" s="2275"/>
      <c r="M135" s="2275"/>
      <c r="N135" s="2275"/>
      <c r="O135" s="2275"/>
      <c r="P135" s="2275"/>
      <c r="Q135" s="2275"/>
    </row>
    <row r="136" spans="2:17" s="750" customFormat="1">
      <c r="B136" s="2275"/>
      <c r="C136" s="2275"/>
      <c r="D136" s="2275"/>
      <c r="E136" s="2275"/>
      <c r="F136" s="2275"/>
      <c r="G136" s="2275"/>
      <c r="H136" s="2275"/>
      <c r="I136" s="2275"/>
      <c r="J136" s="2275"/>
      <c r="K136" s="2275"/>
      <c r="L136" s="2275"/>
      <c r="M136" s="2275"/>
      <c r="N136" s="2275"/>
      <c r="O136" s="2275"/>
      <c r="P136" s="2275"/>
      <c r="Q136" s="2275"/>
    </row>
    <row r="137" spans="2:17" s="750" customFormat="1">
      <c r="B137" s="2275"/>
      <c r="C137" s="2275"/>
      <c r="D137" s="2275"/>
      <c r="E137" s="2275"/>
      <c r="F137" s="2275"/>
      <c r="G137" s="2275"/>
      <c r="H137" s="2275"/>
      <c r="I137" s="2275"/>
      <c r="J137" s="2275"/>
      <c r="K137" s="2275"/>
      <c r="L137" s="2275"/>
      <c r="M137" s="2275"/>
      <c r="N137" s="2275"/>
      <c r="O137" s="2275"/>
      <c r="P137" s="2275"/>
      <c r="Q137" s="2275"/>
    </row>
    <row r="138" spans="2:17" s="750" customFormat="1">
      <c r="B138" s="2275"/>
      <c r="C138" s="2275"/>
      <c r="D138" s="2275"/>
      <c r="E138" s="2275"/>
      <c r="F138" s="2275"/>
      <c r="G138" s="2275"/>
      <c r="H138" s="2275"/>
      <c r="I138" s="2275"/>
      <c r="J138" s="2275"/>
      <c r="K138" s="2275"/>
      <c r="L138" s="2275"/>
      <c r="M138" s="2275"/>
      <c r="N138" s="2275"/>
      <c r="O138" s="2275"/>
      <c r="P138" s="2275"/>
      <c r="Q138" s="2275"/>
    </row>
    <row r="139" spans="2:17" s="750" customFormat="1">
      <c r="B139" s="2275"/>
      <c r="C139" s="2275"/>
      <c r="D139" s="2275"/>
      <c r="E139" s="2275"/>
      <c r="F139" s="2275"/>
      <c r="G139" s="2275"/>
      <c r="H139" s="2275"/>
      <c r="I139" s="2275"/>
      <c r="J139" s="2275"/>
      <c r="K139" s="2275"/>
      <c r="L139" s="2275"/>
      <c r="M139" s="2275"/>
      <c r="N139" s="2275"/>
      <c r="O139" s="2275"/>
      <c r="P139" s="2275"/>
      <c r="Q139" s="2275"/>
    </row>
    <row r="140" spans="2:17" s="750" customFormat="1">
      <c r="B140" s="2275"/>
      <c r="C140" s="2275"/>
      <c r="D140" s="2275"/>
      <c r="E140" s="2275"/>
      <c r="F140" s="2275"/>
      <c r="G140" s="2275"/>
      <c r="H140" s="2275"/>
      <c r="I140" s="2275"/>
      <c r="J140" s="2275"/>
      <c r="K140" s="2275"/>
      <c r="L140" s="2275"/>
      <c r="M140" s="2275"/>
      <c r="N140" s="2275"/>
      <c r="O140" s="2275"/>
      <c r="P140" s="2275"/>
      <c r="Q140" s="2275"/>
    </row>
    <row r="141" spans="2:17" s="750" customFormat="1">
      <c r="B141" s="2275"/>
      <c r="C141" s="2275"/>
      <c r="D141" s="2275"/>
      <c r="E141" s="2275"/>
      <c r="F141" s="2275"/>
      <c r="G141" s="2275"/>
      <c r="H141" s="2275"/>
      <c r="I141" s="2275"/>
      <c r="J141" s="2275"/>
      <c r="K141" s="2275"/>
      <c r="L141" s="2275"/>
      <c r="M141" s="2275"/>
      <c r="N141" s="2275"/>
      <c r="O141" s="2275"/>
      <c r="P141" s="2275"/>
      <c r="Q141" s="2275"/>
    </row>
    <row r="142" spans="2:17" s="750" customFormat="1">
      <c r="B142" s="2275"/>
      <c r="C142" s="2275"/>
      <c r="D142" s="2275"/>
      <c r="E142" s="2275"/>
      <c r="F142" s="2275"/>
      <c r="G142" s="2275"/>
      <c r="H142" s="2275"/>
      <c r="I142" s="2275"/>
      <c r="J142" s="2275"/>
      <c r="K142" s="2275"/>
      <c r="L142" s="2275"/>
      <c r="M142" s="2275"/>
      <c r="N142" s="2275"/>
      <c r="O142" s="2275"/>
      <c r="P142" s="2275"/>
      <c r="Q142" s="2275"/>
    </row>
    <row r="143" spans="2:17" s="750" customFormat="1">
      <c r="B143" s="2275"/>
      <c r="C143" s="2275"/>
      <c r="D143" s="2275"/>
      <c r="E143" s="2275"/>
      <c r="F143" s="2275"/>
      <c r="G143" s="2275"/>
      <c r="H143" s="2275"/>
      <c r="I143" s="2275"/>
      <c r="J143" s="2275"/>
      <c r="K143" s="2275"/>
      <c r="L143" s="2275"/>
      <c r="M143" s="2275"/>
      <c r="N143" s="2275"/>
      <c r="O143" s="2275"/>
      <c r="P143" s="2275"/>
      <c r="Q143" s="2275"/>
    </row>
    <row r="144" spans="2:17" s="750" customFormat="1">
      <c r="B144" s="2275"/>
      <c r="C144" s="2275"/>
      <c r="D144" s="2275"/>
      <c r="E144" s="2275"/>
      <c r="F144" s="2275"/>
      <c r="G144" s="2275"/>
      <c r="H144" s="2275"/>
      <c r="I144" s="2275"/>
      <c r="J144" s="2275"/>
      <c r="K144" s="2275"/>
      <c r="L144" s="2275"/>
      <c r="M144" s="2275"/>
      <c r="N144" s="2275"/>
      <c r="O144" s="2275"/>
      <c r="P144" s="2275"/>
      <c r="Q144" s="2275"/>
    </row>
    <row r="145" spans="2:17" s="750" customFormat="1">
      <c r="B145" s="2275"/>
      <c r="C145" s="2275"/>
      <c r="D145" s="2275"/>
      <c r="E145" s="2275"/>
      <c r="F145" s="2275"/>
      <c r="G145" s="2275"/>
      <c r="H145" s="2275"/>
      <c r="I145" s="2275"/>
      <c r="J145" s="2275"/>
      <c r="K145" s="2275"/>
      <c r="L145" s="2275"/>
      <c r="M145" s="2275"/>
      <c r="N145" s="2275"/>
      <c r="O145" s="2275"/>
      <c r="P145" s="2275"/>
      <c r="Q145" s="2275"/>
    </row>
    <row r="146" spans="2:17" s="750" customFormat="1">
      <c r="B146" s="2275"/>
      <c r="C146" s="2275"/>
      <c r="D146" s="2275"/>
      <c r="E146" s="2275"/>
      <c r="F146" s="2275"/>
      <c r="G146" s="2275"/>
      <c r="H146" s="2275"/>
      <c r="I146" s="2275"/>
      <c r="J146" s="2275"/>
      <c r="K146" s="2275"/>
      <c r="L146" s="2275"/>
      <c r="M146" s="2275"/>
      <c r="N146" s="2275"/>
      <c r="O146" s="2275"/>
      <c r="P146" s="2275"/>
      <c r="Q146" s="2275"/>
    </row>
    <row r="147" spans="2:17" s="750" customFormat="1">
      <c r="B147" s="2275"/>
      <c r="C147" s="2275"/>
      <c r="D147" s="2275"/>
      <c r="E147" s="2275"/>
      <c r="F147" s="2275"/>
      <c r="G147" s="2275"/>
      <c r="H147" s="2275"/>
      <c r="I147" s="2275"/>
      <c r="J147" s="2275"/>
      <c r="K147" s="2275"/>
      <c r="L147" s="2275"/>
      <c r="M147" s="2275"/>
      <c r="N147" s="2275"/>
      <c r="O147" s="2275"/>
      <c r="P147" s="2275"/>
      <c r="Q147" s="2275"/>
    </row>
    <row r="148" spans="2:17" s="750" customFormat="1">
      <c r="B148" s="2275"/>
      <c r="C148" s="2275"/>
      <c r="D148" s="2275"/>
      <c r="E148" s="2275"/>
      <c r="F148" s="2275"/>
      <c r="G148" s="2275"/>
      <c r="H148" s="2275"/>
      <c r="I148" s="2275"/>
      <c r="J148" s="2275"/>
      <c r="K148" s="2275"/>
      <c r="L148" s="2275"/>
      <c r="M148" s="2275"/>
      <c r="N148" s="2275"/>
      <c r="O148" s="2275"/>
      <c r="P148" s="2275"/>
      <c r="Q148" s="2275"/>
    </row>
    <row r="149" spans="2:17" s="750" customFormat="1">
      <c r="B149" s="2275"/>
      <c r="C149" s="2275"/>
      <c r="D149" s="2275"/>
      <c r="E149" s="2275"/>
      <c r="F149" s="2275"/>
      <c r="G149" s="2275"/>
      <c r="H149" s="2275"/>
      <c r="I149" s="2275"/>
      <c r="J149" s="2275"/>
      <c r="K149" s="2275"/>
      <c r="L149" s="2275"/>
      <c r="M149" s="2275"/>
      <c r="N149" s="2275"/>
      <c r="O149" s="2275"/>
      <c r="P149" s="2275"/>
      <c r="Q149" s="2275"/>
    </row>
    <row r="150" spans="2:17" s="750" customFormat="1">
      <c r="B150" s="2275"/>
      <c r="C150" s="2275"/>
      <c r="D150" s="2275"/>
      <c r="E150" s="2275"/>
      <c r="F150" s="2275"/>
      <c r="G150" s="2275"/>
      <c r="H150" s="2275"/>
      <c r="I150" s="2275"/>
      <c r="J150" s="2275"/>
      <c r="K150" s="2275"/>
      <c r="L150" s="2275"/>
      <c r="M150" s="2275"/>
      <c r="N150" s="2275"/>
      <c r="O150" s="2275"/>
      <c r="P150" s="2275"/>
      <c r="Q150" s="2275"/>
    </row>
    <row r="151" spans="2:17" s="750" customFormat="1">
      <c r="B151" s="2275"/>
      <c r="C151" s="2275"/>
      <c r="D151" s="2275"/>
      <c r="E151" s="2275"/>
      <c r="F151" s="2275"/>
      <c r="G151" s="2275"/>
      <c r="H151" s="2275"/>
      <c r="I151" s="2275"/>
      <c r="J151" s="2275"/>
      <c r="K151" s="2275"/>
      <c r="L151" s="2275"/>
      <c r="M151" s="2275"/>
      <c r="N151" s="2275"/>
      <c r="O151" s="2275"/>
      <c r="P151" s="2275"/>
      <c r="Q151" s="2275"/>
    </row>
    <row r="152" spans="2:17" s="750" customFormat="1">
      <c r="B152" s="2275"/>
      <c r="C152" s="2275"/>
      <c r="D152" s="2275"/>
      <c r="E152" s="2275"/>
      <c r="F152" s="2275"/>
      <c r="G152" s="2275"/>
      <c r="H152" s="2275"/>
      <c r="I152" s="2275"/>
      <c r="J152" s="2275"/>
      <c r="K152" s="2275"/>
      <c r="L152" s="2275"/>
      <c r="M152" s="2275"/>
      <c r="N152" s="2275"/>
      <c r="O152" s="2275"/>
      <c r="P152" s="2275"/>
      <c r="Q152" s="2275"/>
    </row>
    <row r="153" spans="2:17" s="750" customFormat="1">
      <c r="B153" s="2275"/>
      <c r="C153" s="2275"/>
      <c r="D153" s="2275"/>
      <c r="E153" s="2275"/>
      <c r="F153" s="2275"/>
      <c r="G153" s="2275"/>
      <c r="H153" s="2275"/>
      <c r="I153" s="2275"/>
      <c r="J153" s="2275"/>
      <c r="K153" s="2275"/>
      <c r="L153" s="2275"/>
      <c r="M153" s="2275"/>
      <c r="N153" s="2275"/>
      <c r="O153" s="2275"/>
      <c r="P153" s="2275"/>
      <c r="Q153" s="2275"/>
    </row>
    <row r="154" spans="2:17" s="750" customFormat="1">
      <c r="B154" s="2275"/>
      <c r="C154" s="2275"/>
      <c r="D154" s="2275"/>
      <c r="E154" s="2275"/>
      <c r="F154" s="2275"/>
      <c r="G154" s="2275"/>
      <c r="H154" s="2275"/>
      <c r="I154" s="2275"/>
      <c r="J154" s="2275"/>
      <c r="K154" s="2275"/>
      <c r="L154" s="2275"/>
      <c r="M154" s="2275"/>
      <c r="N154" s="2275"/>
      <c r="O154" s="2275"/>
      <c r="P154" s="2275"/>
      <c r="Q154" s="2275"/>
    </row>
    <row r="155" spans="2:17" s="750" customFormat="1">
      <c r="B155" s="2275"/>
      <c r="C155" s="2275"/>
      <c r="D155" s="2275"/>
      <c r="E155" s="2275"/>
      <c r="F155" s="2275"/>
      <c r="G155" s="2275"/>
      <c r="H155" s="2275"/>
      <c r="I155" s="2275"/>
      <c r="J155" s="2275"/>
      <c r="K155" s="2275"/>
      <c r="L155" s="2275"/>
      <c r="M155" s="2275"/>
      <c r="N155" s="2275"/>
      <c r="O155" s="2275"/>
      <c r="P155" s="2275"/>
      <c r="Q155" s="2275"/>
    </row>
    <row r="156" spans="2:17" s="750" customFormat="1">
      <c r="B156" s="2275"/>
      <c r="C156" s="2275"/>
      <c r="D156" s="2275"/>
      <c r="E156" s="2275"/>
      <c r="F156" s="2275"/>
      <c r="G156" s="2275"/>
      <c r="H156" s="2275"/>
      <c r="I156" s="2275"/>
      <c r="J156" s="2275"/>
      <c r="K156" s="2275"/>
      <c r="L156" s="2275"/>
      <c r="M156" s="2275"/>
      <c r="N156" s="2275"/>
      <c r="O156" s="2275"/>
      <c r="P156" s="2275"/>
      <c r="Q156" s="2275"/>
    </row>
    <row r="157" spans="2:17" s="750" customFormat="1">
      <c r="B157" s="2275"/>
      <c r="C157" s="2275"/>
      <c r="D157" s="2275"/>
      <c r="E157" s="2275"/>
      <c r="F157" s="2275"/>
      <c r="G157" s="2275"/>
      <c r="H157" s="2275"/>
      <c r="I157" s="2275"/>
      <c r="J157" s="2275"/>
      <c r="K157" s="2275"/>
      <c r="L157" s="2275"/>
      <c r="M157" s="2275"/>
      <c r="N157" s="2275"/>
      <c r="O157" s="2275"/>
      <c r="P157" s="2275"/>
      <c r="Q157" s="2275"/>
    </row>
    <row r="158" spans="2:17" s="750" customFormat="1">
      <c r="B158" s="2275"/>
      <c r="C158" s="2275"/>
      <c r="D158" s="2275"/>
      <c r="E158" s="2275"/>
      <c r="F158" s="2275"/>
      <c r="G158" s="2275"/>
      <c r="H158" s="2275"/>
      <c r="I158" s="2275"/>
      <c r="J158" s="2275"/>
      <c r="K158" s="2275"/>
      <c r="L158" s="2275"/>
      <c r="M158" s="2275"/>
      <c r="N158" s="2275"/>
      <c r="O158" s="2275"/>
      <c r="P158" s="2275"/>
      <c r="Q158" s="2275"/>
    </row>
    <row r="159" spans="2:17" s="750" customFormat="1">
      <c r="B159" s="2275"/>
      <c r="C159" s="2275"/>
      <c r="D159" s="2275"/>
      <c r="E159" s="2275"/>
      <c r="F159" s="2275"/>
      <c r="G159" s="2275"/>
      <c r="H159" s="2275"/>
      <c r="I159" s="2275"/>
      <c r="J159" s="2275"/>
      <c r="K159" s="2275"/>
      <c r="L159" s="2275"/>
      <c r="M159" s="2275"/>
      <c r="N159" s="2275"/>
      <c r="O159" s="2275"/>
      <c r="P159" s="2275"/>
      <c r="Q159" s="2275"/>
    </row>
    <row r="160" spans="2:17" s="750" customFormat="1">
      <c r="B160" s="2275"/>
      <c r="C160" s="2275"/>
      <c r="D160" s="2275"/>
      <c r="E160" s="2275"/>
      <c r="F160" s="2275"/>
      <c r="G160" s="2275"/>
      <c r="H160" s="2275"/>
      <c r="I160" s="2275"/>
      <c r="J160" s="2275"/>
      <c r="K160" s="2275"/>
      <c r="L160" s="2275"/>
      <c r="M160" s="2275"/>
      <c r="N160" s="2275"/>
      <c r="O160" s="2275"/>
      <c r="P160" s="2275"/>
      <c r="Q160" s="2275"/>
    </row>
    <row r="161" spans="2:17" s="750" customFormat="1">
      <c r="B161" s="2275"/>
      <c r="C161" s="2275"/>
      <c r="D161" s="2275"/>
      <c r="E161" s="2275"/>
      <c r="F161" s="2275"/>
      <c r="G161" s="2275"/>
      <c r="H161" s="2275"/>
      <c r="I161" s="2275"/>
      <c r="J161" s="2275"/>
      <c r="K161" s="2275"/>
      <c r="L161" s="2275"/>
      <c r="M161" s="2275"/>
      <c r="N161" s="2275"/>
      <c r="O161" s="2275"/>
      <c r="P161" s="2275"/>
      <c r="Q161" s="2275"/>
    </row>
    <row r="162" spans="2:17" s="750" customFormat="1">
      <c r="B162" s="2275"/>
      <c r="C162" s="2275"/>
      <c r="D162" s="2275"/>
      <c r="E162" s="2275"/>
      <c r="F162" s="2275"/>
      <c r="G162" s="2275"/>
      <c r="H162" s="2275"/>
      <c r="I162" s="2275"/>
      <c r="J162" s="2275"/>
      <c r="K162" s="2275"/>
      <c r="L162" s="2275"/>
      <c r="M162" s="2275"/>
      <c r="N162" s="2275"/>
      <c r="O162" s="2275"/>
      <c r="P162" s="2275"/>
      <c r="Q162" s="2275"/>
    </row>
    <row r="163" spans="2:17" s="750" customFormat="1">
      <c r="B163" s="2275"/>
      <c r="C163" s="2275"/>
      <c r="D163" s="2275"/>
      <c r="E163" s="2275"/>
      <c r="F163" s="2275"/>
      <c r="G163" s="2275"/>
      <c r="H163" s="2275"/>
      <c r="I163" s="2275"/>
      <c r="J163" s="2275"/>
      <c r="K163" s="2275"/>
      <c r="L163" s="2275"/>
      <c r="M163" s="2275"/>
      <c r="N163" s="2275"/>
      <c r="O163" s="2275"/>
      <c r="P163" s="2275"/>
      <c r="Q163" s="2275"/>
    </row>
    <row r="164" spans="2:17" s="750" customFormat="1">
      <c r="B164" s="2275"/>
      <c r="C164" s="2275"/>
      <c r="D164" s="2275"/>
      <c r="E164" s="2275"/>
      <c r="F164" s="2275"/>
      <c r="G164" s="2275"/>
      <c r="H164" s="2275"/>
      <c r="I164" s="2275"/>
      <c r="J164" s="2275"/>
      <c r="K164" s="2275"/>
      <c r="L164" s="2275"/>
      <c r="M164" s="2275"/>
      <c r="N164" s="2275"/>
      <c r="O164" s="2275"/>
      <c r="P164" s="2275"/>
      <c r="Q164" s="2275"/>
    </row>
    <row r="165" spans="2:17" s="750" customFormat="1">
      <c r="B165" s="2275"/>
      <c r="C165" s="2275"/>
      <c r="D165" s="2275"/>
      <c r="E165" s="2275"/>
      <c r="F165" s="2275"/>
      <c r="G165" s="2275"/>
      <c r="H165" s="2275"/>
      <c r="I165" s="2275"/>
      <c r="J165" s="2275"/>
      <c r="K165" s="2275"/>
      <c r="L165" s="2275"/>
      <c r="M165" s="2275"/>
      <c r="N165" s="2275"/>
      <c r="O165" s="2275"/>
      <c r="P165" s="2275"/>
      <c r="Q165" s="2275"/>
    </row>
    <row r="166" spans="2:17" s="750" customFormat="1">
      <c r="B166" s="2275"/>
      <c r="C166" s="2275"/>
      <c r="D166" s="2275"/>
      <c r="E166" s="2275"/>
      <c r="F166" s="2275"/>
      <c r="G166" s="2275"/>
      <c r="H166" s="2275"/>
      <c r="I166" s="2275"/>
      <c r="J166" s="2275"/>
      <c r="K166" s="2275"/>
      <c r="L166" s="2275"/>
      <c r="M166" s="2275"/>
      <c r="N166" s="2275"/>
      <c r="O166" s="2275"/>
      <c r="P166" s="2275"/>
      <c r="Q166" s="2275"/>
    </row>
    <row r="167" spans="2:17" s="750" customFormat="1">
      <c r="B167" s="2275"/>
      <c r="C167" s="2275"/>
      <c r="D167" s="2275"/>
      <c r="E167" s="2275"/>
      <c r="F167" s="2275"/>
      <c r="G167" s="2275"/>
      <c r="H167" s="2275"/>
      <c r="I167" s="2275"/>
      <c r="J167" s="2275"/>
      <c r="K167" s="2275"/>
      <c r="L167" s="2275"/>
      <c r="M167" s="2275"/>
      <c r="N167" s="2275"/>
      <c r="O167" s="2275"/>
      <c r="P167" s="2275"/>
      <c r="Q167" s="2275"/>
    </row>
    <row r="168" spans="2:17" s="750" customFormat="1">
      <c r="B168" s="2275"/>
      <c r="C168" s="2275"/>
      <c r="D168" s="2275"/>
      <c r="E168" s="2275"/>
      <c r="F168" s="2275"/>
      <c r="G168" s="2275"/>
      <c r="H168" s="2275"/>
      <c r="I168" s="2275"/>
      <c r="J168" s="2275"/>
      <c r="K168" s="2275"/>
      <c r="L168" s="2275"/>
      <c r="M168" s="2275"/>
      <c r="N168" s="2275"/>
      <c r="O168" s="2275"/>
      <c r="P168" s="2275"/>
      <c r="Q168" s="2275"/>
    </row>
    <row r="169" spans="2:17" s="750" customFormat="1">
      <c r="B169" s="2275"/>
      <c r="C169" s="2275"/>
      <c r="D169" s="2275"/>
      <c r="E169" s="2275"/>
      <c r="F169" s="2275"/>
      <c r="G169" s="2275"/>
      <c r="H169" s="2275"/>
      <c r="I169" s="2275"/>
      <c r="J169" s="2275"/>
      <c r="K169" s="2275"/>
      <c r="L169" s="2275"/>
      <c r="M169" s="2275"/>
      <c r="N169" s="2275"/>
      <c r="O169" s="2275"/>
      <c r="P169" s="2275"/>
      <c r="Q169" s="2275"/>
    </row>
    <row r="170" spans="2:17" s="750" customFormat="1">
      <c r="B170" s="2275"/>
      <c r="C170" s="2275"/>
      <c r="D170" s="2275"/>
      <c r="E170" s="2275"/>
      <c r="F170" s="2275"/>
      <c r="G170" s="2275"/>
      <c r="H170" s="2275"/>
      <c r="I170" s="2275"/>
      <c r="J170" s="2275"/>
      <c r="K170" s="2275"/>
      <c r="L170" s="2275"/>
      <c r="M170" s="2275"/>
      <c r="N170" s="2275"/>
      <c r="O170" s="2275"/>
      <c r="P170" s="2275"/>
      <c r="Q170" s="2275"/>
    </row>
    <row r="171" spans="2:17" s="750" customFormat="1">
      <c r="B171" s="2275"/>
      <c r="C171" s="2275"/>
      <c r="D171" s="2275"/>
      <c r="E171" s="2275"/>
      <c r="F171" s="2275"/>
      <c r="G171" s="2275"/>
      <c r="H171" s="2275"/>
      <c r="I171" s="2275"/>
      <c r="J171" s="2275"/>
      <c r="K171" s="2275"/>
      <c r="L171" s="2275"/>
      <c r="M171" s="2275"/>
      <c r="N171" s="2275"/>
      <c r="O171" s="2275"/>
      <c r="P171" s="2275"/>
      <c r="Q171" s="2275"/>
    </row>
    <row r="172" spans="2:17" s="750" customFormat="1">
      <c r="B172" s="2275"/>
      <c r="C172" s="2275"/>
      <c r="D172" s="2275"/>
      <c r="E172" s="2275"/>
      <c r="F172" s="2275"/>
      <c r="G172" s="2275"/>
      <c r="H172" s="2275"/>
      <c r="I172" s="2275"/>
      <c r="J172" s="2275"/>
      <c r="K172" s="2275"/>
      <c r="L172" s="2275"/>
      <c r="M172" s="2275"/>
      <c r="N172" s="2275"/>
      <c r="O172" s="2275"/>
      <c r="P172" s="2275"/>
      <c r="Q172" s="2275"/>
    </row>
    <row r="173" spans="2:17" s="750" customFormat="1">
      <c r="B173" s="2275"/>
      <c r="C173" s="2275"/>
      <c r="D173" s="2275"/>
      <c r="E173" s="2275"/>
      <c r="F173" s="2275"/>
      <c r="G173" s="2275"/>
      <c r="H173" s="2275"/>
      <c r="I173" s="2275"/>
      <c r="J173" s="2275"/>
      <c r="K173" s="2275"/>
      <c r="L173" s="2275"/>
      <c r="M173" s="2275"/>
      <c r="N173" s="2275"/>
      <c r="O173" s="2275"/>
      <c r="P173" s="2275"/>
      <c r="Q173" s="2275"/>
    </row>
    <row r="174" spans="2:17" s="750" customFormat="1">
      <c r="B174" s="2275"/>
      <c r="C174" s="2275"/>
      <c r="D174" s="2275"/>
      <c r="E174" s="2275"/>
      <c r="F174" s="2275"/>
      <c r="G174" s="2275"/>
      <c r="H174" s="2275"/>
      <c r="I174" s="2275"/>
      <c r="J174" s="2275"/>
      <c r="K174" s="2275"/>
      <c r="L174" s="2275"/>
      <c r="M174" s="2275"/>
      <c r="N174" s="2275"/>
      <c r="O174" s="2275"/>
      <c r="P174" s="2275"/>
      <c r="Q174" s="2275"/>
    </row>
    <row r="175" spans="2:17" s="750" customFormat="1">
      <c r="B175" s="2275"/>
      <c r="C175" s="2275"/>
      <c r="D175" s="2275"/>
      <c r="E175" s="2275"/>
      <c r="F175" s="2275"/>
      <c r="G175" s="2275"/>
      <c r="H175" s="2275"/>
      <c r="I175" s="2275"/>
      <c r="J175" s="2275"/>
      <c r="K175" s="2275"/>
      <c r="L175" s="2275"/>
      <c r="M175" s="2275"/>
      <c r="N175" s="2275"/>
      <c r="O175" s="2275"/>
      <c r="P175" s="2275"/>
      <c r="Q175" s="2275"/>
    </row>
    <row r="176" spans="2:17" s="750" customFormat="1">
      <c r="B176" s="2275"/>
      <c r="C176" s="2275"/>
      <c r="D176" s="2275"/>
      <c r="E176" s="2275"/>
      <c r="F176" s="2275"/>
      <c r="G176" s="2275"/>
      <c r="H176" s="2275"/>
      <c r="I176" s="2275"/>
      <c r="J176" s="2275"/>
      <c r="K176" s="2275"/>
      <c r="L176" s="2275"/>
      <c r="M176" s="2275"/>
      <c r="N176" s="2275"/>
      <c r="O176" s="2275"/>
      <c r="P176" s="2275"/>
      <c r="Q176" s="2275"/>
    </row>
    <row r="177" spans="1:17" s="750" customFormat="1">
      <c r="B177" s="2275"/>
      <c r="C177" s="2275"/>
      <c r="D177" s="2275"/>
      <c r="E177" s="2275"/>
      <c r="F177" s="2275"/>
      <c r="G177" s="2275"/>
      <c r="H177" s="2275"/>
      <c r="I177" s="2275"/>
      <c r="J177" s="2275"/>
      <c r="K177" s="2275"/>
      <c r="L177" s="2275"/>
      <c r="M177" s="2275"/>
      <c r="N177" s="2275"/>
      <c r="O177" s="2275"/>
      <c r="P177" s="2275"/>
      <c r="Q177" s="2275"/>
    </row>
    <row r="178" spans="1:17" s="750" customFormat="1">
      <c r="B178" s="2275"/>
      <c r="C178" s="2275"/>
      <c r="D178" s="2275"/>
      <c r="E178" s="2275"/>
      <c r="F178" s="2275"/>
      <c r="G178" s="2275"/>
      <c r="H178" s="2275"/>
      <c r="I178" s="2275"/>
      <c r="J178" s="2275"/>
      <c r="K178" s="2275"/>
      <c r="L178" s="2275"/>
      <c r="M178" s="2275"/>
      <c r="N178" s="2275"/>
      <c r="O178" s="2275"/>
      <c r="P178" s="2275"/>
      <c r="Q178" s="2275"/>
    </row>
    <row r="179" spans="1:17" s="750" customFormat="1">
      <c r="B179" s="2275"/>
      <c r="C179" s="2275"/>
      <c r="D179" s="2275"/>
      <c r="E179" s="2275"/>
      <c r="F179" s="2275"/>
      <c r="G179" s="2275"/>
      <c r="H179" s="2275"/>
      <c r="I179" s="2275"/>
      <c r="J179" s="2275"/>
      <c r="K179" s="2275"/>
      <c r="L179" s="2275"/>
      <c r="M179" s="2275"/>
      <c r="N179" s="2275"/>
      <c r="O179" s="2275"/>
      <c r="P179" s="2275"/>
      <c r="Q179" s="2275"/>
    </row>
    <row r="180" spans="1:17" s="750" customFormat="1">
      <c r="B180" s="2275"/>
      <c r="C180" s="2275"/>
      <c r="D180" s="2275"/>
      <c r="E180" s="2275"/>
      <c r="F180" s="2275"/>
      <c r="G180" s="2275"/>
      <c r="H180" s="2275"/>
      <c r="I180" s="2275"/>
      <c r="J180" s="2275"/>
      <c r="K180" s="2275"/>
      <c r="L180" s="2275"/>
      <c r="M180" s="2275"/>
      <c r="N180" s="2275"/>
      <c r="O180" s="2275"/>
      <c r="P180" s="2275"/>
      <c r="Q180" s="2275"/>
    </row>
    <row r="181" spans="1:17" s="750" customFormat="1">
      <c r="B181" s="2275"/>
      <c r="C181" s="2275"/>
      <c r="D181" s="2275"/>
      <c r="E181" s="2275"/>
      <c r="F181" s="2275"/>
      <c r="G181" s="2275"/>
      <c r="H181" s="2275"/>
      <c r="I181" s="2275"/>
      <c r="J181" s="2275"/>
      <c r="K181" s="2275"/>
      <c r="L181" s="2275"/>
      <c r="M181" s="2275"/>
      <c r="N181" s="2275"/>
      <c r="O181" s="2275"/>
      <c r="P181" s="2275"/>
      <c r="Q181" s="2275"/>
    </row>
    <row r="182" spans="1:17" s="750" customFormat="1">
      <c r="B182" s="2275"/>
      <c r="C182" s="2275"/>
      <c r="D182" s="2275"/>
      <c r="E182" s="2275"/>
      <c r="F182" s="2275"/>
      <c r="G182" s="2275"/>
      <c r="H182" s="2275"/>
      <c r="I182" s="2275"/>
      <c r="J182" s="2275"/>
      <c r="K182" s="2275"/>
      <c r="L182" s="2275"/>
      <c r="M182" s="2275"/>
      <c r="N182" s="2275"/>
      <c r="O182" s="2275"/>
      <c r="P182" s="2275"/>
      <c r="Q182" s="2275"/>
    </row>
    <row r="183" spans="1:17" s="750" customFormat="1">
      <c r="B183" s="2275"/>
      <c r="C183" s="2275"/>
      <c r="D183" s="2275"/>
      <c r="E183" s="2275"/>
      <c r="F183" s="2275"/>
      <c r="G183" s="2275"/>
      <c r="H183" s="2275"/>
      <c r="I183" s="2275"/>
      <c r="J183" s="2275"/>
      <c r="K183" s="2275"/>
      <c r="L183" s="2275"/>
      <c r="M183" s="2275"/>
      <c r="N183" s="2275"/>
      <c r="O183" s="2275"/>
      <c r="P183" s="2275"/>
      <c r="Q183" s="2275"/>
    </row>
    <row r="184" spans="1:17" s="750" customFormat="1">
      <c r="B184" s="2275"/>
      <c r="C184" s="2275"/>
      <c r="D184" s="2275"/>
      <c r="E184" s="2275"/>
      <c r="F184" s="2275"/>
      <c r="G184" s="2275"/>
      <c r="H184" s="2275"/>
      <c r="I184" s="2275"/>
      <c r="J184" s="2275"/>
      <c r="K184" s="2275"/>
      <c r="L184" s="2275"/>
      <c r="M184" s="2275"/>
      <c r="N184" s="2275"/>
      <c r="O184" s="2275"/>
      <c r="P184" s="2275"/>
      <c r="Q184" s="2275"/>
    </row>
    <row r="185" spans="1:17" s="750" customFormat="1">
      <c r="B185" s="2275"/>
      <c r="C185" s="2275"/>
      <c r="D185" s="2275"/>
      <c r="E185" s="2275"/>
      <c r="F185" s="2275"/>
      <c r="G185" s="2275"/>
      <c r="H185" s="2275"/>
      <c r="I185" s="2275"/>
      <c r="J185" s="2275"/>
      <c r="K185" s="2275"/>
      <c r="L185" s="2275"/>
      <c r="M185" s="2275"/>
      <c r="N185" s="2275"/>
      <c r="O185" s="2275"/>
      <c r="P185" s="2275"/>
      <c r="Q185" s="2275"/>
    </row>
    <row r="186" spans="1:17">
      <c r="A186" s="750"/>
      <c r="B186" s="2275"/>
      <c r="C186" s="2275"/>
      <c r="E186" s="2275"/>
      <c r="F186" s="2275"/>
      <c r="G186" s="2275"/>
    </row>
    <row r="187" spans="1:17">
      <c r="A187" s="750"/>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tabSelected="1" view="pageBreakPreview" zoomScale="80" zoomScaleNormal="80" zoomScaleSheetLayoutView="80" workbookViewId="0">
      <selection activeCell="E15" sqref="E15"/>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156.33000000000001</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45562</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189.83150000000001</v>
      </c>
      <c r="C5" s="2298">
        <f ca="1">IF(B5=D14,结果表1号!H102,ROUND(B5*10000/$B$1,0))</f>
        <v>12143</v>
      </c>
      <c r="D5" s="2298" t="e">
        <f ca="1">ROUND(B5*10000/$B$2,0)</f>
        <v>#DIV/0!</v>
      </c>
      <c r="E5" s="2459"/>
      <c r="F5" s="2460"/>
      <c r="G5" s="2460"/>
      <c r="H5" s="2460"/>
      <c r="I5" s="2460"/>
      <c r="J5" s="2460"/>
      <c r="K5" s="2460"/>
    </row>
    <row r="6" spans="1:11" ht="15.6">
      <c r="A6" s="2298" t="s">
        <v>656</v>
      </c>
      <c r="B6" s="2298">
        <f>SUM(G14:G23)</f>
        <v>0</v>
      </c>
      <c r="C6" s="2298">
        <f ca="1">IF(B6=G14,结果表1号!H108,ROUND(B6*10000/$B$1,0))</f>
        <v>12143</v>
      </c>
      <c r="D6" s="2298" t="e">
        <f>ROUND(B6*10000/$B$2,0)</f>
        <v>#DIV/0!</v>
      </c>
      <c r="E6" s="2459"/>
      <c r="F6" s="2460"/>
      <c r="G6" s="2460"/>
      <c r="H6" s="2460"/>
      <c r="I6" s="2460"/>
      <c r="J6" s="2460"/>
      <c r="K6" s="2460"/>
    </row>
    <row r="7" spans="1:11" ht="15.6">
      <c r="A7" s="2298" t="s">
        <v>664</v>
      </c>
      <c r="B7" s="2298">
        <f>SUM(H14:H23)</f>
        <v>0</v>
      </c>
      <c r="C7" s="2298" t="str">
        <f>IF(B7=H14,结果表1号!H110,ROUND(B7*10000/$B$1,0))</f>
        <v>——</v>
      </c>
      <c r="D7" s="2298" t="e">
        <f>ROUND(B7*10000/$B$2,0)</f>
        <v>#DIV/0!</v>
      </c>
      <c r="E7" s="2459"/>
      <c r="F7" s="2460"/>
      <c r="G7" s="2460"/>
      <c r="H7" s="2460"/>
      <c r="I7" s="2460"/>
      <c r="J7" s="2460"/>
      <c r="K7" s="2460"/>
    </row>
    <row r="8" spans="1:11" ht="15.6">
      <c r="A8" s="2298" t="s">
        <v>587</v>
      </c>
      <c r="B8" s="2298">
        <f>SUM(I14:I23)</f>
        <v>0</v>
      </c>
      <c r="C8" s="2298" t="str">
        <f>IF(B8=I14,结果表1号!H112,ROUND(B8*10000/$B$1,0))</f>
        <v>——</v>
      </c>
      <c r="D8" s="2298" t="e">
        <f>ROUND(B8*10000/$B$2,0)</f>
        <v>#DIV/0!</v>
      </c>
      <c r="E8" s="2459"/>
      <c r="F8" s="2460"/>
      <c r="G8" s="2460"/>
      <c r="H8" s="2460"/>
      <c r="I8" s="2460"/>
      <c r="J8" s="2460"/>
      <c r="K8" s="2460"/>
    </row>
    <row r="9" spans="1:11" ht="15.6">
      <c r="A9" s="2298" t="s">
        <v>655</v>
      </c>
      <c r="B9" s="1243"/>
      <c r="C9" s="2459"/>
      <c r="D9" s="2459"/>
      <c r="E9" s="2459"/>
      <c r="F9" s="2460"/>
      <c r="G9" s="2460"/>
      <c r="H9" s="2460"/>
      <c r="I9" s="2460"/>
      <c r="J9" s="2460"/>
      <c r="K9" s="2460"/>
    </row>
    <row r="10" spans="1:11" ht="15.6">
      <c r="A10" s="2298" t="s">
        <v>654</v>
      </c>
      <c r="B10" s="2298">
        <f>IF(E10="",0,ROUND(B1*(E10*365/G10)/10000,0))</f>
        <v>0</v>
      </c>
      <c r="C10" s="2298" t="s">
        <v>3354</v>
      </c>
      <c r="D10" s="2298" t="s">
        <v>3355</v>
      </c>
      <c r="E10" s="3134"/>
      <c r="F10" s="3138" t="s">
        <v>3356</v>
      </c>
      <c r="G10" s="3135"/>
      <c r="H10" s="2460"/>
      <c r="I10" s="2460"/>
      <c r="J10" s="2460"/>
      <c r="K10" s="2460"/>
    </row>
    <row r="11" spans="1:11" ht="15.6">
      <c r="A11" s="2298" t="s">
        <v>670</v>
      </c>
      <c r="B11" s="1243"/>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'数据-汇总表'!E19</f>
        <v>156.33000000000001</v>
      </c>
      <c r="C14" s="2304"/>
      <c r="D14" s="2304">
        <f ca="1">结果表1号!H101</f>
        <v>189.83150000000001</v>
      </c>
      <c r="E14" s="2304">
        <f ca="1">结果表1号!H102</f>
        <v>12143</v>
      </c>
      <c r="F14" s="2304" t="e">
        <f ca="1">ROUND(D14*10000/C14,0)</f>
        <v>#DIV/0!</v>
      </c>
      <c r="G14" s="2304"/>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3"/>
      <c r="H15" s="1243"/>
      <c r="I15" s="2305"/>
      <c r="J15" s="2460"/>
      <c r="K15" s="2460"/>
    </row>
    <row r="16" spans="1:11" ht="15.6">
      <c r="A16" s="2303" t="s">
        <v>648</v>
      </c>
      <c r="B16" s="2305"/>
      <c r="C16" s="2305"/>
      <c r="D16" s="2305"/>
      <c r="E16" s="2304" t="e">
        <f t="shared" si="0"/>
        <v>#DIV/0!</v>
      </c>
      <c r="F16" s="2304" t="e">
        <f t="shared" si="1"/>
        <v>#DIV/0!</v>
      </c>
      <c r="G16" s="1243"/>
      <c r="H16" s="1243"/>
      <c r="I16" s="2305"/>
      <c r="J16" s="2460"/>
      <c r="K16" s="2460"/>
    </row>
    <row r="17" spans="1:11" ht="15.6">
      <c r="A17" s="2303" t="s">
        <v>647</v>
      </c>
      <c r="B17" s="2305"/>
      <c r="C17" s="2305"/>
      <c r="D17" s="2305"/>
      <c r="E17" s="2304" t="e">
        <f t="shared" si="0"/>
        <v>#DIV/0!</v>
      </c>
      <c r="F17" s="2304" t="e">
        <f t="shared" si="1"/>
        <v>#DIV/0!</v>
      </c>
      <c r="G17" s="1243"/>
      <c r="H17" s="1243"/>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3" t="e">
        <f t="shared" si="0"/>
        <v>#DIV/0!</v>
      </c>
      <c r="F23" s="1243"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70" zoomScaleNormal="70" zoomScaleSheetLayoutView="70" workbookViewId="0">
      <selection activeCell="B1" sqref="B1"/>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1461</v>
      </c>
      <c r="B1" s="1373"/>
      <c r="C1" s="189"/>
      <c r="D1" s="189"/>
      <c r="E1" s="189"/>
      <c r="F1" s="189"/>
      <c r="G1" s="1061">
        <f>MATCH(B1,'数据-取费表'!A6:A16,0)+5</f>
        <v>8</v>
      </c>
    </row>
    <row r="2" spans="1:9" s="191" customFormat="1" ht="18" customHeight="1">
      <c r="A2" s="192" t="s">
        <v>1462</v>
      </c>
      <c r="B2" s="193">
        <f ca="1">IF(D2="——",C52,C52-E2)</f>
        <v>99</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f ca="1">ROUND(B2*10000/(IF(B1="",'数据-汇总表'!E3,INDIRECT("'数据-取费表'!k"&amp;$G$1))),0)</f>
        <v>3166</v>
      </c>
      <c r="C3" s="190" t="s">
        <v>1465</v>
      </c>
      <c r="D3" s="190"/>
      <c r="E3" s="190"/>
      <c r="F3" s="190"/>
      <c r="G3" s="190"/>
    </row>
    <row r="4" spans="1:9" s="199" customFormat="1" ht="16.2">
      <c r="A4" s="196" t="s">
        <v>1466</v>
      </c>
      <c r="B4" s="197"/>
      <c r="C4" s="197"/>
      <c r="D4" s="197"/>
      <c r="E4" s="197"/>
      <c r="F4" s="197"/>
      <c r="G4" s="198"/>
    </row>
    <row r="5" spans="1:9" s="205" customFormat="1" ht="13.5" customHeight="1">
      <c r="A5" s="246" t="s">
        <v>1467</v>
      </c>
      <c r="B5" s="201" t="s">
        <v>1468</v>
      </c>
      <c r="C5" s="202">
        <f>C6+C7+C8</f>
        <v>0</v>
      </c>
      <c r="D5" s="202" t="s">
        <v>1469</v>
      </c>
      <c r="E5" s="203" t="s">
        <v>1470</v>
      </c>
      <c r="F5" s="203" t="s">
        <v>1471</v>
      </c>
      <c r="G5" s="204"/>
    </row>
    <row r="6" spans="1:9" s="205" customFormat="1" ht="13.5" customHeight="1">
      <c r="A6" s="731" t="s">
        <v>1472</v>
      </c>
      <c r="B6" s="206" t="s">
        <v>1473</v>
      </c>
      <c r="C6" s="207"/>
      <c r="D6" s="208"/>
      <c r="E6" s="209"/>
      <c r="F6" s="209"/>
      <c r="G6" s="210"/>
    </row>
    <row r="7" spans="1:9" s="205" customFormat="1" ht="13.5" customHeight="1">
      <c r="A7" s="731" t="s">
        <v>1474</v>
      </c>
      <c r="B7" s="206" t="s">
        <v>1475</v>
      </c>
      <c r="C7" s="211">
        <f>ROUND(C6*F7,0)</f>
        <v>0</v>
      </c>
      <c r="D7" s="211"/>
      <c r="E7" s="209"/>
      <c r="F7" s="212">
        <f>IF(项目基本情况!B8="出让",0,'数据-取费表'!B48+'数据-取费表'!B49)</f>
        <v>3.0499999999999999E-2</v>
      </c>
      <c r="G7" s="210"/>
    </row>
    <row r="8" spans="1:9" s="214" customFormat="1">
      <c r="A8" s="731" t="s">
        <v>1476</v>
      </c>
      <c r="B8" s="206" t="s">
        <v>1477</v>
      </c>
      <c r="C8" s="211">
        <f>IF(G8="已包含在土地购买价格中","0",IF(B1="",'数据-取费表'!B29,IF(G9="全部缴纳",C9+C10,H9)))</f>
        <v>0</v>
      </c>
      <c r="D8" s="213"/>
      <c r="E8" s="211"/>
      <c r="F8" s="212"/>
      <c r="G8" s="1713"/>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100</v>
      </c>
      <c r="F9" s="212"/>
      <c r="G9" s="1714"/>
      <c r="H9" s="1069"/>
      <c r="I9" s="1715" t="s">
        <v>1479</v>
      </c>
    </row>
    <row r="10" spans="1:9" s="205" customFormat="1" ht="13.5" customHeight="1">
      <c r="A10" s="732" t="s">
        <v>356</v>
      </c>
      <c r="B10" s="215" t="s">
        <v>1480</v>
      </c>
      <c r="C10" s="216">
        <f ca="1">ROUND(D10*E10/10000,0)</f>
        <v>5</v>
      </c>
      <c r="D10" s="794">
        <f ca="1">IF(B1="",'数据-汇总表'!E6,IF(INDIRECT("'数据-取费表'!c"&amp;$G$1)="住宅",INDIRECT("'数据-取费表'!s"&amp;$G$1),INDIRECT("'数据-取费表'!k"&amp;$G$1)+INDIRECT("'数据-取费表'!s"&amp;$G$1)))</f>
        <v>312.66000000000003</v>
      </c>
      <c r="E10" s="216">
        <f>'数据-取费表'!B28</f>
        <v>150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f ca="1">IF(G19="已包含在土地取得成本中","0",ROUND(D19*E19/10000,0))</f>
        <v>6</v>
      </c>
      <c r="D19" s="203">
        <f ca="1">D9+D10</f>
        <v>312.66000000000003</v>
      </c>
      <c r="E19" s="202">
        <f>'数据-取费表'!B31</f>
        <v>200</v>
      </c>
      <c r="F19" s="222"/>
      <c r="G19" s="1713"/>
    </row>
    <row r="20" spans="1:7" s="205" customFormat="1" ht="13.5" customHeight="1">
      <c r="A20" s="246" t="s">
        <v>1493</v>
      </c>
      <c r="B20" s="201" t="s">
        <v>1494</v>
      </c>
      <c r="C20" s="223">
        <f ca="1">ROUND((C5+C19)*F20,0)</f>
        <v>0</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0</v>
      </c>
      <c r="D22" s="226">
        <f ca="1">C26</f>
        <v>2.9999999999999997E-4</v>
      </c>
      <c r="E22" s="227" t="s">
        <v>1498</v>
      </c>
      <c r="F22" s="228">
        <f ca="1">'数据-取费表'!B40</f>
        <v>3.3500000000000002E-2</v>
      </c>
      <c r="G22" s="225" t="str">
        <f>IF('数据-取费表'!B22&lt;=1,"单利计息","复利计息")</f>
        <v>单利计息</v>
      </c>
    </row>
    <row r="23" spans="1:7" s="205" customFormat="1" ht="13.5" customHeight="1">
      <c r="A23" s="733" t="s">
        <v>1502</v>
      </c>
      <c r="B23" s="206" t="s">
        <v>1503</v>
      </c>
      <c r="C23" s="1041">
        <f ca="1">ROUND(IF('数据-取费表'!B22&lt;=1,C5*F22*'数据-取费表'!B23,C5*(POWER((1+F22),'数据-取费表'!B23)-1)),0)</f>
        <v>0</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0</v>
      </c>
      <c r="D25" s="229"/>
      <c r="E25" s="232"/>
      <c r="F25" s="230"/>
      <c r="G25" s="233" t="s">
        <v>1510</v>
      </c>
    </row>
    <row r="26" spans="1:7" s="205" customFormat="1">
      <c r="A26" s="733" t="s">
        <v>350</v>
      </c>
      <c r="B26" s="206" t="s">
        <v>1511</v>
      </c>
      <c r="C26" s="229">
        <f ca="1">ROUND(IF('数据-取费表'!B22&lt;=1,F21*F22*'数据-取费表'!B23/2,F21*(POWER((1+F22),'数据-取费表'!B23/2)-1)),4)</f>
        <v>2.9999999999999997E-4</v>
      </c>
      <c r="D26" s="229"/>
      <c r="E26" s="232"/>
      <c r="F26" s="230"/>
      <c r="G26" s="234"/>
    </row>
    <row r="27" spans="1:7" s="205" customFormat="1" ht="26.4">
      <c r="A27" s="246" t="s">
        <v>1512</v>
      </c>
      <c r="B27" s="235" t="s">
        <v>1513</v>
      </c>
      <c r="C27" s="236">
        <f ca="1">C28</f>
        <v>1</v>
      </c>
      <c r="D27" s="226">
        <f ca="1">C29</f>
        <v>2E-3</v>
      </c>
      <c r="E27" s="227" t="s">
        <v>1514</v>
      </c>
      <c r="F27" s="237">
        <f ca="1">IF(B1="",'数据-取费表'!Q16,INDIRECT("'数据-取费表'!q"&amp;$G$1))</f>
        <v>0.1</v>
      </c>
      <c r="G27" s="238" t="s">
        <v>1515</v>
      </c>
    </row>
    <row r="28" spans="1:7" s="205" customFormat="1" ht="13.5" customHeight="1">
      <c r="A28" s="733" t="s">
        <v>346</v>
      </c>
      <c r="B28" s="239" t="s">
        <v>1516</v>
      </c>
      <c r="C28" s="240">
        <f ca="1">ROUND((C5+C19+C20)*F27*'数据-取费表'!B21/'数据-取费表'!B20,0)</f>
        <v>1</v>
      </c>
      <c r="D28" s="226"/>
      <c r="E28" s="227"/>
      <c r="F28" s="237"/>
      <c r="G28" s="238"/>
    </row>
    <row r="29" spans="1:7" s="205" customFormat="1" ht="13.5" customHeight="1">
      <c r="A29" s="733" t="s">
        <v>347</v>
      </c>
      <c r="B29" s="239" t="s">
        <v>1517</v>
      </c>
      <c r="C29" s="229">
        <f ca="1">ROUND(C21*F27*'数据-取费表'!B21/'数据-取费表'!B20,4)</f>
        <v>2E-3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8</v>
      </c>
      <c r="D31" s="221"/>
      <c r="E31" s="202"/>
      <c r="F31" s="241"/>
      <c r="G31" s="225" t="s">
        <v>1522</v>
      </c>
    </row>
    <row r="32" spans="1:7" s="199" customFormat="1" ht="16.2">
      <c r="A32" s="243" t="s">
        <v>1523</v>
      </c>
      <c r="B32" s="244"/>
      <c r="C32" s="244"/>
      <c r="D32" s="244"/>
      <c r="E32" s="244"/>
      <c r="F32" s="244"/>
      <c r="G32" s="245"/>
    </row>
    <row r="33" spans="1:7" s="205" customFormat="1" ht="13.5" customHeight="1">
      <c r="A33" s="246" t="s">
        <v>337</v>
      </c>
      <c r="B33" s="201" t="s">
        <v>1524</v>
      </c>
      <c r="C33" s="247">
        <f ca="1">SUM(C34:C38)</f>
        <v>105</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94</v>
      </c>
      <c r="D34" s="208"/>
      <c r="E34" s="211"/>
      <c r="F34" s="248">
        <f ca="1">IF('数据-取费表'!B24=0,1,IF(B1="",'数据-取费表'!N16,INDIRECT("'数据-取费表'!n"&amp;$G$1)))</f>
        <v>1</v>
      </c>
      <c r="G34" s="210" t="s">
        <v>1526</v>
      </c>
    </row>
    <row r="35" spans="1:7" ht="13.5" customHeight="1">
      <c r="A35" s="733" t="s">
        <v>351</v>
      </c>
      <c r="B35" s="206" t="s">
        <v>1527</v>
      </c>
      <c r="C35" s="211">
        <f ca="1">ROUND(C34*F35,0)</f>
        <v>3</v>
      </c>
      <c r="D35" s="211"/>
      <c r="E35" s="211"/>
      <c r="F35" s="250">
        <f>'数据-取费表'!B33</f>
        <v>0.03</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6</v>
      </c>
      <c r="D37" s="208">
        <f ca="1">D19</f>
        <v>312.66000000000003</v>
      </c>
      <c r="E37" s="240">
        <f>'数据-取费表'!B35</f>
        <v>200</v>
      </c>
      <c r="F37" s="250"/>
      <c r="G37" s="252" t="s">
        <v>1532</v>
      </c>
    </row>
    <row r="38" spans="1:7" ht="13.5" customHeight="1">
      <c r="A38" s="733" t="s">
        <v>354</v>
      </c>
      <c r="B38" s="206" t="s">
        <v>1533</v>
      </c>
      <c r="C38" s="211">
        <f ca="1">ROUND(C34*F38,0)</f>
        <v>2</v>
      </c>
      <c r="D38" s="211"/>
      <c r="E38" s="211"/>
      <c r="F38" s="250">
        <f>'数据-取费表'!B36</f>
        <v>0.02</v>
      </c>
      <c r="G38" s="210" t="s">
        <v>1528</v>
      </c>
    </row>
    <row r="39" spans="1:7" s="205" customFormat="1" ht="13.5" customHeight="1">
      <c r="A39" s="246" t="s">
        <v>1534</v>
      </c>
      <c r="B39" s="201" t="s">
        <v>1535</v>
      </c>
      <c r="C39" s="223">
        <f ca="1">ROUND(C33*F20,0)</f>
        <v>2</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2</v>
      </c>
      <c r="D41" s="226">
        <f ca="1">C44</f>
        <v>2.9999999999999997E-4</v>
      </c>
      <c r="E41" s="227" t="s">
        <v>1539</v>
      </c>
      <c r="F41" s="228">
        <f ca="1">F22</f>
        <v>3.3500000000000002E-2</v>
      </c>
      <c r="G41" s="225" t="str">
        <f>IF('数据-取费表'!B22&lt;=1,"单利计息","复利计息")</f>
        <v>单利计息</v>
      </c>
    </row>
    <row r="42" spans="1:7" ht="13.5" customHeight="1">
      <c r="A42" s="733" t="s">
        <v>346</v>
      </c>
      <c r="B42" s="206" t="s">
        <v>1543</v>
      </c>
      <c r="C42" s="229">
        <f ca="1">ROUND(IF('数据-取费表'!B22&lt;=1,C33*F22*'数据-取费表'!B21/2,C33*(POWER((1+F22),'数据-取费表'!B21/2)-1)),0)</f>
        <v>2</v>
      </c>
      <c r="D42" s="229"/>
      <c r="E42" s="229"/>
      <c r="F42" s="230"/>
      <c r="G42" s="3281" t="s">
        <v>1544</v>
      </c>
    </row>
    <row r="43" spans="1:7" ht="13.5" customHeight="1">
      <c r="A43" s="733" t="s">
        <v>347</v>
      </c>
      <c r="B43" s="206" t="s">
        <v>1545</v>
      </c>
      <c r="C43" s="229">
        <f ca="1">ROUND(IF('数据-取费表'!B22&lt;=1,C39*F22*'数据-取费表'!B21/2,C39*(POWER((1+F22),'数据-取费表'!B21/2)-1)),0)</f>
        <v>0</v>
      </c>
      <c r="D43" s="229"/>
      <c r="E43" s="229"/>
      <c r="F43" s="230"/>
      <c r="G43" s="3282"/>
    </row>
    <row r="44" spans="1:7" ht="13.5" customHeight="1">
      <c r="A44" s="733" t="s">
        <v>348</v>
      </c>
      <c r="B44" s="206" t="s">
        <v>1546</v>
      </c>
      <c r="C44" s="229">
        <f ca="1">ROUND(IF('数据-取费表'!B22&lt;=1,C40*F22*'数据-取费表'!B21/2,C40*(POWER((1+F22),'数据-取费表'!B21/2)-1)),4)</f>
        <v>2.9999999999999997E-4</v>
      </c>
      <c r="D44" s="229"/>
      <c r="E44" s="229"/>
      <c r="F44" s="230"/>
      <c r="G44" s="3283"/>
    </row>
    <row r="45" spans="1:7" s="205" customFormat="1" ht="13.5" customHeight="1">
      <c r="A45" s="246" t="s">
        <v>1547</v>
      </c>
      <c r="B45" s="235" t="s">
        <v>1513</v>
      </c>
      <c r="C45" s="236">
        <f ca="1">C46</f>
        <v>11</v>
      </c>
      <c r="D45" s="226">
        <f ca="1">C47</f>
        <v>2E-3</v>
      </c>
      <c r="E45" s="227" t="s">
        <v>1539</v>
      </c>
      <c r="F45" s="237">
        <f ca="1">F27</f>
        <v>0.1</v>
      </c>
      <c r="G45" s="238" t="s">
        <v>1548</v>
      </c>
    </row>
    <row r="46" spans="1:7" s="205" customFormat="1" ht="13.5" customHeight="1">
      <c r="A46" s="733" t="s">
        <v>346</v>
      </c>
      <c r="B46" s="239" t="s">
        <v>1549</v>
      </c>
      <c r="C46" s="240">
        <f ca="1">ROUND((C33+C39)*F27,0)</f>
        <v>11</v>
      </c>
      <c r="D46" s="254"/>
      <c r="E46" s="227"/>
      <c r="F46" s="237"/>
      <c r="G46" s="238"/>
    </row>
    <row r="47" spans="1:7" s="205" customFormat="1" ht="13.5" customHeight="1">
      <c r="A47" s="733" t="s">
        <v>347</v>
      </c>
      <c r="B47" s="239" t="s">
        <v>1550</v>
      </c>
      <c r="C47" s="229">
        <f ca="1">ROUND(C40*F27,4)</f>
        <v>2E-3</v>
      </c>
      <c r="D47" s="254"/>
      <c r="E47" s="227"/>
      <c r="F47" s="237"/>
      <c r="G47" s="238"/>
    </row>
    <row r="48" spans="1:7" s="205" customFormat="1" ht="13.5" customHeight="1">
      <c r="A48" s="246" t="s">
        <v>1512</v>
      </c>
      <c r="B48" s="201" t="s">
        <v>1551</v>
      </c>
      <c r="C48" s="226">
        <f>ROUND(F30/(1+'数据-取费表'!C42),4)</f>
        <v>5.2400000000000002E-2</v>
      </c>
      <c r="D48" s="227" t="s">
        <v>1539</v>
      </c>
      <c r="E48" s="223"/>
      <c r="F48" s="228">
        <f>F30</f>
        <v>5.5000000000000007E-2</v>
      </c>
      <c r="G48" s="225" t="s">
        <v>1552</v>
      </c>
    </row>
    <row r="49" spans="1:7" ht="16.5" customHeight="1">
      <c r="A49" s="246" t="s">
        <v>1518</v>
      </c>
      <c r="B49" s="201" t="s">
        <v>1553</v>
      </c>
      <c r="C49" s="223">
        <f ca="1">ROUND((C33+C39+C41+C45)/(1-C40-D41-D45-C48),0)</f>
        <v>130</v>
      </c>
      <c r="D49" s="223"/>
      <c r="E49" s="223"/>
      <c r="F49" s="255"/>
      <c r="G49" s="225" t="s">
        <v>1554</v>
      </c>
    </row>
    <row r="50" spans="1:7" s="249" customFormat="1" ht="24">
      <c r="A50" s="246" t="s">
        <v>1555</v>
      </c>
      <c r="B50" s="201" t="s">
        <v>1556</v>
      </c>
      <c r="C50" s="223"/>
      <c r="D50" s="223"/>
      <c r="E50" s="223"/>
      <c r="F50" s="255">
        <f>IF('数据-取费表'!B24=0,'数据-取费表'!N16,1)</f>
        <v>0.7</v>
      </c>
      <c r="G50" s="238" t="s">
        <v>1557</v>
      </c>
    </row>
    <row r="51" spans="1:7" ht="16.5" customHeight="1">
      <c r="A51" s="246" t="s">
        <v>1558</v>
      </c>
      <c r="B51" s="201" t="s">
        <v>1559</v>
      </c>
      <c r="C51" s="223">
        <f ca="1">ROUND(C49*F50,0)</f>
        <v>91</v>
      </c>
      <c r="D51" s="223"/>
      <c r="E51" s="223"/>
      <c r="F51" s="255"/>
      <c r="G51" s="225" t="s">
        <v>1560</v>
      </c>
    </row>
    <row r="52" spans="1:7" s="199" customFormat="1" ht="16.8" thickBot="1">
      <c r="A52" s="256" t="s">
        <v>1561</v>
      </c>
      <c r="B52" s="257"/>
      <c r="C52" s="258">
        <f ca="1">C31+C51</f>
        <v>99</v>
      </c>
      <c r="D52" s="257"/>
      <c r="E52" s="257"/>
      <c r="F52" s="257"/>
      <c r="G52" s="259"/>
    </row>
    <row r="55" spans="1:7" ht="15">
      <c r="B55" s="261" t="s">
        <v>1562</v>
      </c>
      <c r="C55" s="262"/>
    </row>
    <row r="56" spans="1:7">
      <c r="B56" s="264" t="s">
        <v>802</v>
      </c>
      <c r="C56" s="266">
        <f ca="1">1-C57</f>
        <v>8.0999999999999961E-2</v>
      </c>
    </row>
    <row r="57" spans="1:7">
      <c r="B57" s="264" t="s">
        <v>803</v>
      </c>
      <c r="C57" s="265">
        <f ca="1">ROUND(C51/C52,3)</f>
        <v>0.91900000000000004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187" t="str">
        <f>项目基本情况!B1</f>
        <v>北京市延庆县燕水佳园14号楼1至2层1号、2号预评估</v>
      </c>
      <c r="C37" s="3187"/>
      <c r="D37" s="3187"/>
      <c r="E37" s="3187"/>
      <c r="F37" s="3187"/>
      <c r="G37" s="3187"/>
      <c r="H37" s="3187"/>
      <c r="I37" s="3187"/>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7" t="s">
        <v>1594</v>
      </c>
      <c r="B1" s="120"/>
      <c r="C1" s="1109"/>
      <c r="D1" s="1108"/>
      <c r="E1" s="2565"/>
      <c r="F1" s="2565"/>
      <c r="G1" s="2446"/>
      <c r="H1" s="2565"/>
      <c r="I1" s="2565"/>
      <c r="J1" s="2565"/>
      <c r="K1" s="2566">
        <f>MATCH(C1,'数据-取费表'!A6:A16,0)+5</f>
        <v>8</v>
      </c>
    </row>
    <row r="2" spans="1:33" ht="18" customHeight="1">
      <c r="A2" s="192" t="s">
        <v>1462</v>
      </c>
      <c r="B2" s="195">
        <f ca="1">C32</f>
        <v>-6</v>
      </c>
      <c r="C2" s="267" t="s">
        <v>1595</v>
      </c>
      <c r="D2" s="267"/>
      <c r="E2" s="2565"/>
      <c r="F2" s="2565"/>
      <c r="G2" s="2565"/>
      <c r="H2" s="2565"/>
      <c r="I2" s="2565"/>
      <c r="J2" s="2565"/>
      <c r="K2" s="2565"/>
    </row>
    <row r="3" spans="1:33" ht="18" customHeight="1" thickBot="1">
      <c r="A3" s="194" t="s">
        <v>1464</v>
      </c>
      <c r="B3" s="195">
        <f ca="1">ROUND(B2*10000/IF(C1="",'数据-汇总表'!E3,INDIRECT("'数据-取费表'!K"&amp;$K$1)),0)</f>
        <v>-192</v>
      </c>
      <c r="C3" s="267" t="s">
        <v>1596</v>
      </c>
      <c r="D3" s="267"/>
      <c r="E3" s="2565"/>
      <c r="F3" s="2565"/>
      <c r="G3" s="2565"/>
      <c r="H3" s="2565"/>
      <c r="I3" s="2565"/>
      <c r="J3" s="2565"/>
      <c r="K3" s="2565"/>
    </row>
    <row r="4" spans="1:33" s="738" customFormat="1" ht="16.5" customHeight="1">
      <c r="A4" s="735" t="s">
        <v>1597</v>
      </c>
      <c r="B4" s="736"/>
      <c r="C4" s="774">
        <f>SUM(C8:K8)</f>
        <v>0</v>
      </c>
      <c r="D4" s="736"/>
      <c r="E4" s="736"/>
      <c r="F4" s="736"/>
      <c r="G4" s="736"/>
      <c r="H4" s="736"/>
      <c r="I4" s="736"/>
      <c r="J4" s="736"/>
      <c r="K4" s="737"/>
    </row>
    <row r="5" spans="1:33" s="742" customFormat="1" ht="14.4">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312.66000000000003</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312.66000000000003</v>
      </c>
      <c r="E17" s="21">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5</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100</v>
      </c>
      <c r="F19" s="755"/>
      <c r="G19" s="12"/>
      <c r="H19" s="1107"/>
      <c r="I19" s="760"/>
      <c r="J19" s="760"/>
      <c r="K19" s="761"/>
    </row>
    <row r="20" spans="1:33" s="754" customFormat="1" ht="13.5" customHeight="1">
      <c r="A20" s="751" t="s">
        <v>361</v>
      </c>
      <c r="B20" s="752" t="s">
        <v>1627</v>
      </c>
      <c r="C20" s="21">
        <f ca="1">ROUND(D20*E20/10000,0)</f>
        <v>5</v>
      </c>
      <c r="D20" s="795">
        <f ca="1">IF(C1="",'数据-汇总表'!E6,IF(INDIRECT("'数据-取费表'!c"&amp;$K$1)="住宅",INDIRECT("'数据-取费表'!s"&amp;$K$1),INDIRECT("'数据-取费表'!k"&amp;$K$1)+INDIRECT("'数据-取费表'!s"&amp;$K$1)))</f>
        <v>312.66000000000003</v>
      </c>
      <c r="E20" s="21">
        <f>'数据-取费表'!B28</f>
        <v>150</v>
      </c>
      <c r="F20" s="755"/>
      <c r="G20" s="12"/>
      <c r="H20" s="760"/>
      <c r="I20" s="760"/>
      <c r="J20" s="760"/>
      <c r="K20" s="761"/>
    </row>
    <row r="21" spans="1:33" s="754" customFormat="1" ht="13.5" customHeight="1">
      <c r="A21" s="743" t="s">
        <v>357</v>
      </c>
      <c r="B21" s="764" t="s">
        <v>1628</v>
      </c>
      <c r="C21" s="765">
        <f ca="1">C16+C17+C18</f>
        <v>5</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3.3500000000000002E-2</v>
      </c>
      <c r="G25" s="122"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（1）-（3）项×年利率×建设期÷2</v>
      </c>
      <c r="H27" s="758"/>
      <c r="I27" s="758"/>
      <c r="J27" s="758"/>
      <c r="K27" s="759"/>
    </row>
    <row r="28" spans="1:33" s="280" customFormat="1" ht="13.5" customHeight="1">
      <c r="A28" s="743" t="s">
        <v>1641</v>
      </c>
      <c r="B28" s="1722" t="s">
        <v>1642</v>
      </c>
      <c r="C28" s="278">
        <f ca="1">C30</f>
        <v>1</v>
      </c>
      <c r="D28" s="271">
        <f ca="1">C29</f>
        <v>0</v>
      </c>
      <c r="E28" s="273" t="s">
        <v>12</v>
      </c>
      <c r="F28" s="279">
        <f ca="1">IF(C1="",'数据-取费表'!Q16,INDIRECT("'数据-取费表'!q"&amp;$K$1))</f>
        <v>0.1</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1</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5.5000000000000007E-2</v>
      </c>
      <c r="G31" s="787" t="s">
        <v>1648</v>
      </c>
      <c r="H31" s="788"/>
      <c r="I31" s="788"/>
      <c r="J31" s="788"/>
      <c r="K31" s="789"/>
    </row>
    <row r="32" spans="1:33" s="750" customFormat="1" ht="13.5" customHeight="1" thickBot="1">
      <c r="A32" s="448" t="s">
        <v>1649</v>
      </c>
      <c r="B32" s="778"/>
      <c r="C32" s="779">
        <f ca="1">ROUND((C4-C21-C22-C23-C25-C28-C31)/(1+C24+D25+D28),0)</f>
        <v>-6</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c r="D1" s="1270" t="s">
        <v>43</v>
      </c>
      <c r="E1" s="1271" t="s">
        <v>678</v>
      </c>
      <c r="F1" s="998">
        <f ca="1">J53</f>
        <v>0</v>
      </c>
      <c r="G1" s="1285">
        <f>MATCH(C1,'数据-取费表'!A6:A16,0)+5</f>
        <v>8</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#DIV/0!</v>
      </c>
      <c r="C2" s="1288" t="s">
        <v>805</v>
      </c>
      <c r="D2" s="1288"/>
      <c r="E2" s="1294"/>
      <c r="F2" s="1295"/>
      <c r="G2" s="2476"/>
      <c r="H2" s="2466"/>
      <c r="I2" s="2466"/>
      <c r="J2" s="2466"/>
      <c r="K2" s="2467"/>
      <c r="L2" s="2466"/>
      <c r="M2" s="2466"/>
    </row>
    <row r="3" spans="1:37" ht="18" customHeight="1" thickBot="1">
      <c r="A3" s="1296" t="s">
        <v>806</v>
      </c>
      <c r="B3" s="1297">
        <f ca="1">IF(ISERROR(B2*10000/F43),0,ROUND(B2*10000/F43,0))</f>
        <v>0</v>
      </c>
      <c r="C3" s="1288" t="s">
        <v>807</v>
      </c>
      <c r="D3" s="1288"/>
      <c r="E3" s="1294"/>
      <c r="F3" s="1295"/>
      <c r="G3" s="2476"/>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0</v>
      </c>
      <c r="D5" s="1272" t="s">
        <v>693</v>
      </c>
      <c r="E5" s="1007"/>
      <c r="F5" s="1008"/>
      <c r="G5" s="1291"/>
      <c r="H5" s="290">
        <v>1</v>
      </c>
      <c r="I5" s="291" t="s">
        <v>692</v>
      </c>
      <c r="J5" s="1006">
        <f ca="1">J6+J10+J12</f>
        <v>0</v>
      </c>
      <c r="K5" s="1272" t="s">
        <v>693</v>
      </c>
      <c r="L5" s="1007"/>
      <c r="M5" s="1008"/>
    </row>
    <row r="6" spans="1:37" ht="18" customHeight="1">
      <c r="A6" s="1005" t="s">
        <v>398</v>
      </c>
      <c r="B6" s="3286" t="s">
        <v>694</v>
      </c>
      <c r="C6" s="1010">
        <f ca="1">ROUND(F6*F8*F7*(1-F9)/10000,0)</f>
        <v>0</v>
      </c>
      <c r="D6" s="146" t="s">
        <v>2109</v>
      </c>
      <c r="E6" s="293" t="s">
        <v>696</v>
      </c>
      <c r="F6" s="294">
        <f ca="1">INDIRECT("'数据-取费表'!u"&amp;$G$1)</f>
        <v>0</v>
      </c>
      <c r="G6" s="1291"/>
      <c r="H6" s="1005" t="s">
        <v>398</v>
      </c>
      <c r="I6" s="3286" t="s">
        <v>694</v>
      </c>
      <c r="J6" s="292">
        <f ca="1">ROUND(M6*M8*M7*(1-M9)/10000,0)</f>
        <v>0</v>
      </c>
      <c r="K6" s="146" t="s">
        <v>2108</v>
      </c>
      <c r="L6" s="293" t="s">
        <v>696</v>
      </c>
      <c r="M6" s="294">
        <f ca="1">INDIRECT("'数据-取费表'!z"&amp;$G$1)</f>
        <v>0</v>
      </c>
    </row>
    <row r="7" spans="1:37" ht="18" customHeight="1">
      <c r="A7" s="1009"/>
      <c r="B7" s="3287"/>
      <c r="C7" s="1011"/>
      <c r="D7" s="298"/>
      <c r="E7" s="1012" t="s">
        <v>697</v>
      </c>
      <c r="F7" s="294">
        <f ca="1">IF(INDIRECT("'数据-取费表'!ah"&amp;$G$1)="",INDIRECT("'数据-取费表'!k"&amp;$G$1),INDIRECT("'数据-取费表'!ah"&amp;$G$1))</f>
        <v>0</v>
      </c>
      <c r="G7" s="1291"/>
      <c r="H7" s="295"/>
      <c r="I7" s="3287"/>
      <c r="J7" s="297"/>
      <c r="K7" s="298"/>
      <c r="L7" s="293" t="s">
        <v>697</v>
      </c>
      <c r="M7" s="294">
        <f ca="1">F7</f>
        <v>0</v>
      </c>
    </row>
    <row r="8" spans="1:37" ht="18" customHeight="1">
      <c r="A8" s="295"/>
      <c r="B8" s="3287"/>
      <c r="C8" s="297"/>
      <c r="D8" s="298"/>
      <c r="E8" s="293" t="s">
        <v>698</v>
      </c>
      <c r="F8" s="294">
        <f ca="1">INDIRECT("'数据-取费表'!ai"&amp;$G$1)</f>
        <v>0</v>
      </c>
      <c r="G8" s="1291"/>
      <c r="H8" s="295"/>
      <c r="I8" s="3287"/>
      <c r="J8" s="297"/>
      <c r="K8" s="298"/>
      <c r="L8" s="293" t="s">
        <v>698</v>
      </c>
      <c r="M8" s="294">
        <f ca="1">INDIRECT("'数据-取费表'!ai"&amp;$G$1)</f>
        <v>0</v>
      </c>
    </row>
    <row r="9" spans="1:37" ht="18" customHeight="1">
      <c r="A9" s="295"/>
      <c r="B9" s="3288"/>
      <c r="C9" s="297"/>
      <c r="D9" s="298"/>
      <c r="E9" s="293" t="s">
        <v>699</v>
      </c>
      <c r="F9" s="303">
        <f ca="1">INDIRECT("'数据-取费表'!w"&amp;$G$1)</f>
        <v>0</v>
      </c>
      <c r="G9" s="1291"/>
      <c r="H9" s="295"/>
      <c r="I9" s="3288"/>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2117</v>
      </c>
      <c r="E10" s="304" t="s">
        <v>701</v>
      </c>
      <c r="F10" s="1052"/>
      <c r="G10" s="1291"/>
      <c r="H10" s="1005" t="s">
        <v>402</v>
      </c>
      <c r="I10" s="1273" t="s">
        <v>700</v>
      </c>
      <c r="J10" s="292">
        <f ca="1">ROUND(IF(M10="押一",J6/12*M11,IF(M10="押二",J6/12*2*M11,IF(M10="押三",J6/12*3*M11,J11*M11))),0)</f>
        <v>0</v>
      </c>
      <c r="K10" s="149" t="s">
        <v>2116</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0</v>
      </c>
      <c r="D14" s="1256" t="s">
        <v>708</v>
      </c>
      <c r="E14" s="1254"/>
      <c r="F14" s="310"/>
      <c r="G14" s="1291"/>
      <c r="H14" s="927" t="s">
        <v>398</v>
      </c>
      <c r="I14" s="293" t="s">
        <v>709</v>
      </c>
      <c r="J14" s="21">
        <f ca="1">C29</f>
        <v>0</v>
      </c>
      <c r="K14" s="12"/>
      <c r="L14" s="758"/>
      <c r="M14" s="759"/>
    </row>
    <row r="15" spans="1:37" s="1303" customFormat="1" ht="18" customHeight="1" thickBot="1">
      <c r="A15" s="927" t="s">
        <v>399</v>
      </c>
      <c r="B15" s="293" t="s">
        <v>710</v>
      </c>
      <c r="C15" s="21">
        <f ca="1">ROUND(C14*F15,0)</f>
        <v>0</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1">
        <f ca="1">ROUND(F17*(F43+INDIRECT("'数据-取费表'!S"&amp;$G$1))/10000,0)</f>
        <v>0</v>
      </c>
      <c r="D17" s="293" t="s">
        <v>717</v>
      </c>
      <c r="E17" s="293" t="s">
        <v>718</v>
      </c>
      <c r="F17" s="23">
        <f>'数据-取费表'!B35</f>
        <v>200</v>
      </c>
      <c r="G17" s="1302"/>
      <c r="H17" s="927" t="s">
        <v>398</v>
      </c>
      <c r="I17" s="293" t="s">
        <v>719</v>
      </c>
      <c r="J17" s="2139">
        <f ca="1">ROUND(IF(AND(项目基本情况!B11="自然人",项目基本情况!B10="北京市"),J6*M17/(1+'数据-取费表'!C42),J18+J19+J20),2)</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0</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0</v>
      </c>
      <c r="D19" s="122" t="s">
        <v>726</v>
      </c>
      <c r="E19" s="1268"/>
      <c r="F19" s="23"/>
      <c r="G19" s="1291"/>
      <c r="H19" s="927" t="s">
        <v>399</v>
      </c>
      <c r="I19" s="293" t="s">
        <v>727</v>
      </c>
      <c r="J19" s="21">
        <f ca="1">IF(K19="按租金收入计税",ROUND(J6*M19/(1+'数据-取费表'!C42),2),ROUND(C29*M19*0.7,2))</f>
        <v>0</v>
      </c>
      <c r="K19" s="1277" t="s">
        <v>3334</v>
      </c>
      <c r="L19" s="293" t="s">
        <v>712</v>
      </c>
      <c r="M19" s="313">
        <f>IF(K19="按租金收入计税",'数据-取费表'!B51,'数据-取费表'!B50)</f>
        <v>0.12</v>
      </c>
    </row>
    <row r="20" spans="1:37" s="1303" customFormat="1" ht="18" customHeight="1">
      <c r="A20" s="927" t="s">
        <v>402</v>
      </c>
      <c r="B20" s="293" t="s">
        <v>728</v>
      </c>
      <c r="C20" s="21">
        <f ca="1">ROUND(C19*F20,0)</f>
        <v>0</v>
      </c>
      <c r="D20" s="314" t="s">
        <v>729</v>
      </c>
      <c r="E20" s="293" t="s">
        <v>712</v>
      </c>
      <c r="F20" s="313">
        <f>'数据-取费表'!B37</f>
        <v>0.02</v>
      </c>
      <c r="G20" s="1302"/>
      <c r="H20" s="927" t="s">
        <v>680</v>
      </c>
      <c r="I20" s="146" t="s">
        <v>730</v>
      </c>
      <c r="J20" s="22">
        <f ca="1">ROUND(M20*M21/10000,2)</f>
        <v>0</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8"/>
      <c r="F22" s="23"/>
      <c r="G22" s="1291"/>
      <c r="H22" s="927" t="s">
        <v>402</v>
      </c>
      <c r="I22" s="293" t="s">
        <v>738</v>
      </c>
      <c r="J22" s="21">
        <f ca="1">ROUND(J14*M22,2)</f>
        <v>0</v>
      </c>
      <c r="K22" s="1255" t="s">
        <v>739</v>
      </c>
      <c r="L22" s="293" t="s">
        <v>712</v>
      </c>
      <c r="M22" s="319">
        <f ca="1">INDIRECT("'数据-取费表'!Ak"&amp;$G$1)</f>
        <v>0</v>
      </c>
    </row>
    <row r="23" spans="1:37" s="1303"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f ca="1">ROUND(J13*M23,2)</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3.3500000000000002E-2</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0</v>
      </c>
      <c r="K25" s="1031" t="s">
        <v>753</v>
      </c>
      <c r="L25" s="1032"/>
      <c r="M25" s="1033"/>
    </row>
    <row r="26" spans="1:37">
      <c r="A26" s="927" t="s">
        <v>397</v>
      </c>
      <c r="B26" s="293" t="s">
        <v>754</v>
      </c>
      <c r="C26" s="21">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68"/>
      <c r="I30" s="1304"/>
      <c r="J30" s="1305"/>
      <c r="K30" s="120"/>
      <c r="L30" s="2469"/>
      <c r="M30" s="2470"/>
    </row>
    <row r="31" spans="1:37" ht="18" customHeight="1">
      <c r="A31" s="927" t="s">
        <v>398</v>
      </c>
      <c r="B31" s="293" t="s">
        <v>719</v>
      </c>
      <c r="C31" s="2139">
        <f ca="1">ROUND(IF(AND(项目基本情况!B11="自然人",项目基本情况!B10="北京市"),C6*F31/(1+'数据-取费表'!C42),C32+C33+C34),2)</f>
        <v>0</v>
      </c>
      <c r="D31" s="1256" t="s">
        <v>720</v>
      </c>
      <c r="E31" s="1255" t="s">
        <v>770</v>
      </c>
      <c r="F31" s="2138">
        <f ca="1">IF(项目基本情况!B11="企业","——",IF(M47="住宅",IF(F6*F7*F8/12/(1+'数据-取费表'!F30)&gt;100000,4%,2.5%),IF(F6*F7*F8/12/(1+'数据-取费表'!F30)&gt;100000,12%,7%)))</f>
        <v>7.0000000000000007E-2</v>
      </c>
      <c r="G31" s="1291"/>
      <c r="H31" s="2567" t="s">
        <v>2306</v>
      </c>
      <c r="I31" s="1304"/>
      <c r="J31" s="1305"/>
      <c r="K31" s="120"/>
      <c r="L31" s="2469"/>
      <c r="M31" s="2470"/>
    </row>
    <row r="32" spans="1:37" ht="18" customHeight="1">
      <c r="A32" s="927" t="s">
        <v>397</v>
      </c>
      <c r="B32" s="293" t="s">
        <v>723</v>
      </c>
      <c r="C32" s="21" t="str">
        <f>IF(项目基本情况!B11="自然人","——",ROUND(C6*F32/(1+'数据-取费表'!C42),2))</f>
        <v>——</v>
      </c>
      <c r="D32" s="1255" t="s">
        <v>724</v>
      </c>
      <c r="E32" s="293" t="s">
        <v>712</v>
      </c>
      <c r="F32" s="321">
        <f>'数据-取费表'!B41</f>
        <v>5.5000000000000007E-2</v>
      </c>
      <c r="G32" s="1291"/>
      <c r="H32" s="2468"/>
      <c r="I32" s="1304"/>
      <c r="J32" s="1305"/>
      <c r="K32" s="120"/>
      <c r="L32" s="2469"/>
      <c r="M32" s="2470"/>
    </row>
    <row r="33" spans="1:18" ht="18" customHeight="1">
      <c r="A33" s="927" t="s">
        <v>399</v>
      </c>
      <c r="B33" s="293" t="s">
        <v>727</v>
      </c>
      <c r="C33" s="21" t="str">
        <f ca="1">IF(项目基本情况!B11="自然人","——",IF(D33="按租金收入计税",ROUND(C6*F33/(1+'数据-取费表'!C42),2),IF(D33="按房产原值计税",ROUND(C29*F33*0.7,2),INDIRECT("'数据-取费表'!Aj"&amp;$G$1))))</f>
        <v>——</v>
      </c>
      <c r="D33" s="1277" t="s">
        <v>3334</v>
      </c>
      <c r="E33" s="293" t="s">
        <v>712</v>
      </c>
      <c r="F33" s="313">
        <f>IF(D33="按票据","——",IF(D33="按租金收入计税",'数据-取费表'!B51,'数据-取费表'!B50))</f>
        <v>0.12</v>
      </c>
      <c r="G33" s="1291"/>
      <c r="H33" s="2471"/>
      <c r="I33" s="1304"/>
      <c r="J33" s="1305"/>
      <c r="K33" s="2472"/>
      <c r="L33" s="2471"/>
      <c r="M33" s="2471"/>
    </row>
    <row r="34" spans="1:18" ht="18" customHeight="1">
      <c r="A34" s="1005" t="s">
        <v>680</v>
      </c>
      <c r="B34" s="146" t="s">
        <v>730</v>
      </c>
      <c r="C34" s="22" t="str">
        <f>IF(项目基本情况!B11="自然人","——",ROUND(F34*F35/10000,2))</f>
        <v>——</v>
      </c>
      <c r="D34" s="315" t="s">
        <v>731</v>
      </c>
      <c r="E34" s="293" t="s">
        <v>732</v>
      </c>
      <c r="F34" s="316">
        <f>'数据-取费表'!B52</f>
        <v>1.5</v>
      </c>
      <c r="G34" s="1291"/>
      <c r="H34" s="2468"/>
      <c r="I34" s="1304"/>
      <c r="J34" s="1305"/>
      <c r="K34" s="2473"/>
      <c r="L34" s="2474"/>
      <c r="M34" s="2474"/>
    </row>
    <row r="35" spans="1:18" ht="18" customHeight="1">
      <c r="A35" s="1039"/>
      <c r="B35" s="1037"/>
      <c r="C35" s="26"/>
      <c r="D35" s="318"/>
      <c r="E35" s="293" t="s">
        <v>736</v>
      </c>
      <c r="F35" s="294">
        <f ca="1">INDIRECT("'数据-取费表'!r"&amp;$G$1)</f>
        <v>0</v>
      </c>
      <c r="G35" s="1291"/>
      <c r="H35" s="2468"/>
      <c r="I35" s="1304"/>
      <c r="J35" s="1305"/>
      <c r="K35" s="2472"/>
      <c r="L35" s="2471"/>
      <c r="M35" s="2471"/>
    </row>
    <row r="36" spans="1:18" ht="18" customHeight="1">
      <c r="A36" s="1038" t="s">
        <v>402</v>
      </c>
      <c r="B36" s="293" t="s">
        <v>738</v>
      </c>
      <c r="C36" s="21">
        <f ca="1">ROUND(C29*F36,2)</f>
        <v>0</v>
      </c>
      <c r="D36" s="1255" t="s">
        <v>771</v>
      </c>
      <c r="E36" s="293" t="s">
        <v>712</v>
      </c>
      <c r="F36" s="319">
        <f ca="1">INDIRECT("'数据-取费表'!Ak"&amp;$G$1)</f>
        <v>0</v>
      </c>
      <c r="G36" s="1291"/>
      <c r="H36" s="2471"/>
      <c r="I36" s="1304"/>
      <c r="J36" s="1305"/>
      <c r="K36" s="2329"/>
      <c r="L36" s="2471"/>
      <c r="M36" s="2471"/>
    </row>
    <row r="37" spans="1:18" ht="18" customHeight="1">
      <c r="A37" s="927" t="s">
        <v>437</v>
      </c>
      <c r="B37" s="293" t="s">
        <v>742</v>
      </c>
      <c r="C37" s="21">
        <f ca="1">ROUND(C13*F37,2)</f>
        <v>0</v>
      </c>
      <c r="D37" s="1255" t="s">
        <v>743</v>
      </c>
      <c r="E37" s="293" t="s">
        <v>744</v>
      </c>
      <c r="F37" s="320">
        <f ca="1">INDIRECT("'数据-取费表'!Al"&amp;$G$1)</f>
        <v>0</v>
      </c>
      <c r="G37" s="1291"/>
      <c r="H37" s="2471"/>
      <c r="I37" s="1304"/>
      <c r="J37" s="1305"/>
      <c r="K37" s="2329"/>
      <c r="L37" s="2471"/>
      <c r="M37" s="2471"/>
    </row>
    <row r="38" spans="1:18" ht="18" customHeight="1" thickBot="1">
      <c r="A38" s="1025" t="s">
        <v>684</v>
      </c>
      <c r="B38" s="1026" t="s">
        <v>728</v>
      </c>
      <c r="C38" s="1027">
        <f ca="1">ROUND(C5*F38,2)</f>
        <v>0</v>
      </c>
      <c r="D38" s="1028" t="s">
        <v>748</v>
      </c>
      <c r="E38" s="1026" t="s">
        <v>744</v>
      </c>
      <c r="F38" s="1022">
        <f ca="1">INDIRECT("'数据-取费表'!Am"&amp;$G$1)</f>
        <v>0</v>
      </c>
      <c r="G38" s="1291"/>
      <c r="H38" s="2471"/>
      <c r="I38" s="1304"/>
      <c r="J38" s="1305"/>
      <c r="K38" s="2469"/>
      <c r="L38" s="2471"/>
      <c r="M38" s="2471"/>
    </row>
    <row r="39" spans="1:18" ht="24.6" customHeight="1" thickTop="1">
      <c r="A39" s="1015" t="s">
        <v>394</v>
      </c>
      <c r="B39" s="1030" t="s">
        <v>772</v>
      </c>
      <c r="C39" s="301">
        <f ca="1">C5-C30</f>
        <v>0</v>
      </c>
      <c r="D39" s="1031" t="s">
        <v>773</v>
      </c>
      <c r="E39" s="1032"/>
      <c r="F39" s="1033"/>
      <c r="G39" s="1291"/>
      <c r="H39" s="2471"/>
      <c r="I39" s="1304"/>
      <c r="J39" s="1305"/>
      <c r="K39" s="2469"/>
      <c r="L39" s="2471"/>
      <c r="M39" s="2471"/>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69"/>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29"/>
      <c r="L41" s="120"/>
      <c r="M41" s="120"/>
    </row>
    <row r="42" spans="1:18" ht="18" customHeight="1">
      <c r="A42" s="299"/>
      <c r="B42" s="300"/>
      <c r="C42" s="301"/>
      <c r="D42" s="318"/>
      <c r="E42" s="293" t="s">
        <v>766</v>
      </c>
      <c r="F42" s="303">
        <f ca="1">INDIRECT("'数据-取费表'!v"&amp;$G$1)</f>
        <v>0</v>
      </c>
      <c r="G42" s="1291"/>
      <c r="H42" s="120"/>
      <c r="I42" s="1304"/>
      <c r="J42" s="1305"/>
      <c r="K42" s="2329"/>
      <c r="L42" s="120"/>
      <c r="M42" s="120"/>
    </row>
    <row r="43" spans="1:18" ht="18" customHeight="1" thickBot="1">
      <c r="A43" s="324" t="s">
        <v>396</v>
      </c>
      <c r="B43" s="325" t="s">
        <v>776</v>
      </c>
      <c r="C43" s="326" t="e">
        <f ca="1">ROUND(C40*10000/F43,0)</f>
        <v>#DIV/0!</v>
      </c>
      <c r="D43" s="327" t="s">
        <v>777</v>
      </c>
      <c r="E43" s="328" t="s">
        <v>778</v>
      </c>
      <c r="F43" s="329">
        <f ca="1">INDIRECT("'数据-取费表'!k"&amp;$G$1)</f>
        <v>0</v>
      </c>
      <c r="G43" s="1291"/>
      <c r="H43" s="120"/>
      <c r="I43" s="120"/>
      <c r="J43" s="120"/>
      <c r="K43" s="2329"/>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5" t="s">
        <v>808</v>
      </c>
      <c r="P45" s="1365"/>
      <c r="Q45" s="1365"/>
      <c r="R45" s="1365"/>
    </row>
    <row r="46" spans="1:18" s="1291" customFormat="1" ht="13.8"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8" thickBot="1">
      <c r="A47" s="891" t="s">
        <v>687</v>
      </c>
      <c r="B47" s="923" t="s">
        <v>688</v>
      </c>
      <c r="C47" s="105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8" thickBot="1">
      <c r="A49" s="920" t="s">
        <v>439</v>
      </c>
      <c r="B49" s="1278" t="s">
        <v>779</v>
      </c>
      <c r="C49" s="1050">
        <f ca="1">ROUND(F49*F51*F50*(1-F52)/10000,0)</f>
        <v>0</v>
      </c>
      <c r="D49" s="991" t="s">
        <v>2110</v>
      </c>
      <c r="E49" s="1279" t="s">
        <v>780</v>
      </c>
      <c r="F49" s="996"/>
      <c r="H49" s="681"/>
      <c r="I49" s="1327" t="s">
        <v>823</v>
      </c>
      <c r="J49" s="1331"/>
      <c r="K49" s="1329" t="s">
        <v>824</v>
      </c>
      <c r="L49" s="1332"/>
      <c r="O49" s="1333" t="s">
        <v>405</v>
      </c>
      <c r="P49" s="1325" t="s">
        <v>825</v>
      </c>
      <c r="Q49" s="1326">
        <f ca="1">C29</f>
        <v>0</v>
      </c>
      <c r="R49" s="1326" t="s">
        <v>818</v>
      </c>
    </row>
    <row r="50" spans="1:18" s="1291" customFormat="1" ht="13.8" thickBot="1">
      <c r="A50" s="921"/>
      <c r="B50" s="924"/>
      <c r="C50" s="1054"/>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8"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8"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6.6" thickBot="1">
      <c r="A53" s="1078" t="s">
        <v>440</v>
      </c>
      <c r="B53" s="1280" t="s">
        <v>700</v>
      </c>
      <c r="C53" s="307">
        <f ca="1">ROUND(IF(F53="押一",C49/12*F11,IF(F53="押二",C49/12*2*F11,IF(F53="押三",C49/12*3*F11,C54*F11))),0)</f>
        <v>0</v>
      </c>
      <c r="D53" s="149" t="s">
        <v>2116</v>
      </c>
      <c r="E53" s="304" t="s">
        <v>701</v>
      </c>
      <c r="F53" s="1052"/>
      <c r="I53" s="1343" t="s">
        <v>836</v>
      </c>
      <c r="J53" s="2005">
        <f ca="1">IF(M47="住宅",IF(D1="——",MAX(J51,L48),MAX(J51,L48-'数据-取费表'!B24)),IF(D1="——",MIN(J51,L48),MIN(J51,L48-'数据-取费表'!B24)))</f>
        <v>0</v>
      </c>
      <c r="K53" s="3284" t="s">
        <v>837</v>
      </c>
      <c r="L53" s="3285"/>
      <c r="O53" s="1324" t="s">
        <v>409</v>
      </c>
      <c r="P53" s="1325" t="s">
        <v>838</v>
      </c>
      <c r="Q53" s="1326" t="e">
        <f ca="1">Q47+Q48</f>
        <v>#DIV/0!</v>
      </c>
      <c r="R53" s="1326" t="s">
        <v>410</v>
      </c>
    </row>
    <row r="54" spans="1:18" s="1291" customFormat="1" ht="24.6"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7.200000000000003" thickTop="1" thickBot="1">
      <c r="A56" s="902">
        <v>2</v>
      </c>
      <c r="B56" s="903" t="s">
        <v>704</v>
      </c>
      <c r="C56" s="223">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6" thickBot="1">
      <c r="A57" s="1355"/>
      <c r="B57" s="895" t="s">
        <v>767</v>
      </c>
      <c r="C57" s="229">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6" thickBot="1">
      <c r="A58" s="306" t="s">
        <v>393</v>
      </c>
      <c r="B58" s="903" t="s">
        <v>714</v>
      </c>
      <c r="C58" s="307">
        <f ca="1">ROUND(C59+C64+C65+C66,0)</f>
        <v>0</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t="str">
        <f>IF(项目基本情况!B11="自然人","——",ROUND(C48*F60/(1+'数据-取费表'!C42),2))</f>
        <v>——</v>
      </c>
      <c r="D60" s="909" t="s">
        <v>724</v>
      </c>
      <c r="E60" s="895" t="s">
        <v>712</v>
      </c>
      <c r="F60" s="321">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8" thickBot="1">
      <c r="A61" s="927" t="s">
        <v>781</v>
      </c>
      <c r="B61" s="895" t="s">
        <v>782</v>
      </c>
      <c r="C61" s="21" t="str">
        <f ca="1">IF(项目基本情况!B11="自然人","——",IF(D61="按租金收入计税",ROUND(C49*F61/(1+'数据-取费表'!C42),2),IF(D61="按房产原值计税",ROUND(C57*F61*0.7,2),INDIRECT("'数据-取费表'!Aj"&amp;$G$1))))</f>
        <v>——</v>
      </c>
      <c r="D61" s="1277" t="s">
        <v>3334</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t="str">
        <f>IF(项目基本情况!B11="自然人","——",ROUND(F62*F63/10000,2))</f>
        <v>——</v>
      </c>
      <c r="D62" s="910" t="s">
        <v>786</v>
      </c>
      <c r="E62" s="895" t="s">
        <v>787</v>
      </c>
      <c r="F62" s="316">
        <f t="shared" si="0"/>
        <v>1.5</v>
      </c>
      <c r="I62" s="1366" t="s">
        <v>858</v>
      </c>
      <c r="J62" s="609" t="s">
        <v>859</v>
      </c>
      <c r="K62" s="609" t="s">
        <v>860</v>
      </c>
      <c r="L62" s="609" t="s">
        <v>861</v>
      </c>
      <c r="M62" s="1367" t="s">
        <v>862</v>
      </c>
      <c r="O62" s="1324" t="s">
        <v>409</v>
      </c>
      <c r="P62" s="1325" t="s">
        <v>863</v>
      </c>
      <c r="Q62" s="1326" t="e">
        <f ca="1">Q56+Q57</f>
        <v>#DIV/0!</v>
      </c>
      <c r="R62" s="1326" t="s">
        <v>410</v>
      </c>
    </row>
    <row r="63" spans="1:18" s="1291" customFormat="1" ht="13.8"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ROUND(C57*F64,2)</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ROUND(C56*F65,2)</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2" thickBot="1">
      <c r="A66" s="927" t="s">
        <v>793</v>
      </c>
      <c r="B66" s="895" t="s">
        <v>728</v>
      </c>
      <c r="C66" s="21">
        <f ca="1">ROUND(C48*F66,2)</f>
        <v>0</v>
      </c>
      <c r="D66" s="909" t="s">
        <v>794</v>
      </c>
      <c r="E66" s="895" t="s">
        <v>712</v>
      </c>
      <c r="F66" s="303">
        <f t="shared" ca="1" si="0"/>
        <v>0</v>
      </c>
      <c r="O66" s="1324" t="s">
        <v>404</v>
      </c>
      <c r="P66" s="1325" t="s">
        <v>846</v>
      </c>
      <c r="Q66" s="1326" t="e">
        <f ca="1">L60</f>
        <v>#DIV/0!</v>
      </c>
      <c r="R66" s="1326" t="s">
        <v>869</v>
      </c>
    </row>
    <row r="67" spans="1:18" s="1291" customFormat="1" ht="24.6"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2"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8" thickBot="1">
      <c r="A69" s="896"/>
      <c r="B69" s="897"/>
      <c r="C69" s="297"/>
      <c r="D69" s="915" t="s">
        <v>762</v>
      </c>
      <c r="E69" s="895" t="s">
        <v>763</v>
      </c>
      <c r="F69" s="323">
        <f ca="1">F41</f>
        <v>0</v>
      </c>
      <c r="O69" s="1333" t="s">
        <v>411</v>
      </c>
      <c r="P69" s="1370" t="s">
        <v>872</v>
      </c>
      <c r="Q69" s="1326">
        <f ca="1">C39</f>
        <v>0</v>
      </c>
      <c r="R69" s="1326" t="s">
        <v>818</v>
      </c>
    </row>
    <row r="70" spans="1:18" s="1291" customFormat="1" ht="13.8" thickBot="1">
      <c r="A70" s="899"/>
      <c r="B70" s="900"/>
      <c r="C70" s="301"/>
      <c r="D70" s="911"/>
      <c r="E70" s="895" t="s">
        <v>766</v>
      </c>
      <c r="F70" s="990"/>
      <c r="O70" s="1333" t="s">
        <v>412</v>
      </c>
      <c r="P70" s="1370" t="s">
        <v>873</v>
      </c>
      <c r="Q70" s="1326">
        <f ca="1">C13</f>
        <v>0</v>
      </c>
      <c r="R70" s="1326" t="s">
        <v>818</v>
      </c>
    </row>
    <row r="71" spans="1:18" s="1291" customFormat="1" ht="13.8" thickBot="1">
      <c r="A71" s="916" t="s">
        <v>396</v>
      </c>
      <c r="B71" s="917" t="s">
        <v>776</v>
      </c>
      <c r="C71" s="326" t="e">
        <f ca="1">ROUND(C68*10000/F71,0)</f>
        <v>#DIV/0!</v>
      </c>
      <c r="D71" s="918" t="s">
        <v>777</v>
      </c>
      <c r="E71" s="919" t="s">
        <v>778</v>
      </c>
      <c r="F71" s="329">
        <f ca="1">F43</f>
        <v>0</v>
      </c>
      <c r="O71" s="1333" t="s">
        <v>413</v>
      </c>
      <c r="P71" s="1370" t="s">
        <v>874</v>
      </c>
      <c r="Q71" s="1336">
        <f ca="1">C76</f>
        <v>0</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63" priority="3">
      <formula>$F$10="自定义"</formula>
    </cfRule>
  </conditionalFormatting>
  <conditionalFormatting sqref="C54">
    <cfRule type="expression" dxfId="162" priority="1">
      <formula>$F$53="自定义"</formula>
    </cfRule>
  </conditionalFormatting>
  <conditionalFormatting sqref="I55 I60">
    <cfRule type="expression" dxfId="161" priority="57">
      <formula>$J$51&gt;$L$48</formula>
    </cfRule>
  </conditionalFormatting>
  <conditionalFormatting sqref="J11">
    <cfRule type="expression" dxfId="160" priority="2">
      <formula>$M$10="自定义"</formula>
    </cfRule>
  </conditionalFormatting>
  <conditionalFormatting sqref="K55 K60">
    <cfRule type="expression" dxfId="159"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sheetPr>
  <dimension ref="A1:M5"/>
  <sheetViews>
    <sheetView workbookViewId="0">
      <selection activeCell="O5" sqref="O5"/>
    </sheetView>
  </sheetViews>
  <sheetFormatPr defaultRowHeight="14.4"/>
  <cols>
    <col min="2" max="2" width="18.44140625" customWidth="1"/>
  </cols>
  <sheetData>
    <row r="1" spans="1:13" ht="15.6">
      <c r="A1" s="1404" t="s">
        <v>3466</v>
      </c>
      <c r="B1" s="3229" t="s">
        <v>3446</v>
      </c>
      <c r="C1" s="3229" t="s">
        <v>3447</v>
      </c>
      <c r="D1" s="3229" t="s">
        <v>3448</v>
      </c>
      <c r="E1" s="3229" t="s">
        <v>3449</v>
      </c>
      <c r="F1" s="3229" t="s">
        <v>3450</v>
      </c>
      <c r="G1" s="3229" t="s">
        <v>3451</v>
      </c>
      <c r="H1" s="3229" t="s">
        <v>3452</v>
      </c>
      <c r="I1" s="3229" t="s">
        <v>3453</v>
      </c>
      <c r="J1" s="3229" t="s">
        <v>3454</v>
      </c>
      <c r="K1" s="3229" t="s">
        <v>3455</v>
      </c>
      <c r="L1" s="3229" t="s">
        <v>3456</v>
      </c>
      <c r="M1" s="3229" t="s">
        <v>3457</v>
      </c>
    </row>
    <row r="2" spans="1:13" s="3161" customFormat="1" ht="15.6">
      <c r="B2" s="3232">
        <v>45523.333831018521</v>
      </c>
      <c r="C2" s="3231" t="s">
        <v>3458</v>
      </c>
      <c r="D2" s="3231" t="s">
        <v>633</v>
      </c>
      <c r="E2" s="3231" t="s">
        <v>633</v>
      </c>
      <c r="F2" s="3231">
        <v>1</v>
      </c>
      <c r="G2" s="3231">
        <v>101</v>
      </c>
      <c r="H2" s="3231" t="s">
        <v>3459</v>
      </c>
      <c r="I2" s="3231" t="s">
        <v>673</v>
      </c>
      <c r="J2" s="3231" t="s">
        <v>3460</v>
      </c>
      <c r="K2" s="3231">
        <v>500.02</v>
      </c>
      <c r="L2" s="3231">
        <v>1100</v>
      </c>
      <c r="M2" s="3231">
        <v>21999</v>
      </c>
    </row>
    <row r="3" spans="1:13" ht="15.6">
      <c r="B3" s="3230">
        <v>45499.333831018521</v>
      </c>
      <c r="C3" s="3229" t="s">
        <v>3461</v>
      </c>
      <c r="D3" s="3229" t="s">
        <v>633</v>
      </c>
      <c r="E3" s="3229" t="s">
        <v>633</v>
      </c>
      <c r="F3" s="3229">
        <v>-1</v>
      </c>
      <c r="G3" s="3229">
        <v>101</v>
      </c>
      <c r="H3" s="3229" t="s">
        <v>3462</v>
      </c>
      <c r="I3" s="3229" t="s">
        <v>673</v>
      </c>
      <c r="J3" s="3229" t="s">
        <v>3460</v>
      </c>
      <c r="K3" s="3229">
        <v>844.11</v>
      </c>
      <c r="L3" s="3229">
        <v>1154.72</v>
      </c>
      <c r="M3" s="3229">
        <v>13680</v>
      </c>
    </row>
    <row r="4" spans="1:13" ht="15.6">
      <c r="B4" s="3230">
        <v>45482.333831018521</v>
      </c>
      <c r="C4" s="3229" t="s">
        <v>3461</v>
      </c>
      <c r="D4" s="3229" t="s">
        <v>633</v>
      </c>
      <c r="E4" s="3229" t="s">
        <v>633</v>
      </c>
      <c r="F4" s="3229">
        <v>-1</v>
      </c>
      <c r="G4" s="3229">
        <v>101</v>
      </c>
      <c r="H4" s="3229" t="s">
        <v>3462</v>
      </c>
      <c r="I4" s="3229" t="s">
        <v>673</v>
      </c>
      <c r="J4" s="3229" t="s">
        <v>3460</v>
      </c>
      <c r="K4" s="3229">
        <v>844.11</v>
      </c>
      <c r="L4" s="3229">
        <v>1154.72</v>
      </c>
      <c r="M4" s="3229">
        <v>13680</v>
      </c>
    </row>
    <row r="5" spans="1:13" ht="15.6">
      <c r="B5" s="3230">
        <v>45295.333831018521</v>
      </c>
      <c r="C5" s="3229" t="s">
        <v>3463</v>
      </c>
      <c r="D5" s="3229" t="s">
        <v>633</v>
      </c>
      <c r="E5" s="3229" t="s">
        <v>633</v>
      </c>
      <c r="F5" s="3229">
        <v>-1</v>
      </c>
      <c r="G5" s="3229">
        <v>101</v>
      </c>
      <c r="H5" s="3229" t="s">
        <v>3464</v>
      </c>
      <c r="I5" s="3229" t="s">
        <v>673</v>
      </c>
      <c r="J5" s="3229" t="s">
        <v>3460</v>
      </c>
      <c r="K5" s="3229">
        <v>667.74</v>
      </c>
      <c r="L5" s="3229">
        <v>1000</v>
      </c>
      <c r="M5" s="3229">
        <v>14976</v>
      </c>
    </row>
  </sheetData>
  <mergeCells count="60">
    <mergeCell ref="K5"/>
    <mergeCell ref="L5"/>
    <mergeCell ref="M5"/>
    <mergeCell ref="B5"/>
    <mergeCell ref="C5"/>
    <mergeCell ref="D5"/>
    <mergeCell ref="E5"/>
    <mergeCell ref="F5"/>
    <mergeCell ref="G5"/>
    <mergeCell ref="H5"/>
    <mergeCell ref="I5"/>
    <mergeCell ref="J5"/>
    <mergeCell ref="E3"/>
    <mergeCell ref="F3"/>
    <mergeCell ref="G3"/>
    <mergeCell ref="H3"/>
    <mergeCell ref="I3"/>
    <mergeCell ref="M3"/>
    <mergeCell ref="B4"/>
    <mergeCell ref="C4"/>
    <mergeCell ref="D4"/>
    <mergeCell ref="E4"/>
    <mergeCell ref="F4"/>
    <mergeCell ref="G4"/>
    <mergeCell ref="H4"/>
    <mergeCell ref="I4"/>
    <mergeCell ref="J4"/>
    <mergeCell ref="K4"/>
    <mergeCell ref="L4"/>
    <mergeCell ref="M4"/>
    <mergeCell ref="B3"/>
    <mergeCell ref="C3"/>
    <mergeCell ref="D3"/>
    <mergeCell ref="J1"/>
    <mergeCell ref="K3"/>
    <mergeCell ref="L3"/>
    <mergeCell ref="J3"/>
    <mergeCell ref="K1"/>
    <mergeCell ref="L1"/>
    <mergeCell ref="E1"/>
    <mergeCell ref="F1"/>
    <mergeCell ref="G1"/>
    <mergeCell ref="H1"/>
    <mergeCell ref="I1"/>
    <mergeCell ref="M1"/>
    <mergeCell ref="B2"/>
    <mergeCell ref="C2"/>
    <mergeCell ref="D2"/>
    <mergeCell ref="E2"/>
    <mergeCell ref="F2"/>
    <mergeCell ref="G2"/>
    <mergeCell ref="H2"/>
    <mergeCell ref="I2"/>
    <mergeCell ref="J2"/>
    <mergeCell ref="K2"/>
    <mergeCell ref="L2"/>
    <mergeCell ref="M2"/>
    <mergeCell ref="B1"/>
    <mergeCell ref="C1"/>
    <mergeCell ref="D1"/>
  </mergeCells>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sheetPr>
  <dimension ref="A1"/>
  <sheetViews>
    <sheetView workbookViewId="0">
      <selection activeCell="N38" sqref="N38"/>
    </sheetView>
  </sheetViews>
  <sheetFormatPr defaultRowHeight="14.4"/>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sheetPr>
  <dimension ref="A1:Q80"/>
  <sheetViews>
    <sheetView workbookViewId="0">
      <selection activeCell="B16" sqref="B16"/>
    </sheetView>
  </sheetViews>
  <sheetFormatPr defaultRowHeight="14.4"/>
  <cols>
    <col min="3" max="3" width="9.44140625" bestFit="1" customWidth="1"/>
    <col min="14" max="14" width="19" customWidth="1"/>
  </cols>
  <sheetData>
    <row r="1" spans="1:13">
      <c r="A1" s="3175"/>
      <c r="B1" s="3176" t="s">
        <v>3432</v>
      </c>
      <c r="C1" s="3176" t="s">
        <v>3433</v>
      </c>
      <c r="D1" s="3175"/>
      <c r="E1" s="3175"/>
      <c r="F1" s="3175"/>
      <c r="G1" s="3175"/>
      <c r="H1" s="3175"/>
      <c r="I1" s="3175"/>
      <c r="J1" s="3175"/>
      <c r="K1" s="3175"/>
      <c r="M1" s="1404"/>
    </row>
    <row r="2" spans="1:13">
      <c r="A2" s="3176" t="s">
        <v>3445</v>
      </c>
      <c r="B2" s="3175"/>
      <c r="C2" s="3176" t="s">
        <v>3434</v>
      </c>
      <c r="D2" s="3176" t="s">
        <v>3436</v>
      </c>
      <c r="E2" s="3175"/>
      <c r="F2" s="3176" t="s">
        <v>3444</v>
      </c>
      <c r="G2" s="3175"/>
      <c r="H2" s="3175"/>
      <c r="I2" s="3175"/>
      <c r="J2" s="3175"/>
      <c r="K2" s="3175"/>
    </row>
    <row r="3" spans="1:13">
      <c r="A3" s="3177">
        <v>1</v>
      </c>
      <c r="B3" s="3176" t="s">
        <v>3441</v>
      </c>
      <c r="C3" s="3175">
        <v>280</v>
      </c>
      <c r="D3" s="3176" t="s">
        <v>3437</v>
      </c>
      <c r="E3" s="3175"/>
      <c r="F3" s="3175">
        <v>100000</v>
      </c>
      <c r="G3" s="3175">
        <v>130000</v>
      </c>
      <c r="H3" s="3175"/>
      <c r="I3" s="3176" t="s">
        <v>3511</v>
      </c>
      <c r="J3" s="3175">
        <v>1</v>
      </c>
      <c r="K3" s="3175"/>
    </row>
    <row r="4" spans="1:13">
      <c r="A4" s="3177">
        <v>2</v>
      </c>
      <c r="B4" s="3176" t="s">
        <v>3441</v>
      </c>
      <c r="C4" s="3176" t="s">
        <v>3435</v>
      </c>
      <c r="D4" s="3176" t="s">
        <v>3437</v>
      </c>
      <c r="E4" s="3175"/>
      <c r="F4" s="3175">
        <f>F3/280/365</f>
        <v>0.9784735812133073</v>
      </c>
      <c r="G4" s="3175">
        <f>G3/280/365</f>
        <v>1.2720156555772995</v>
      </c>
      <c r="H4" s="3175"/>
      <c r="I4" s="3175"/>
      <c r="J4" s="3175"/>
      <c r="K4" s="3176" t="s">
        <v>3540</v>
      </c>
    </row>
    <row r="5" spans="1:13">
      <c r="A5" s="3175"/>
      <c r="B5" s="3175"/>
      <c r="C5" s="3175"/>
      <c r="D5" s="3175"/>
      <c r="E5" s="3175"/>
      <c r="F5" s="3175"/>
      <c r="G5" s="3175"/>
      <c r="H5" s="3175"/>
      <c r="I5" s="3176" t="s">
        <v>3438</v>
      </c>
      <c r="J5" s="3175">
        <v>100</v>
      </c>
      <c r="K5" s="3175">
        <f>ROUND(K8/J8*J5,2)</f>
        <v>1.78</v>
      </c>
    </row>
    <row r="6" spans="1:13">
      <c r="A6" s="3175"/>
      <c r="B6" s="3175"/>
      <c r="C6" s="3175"/>
      <c r="D6" s="3175"/>
      <c r="E6" s="3175"/>
      <c r="F6" s="3175"/>
      <c r="G6" s="3175"/>
      <c r="H6" s="3175"/>
      <c r="I6" s="3176" t="s">
        <v>3439</v>
      </c>
      <c r="J6" s="3175">
        <f>B13</f>
        <v>70</v>
      </c>
      <c r="K6" s="3175">
        <f>ROUND(K8/J8*J6,2)</f>
        <v>1.25</v>
      </c>
    </row>
    <row r="7" spans="1:13">
      <c r="A7" s="3175"/>
      <c r="B7" s="3175"/>
      <c r="C7" s="3175"/>
      <c r="D7" s="3175"/>
      <c r="E7" s="3175"/>
      <c r="F7" s="3175"/>
      <c r="G7" s="3175"/>
      <c r="H7" s="3175"/>
      <c r="I7" s="3176" t="s">
        <v>3440</v>
      </c>
      <c r="J7" s="3175">
        <v>50</v>
      </c>
      <c r="K7" s="3175">
        <f>ROUND(K8/J8*J7,2)</f>
        <v>0.89</v>
      </c>
    </row>
    <row r="8" spans="1:13">
      <c r="A8" s="3175"/>
      <c r="B8" s="3175"/>
      <c r="C8" s="3175"/>
      <c r="D8" s="3175"/>
      <c r="E8" s="3175"/>
      <c r="F8" s="3175"/>
      <c r="G8" s="3175"/>
      <c r="H8" s="3175"/>
      <c r="I8" s="3176" t="s">
        <v>3442</v>
      </c>
      <c r="J8" s="3175">
        <f>B16</f>
        <v>73</v>
      </c>
      <c r="K8" s="3175">
        <v>1.3</v>
      </c>
    </row>
    <row r="9" spans="1:13">
      <c r="A9" s="3175"/>
      <c r="B9" s="3175"/>
      <c r="C9" s="3175"/>
      <c r="D9" s="3175"/>
      <c r="E9" s="3175"/>
      <c r="F9" s="3175"/>
      <c r="G9" s="3175"/>
      <c r="H9" s="3175"/>
      <c r="I9" s="3176" t="s">
        <v>3443</v>
      </c>
      <c r="J9" s="3176">
        <f>B14</f>
        <v>85</v>
      </c>
      <c r="K9" s="3178">
        <f>ROUND(K8/J8*J9,2)</f>
        <v>1.51</v>
      </c>
      <c r="L9" s="3167"/>
    </row>
    <row r="10" spans="1:13">
      <c r="I10" s="1404"/>
    </row>
    <row r="11" spans="1:13">
      <c r="A11" s="3179" t="s">
        <v>3518</v>
      </c>
      <c r="B11" s="3179">
        <v>130</v>
      </c>
      <c r="C11" s="3179">
        <f>ROUND(B11*C14/B14,0)</f>
        <v>153</v>
      </c>
      <c r="I11" s="1404"/>
    </row>
    <row r="12" spans="1:13">
      <c r="A12" s="3179" t="s">
        <v>3519</v>
      </c>
      <c r="B12" s="3179">
        <v>100</v>
      </c>
      <c r="C12" s="3179">
        <f>ROUND(B12*C14/B14,0)</f>
        <v>118</v>
      </c>
      <c r="I12" s="1404"/>
    </row>
    <row r="13" spans="1:13">
      <c r="A13" s="3179" t="s">
        <v>3520</v>
      </c>
      <c r="B13" s="3179">
        <v>70</v>
      </c>
      <c r="C13" s="3179"/>
      <c r="I13" s="1404"/>
    </row>
    <row r="14" spans="1:13">
      <c r="A14" s="3180" t="s">
        <v>3522</v>
      </c>
      <c r="B14" s="3180">
        <f>ROUND((B12+B13)/2,2)</f>
        <v>85</v>
      </c>
      <c r="C14" s="3180">
        <v>100</v>
      </c>
      <c r="I14" s="1404"/>
    </row>
    <row r="15" spans="1:13">
      <c r="A15" s="3179" t="s">
        <v>3527</v>
      </c>
      <c r="B15" s="3179">
        <v>50</v>
      </c>
      <c r="C15" s="3178"/>
      <c r="I15" s="1404"/>
    </row>
    <row r="16" spans="1:13">
      <c r="A16" s="3179" t="s">
        <v>3528</v>
      </c>
      <c r="B16" s="3180">
        <f>ROUND((B12+B13+B15)/3,0)</f>
        <v>73</v>
      </c>
      <c r="C16" s="3178"/>
      <c r="I16" s="1404"/>
    </row>
    <row r="17" spans="1:17">
      <c r="I17" s="1404"/>
    </row>
    <row r="18" spans="1:17">
      <c r="P18" s="1404"/>
    </row>
    <row r="19" spans="1:17">
      <c r="I19" s="1404"/>
    </row>
    <row r="20" spans="1:17">
      <c r="P20" s="1404" t="s">
        <v>3517</v>
      </c>
    </row>
    <row r="21" spans="1:17" ht="15.6">
      <c r="A21" s="1404" t="s">
        <v>3541</v>
      </c>
      <c r="B21" s="3160" t="s">
        <v>3446</v>
      </c>
      <c r="C21" s="3160" t="s">
        <v>3447</v>
      </c>
      <c r="D21" s="3160" t="s">
        <v>3448</v>
      </c>
      <c r="E21" s="3160" t="s">
        <v>3449</v>
      </c>
      <c r="F21" s="3160" t="s">
        <v>3450</v>
      </c>
      <c r="G21" s="3160" t="s">
        <v>3451</v>
      </c>
      <c r="H21" s="3160" t="s">
        <v>3452</v>
      </c>
      <c r="I21" s="3160" t="s">
        <v>3453</v>
      </c>
      <c r="J21" s="3160" t="s">
        <v>3454</v>
      </c>
      <c r="K21" s="3160" t="s">
        <v>3455</v>
      </c>
      <c r="L21" s="3160" t="s">
        <v>3456</v>
      </c>
      <c r="M21" s="3160" t="s">
        <v>3457</v>
      </c>
      <c r="P21" s="3163" t="s">
        <v>3482</v>
      </c>
    </row>
    <row r="22" spans="1:17" ht="15.6">
      <c r="A22" s="3161"/>
      <c r="B22" s="3162">
        <v>45523.333831018521</v>
      </c>
      <c r="C22" s="3163" t="s">
        <v>3458</v>
      </c>
      <c r="D22" s="3163" t="s">
        <v>633</v>
      </c>
      <c r="E22" s="3163" t="s">
        <v>633</v>
      </c>
      <c r="F22" s="3163">
        <v>1</v>
      </c>
      <c r="G22" s="3163">
        <v>101</v>
      </c>
      <c r="H22" s="3163" t="s">
        <v>3459</v>
      </c>
      <c r="I22" s="3163" t="s">
        <v>673</v>
      </c>
      <c r="J22" s="3163" t="s">
        <v>3460</v>
      </c>
      <c r="K22" s="3163">
        <v>500.02</v>
      </c>
      <c r="L22" s="3163">
        <v>1100</v>
      </c>
      <c r="M22" s="3163">
        <v>21999</v>
      </c>
      <c r="O22" s="1404" t="s">
        <v>3525</v>
      </c>
      <c r="Q22" s="3161">
        <f>ROUND(M22/C12*100,0)</f>
        <v>18643</v>
      </c>
    </row>
    <row r="23" spans="1:17" ht="15.6">
      <c r="A23" s="3164"/>
      <c r="B23" s="3165"/>
      <c r="C23" s="3166"/>
      <c r="D23" s="3166"/>
      <c r="E23" s="3166"/>
      <c r="F23" s="3166"/>
      <c r="G23" s="3166"/>
      <c r="H23" s="3166"/>
      <c r="I23" s="3166"/>
      <c r="J23" s="3166"/>
      <c r="K23" s="3166"/>
      <c r="L23" s="3166"/>
      <c r="M23" s="3166"/>
    </row>
    <row r="24" spans="1:17" ht="15.6">
      <c r="A24" s="3164"/>
      <c r="B24" s="3165"/>
      <c r="C24" s="3166"/>
      <c r="D24" s="3166"/>
      <c r="E24" s="3166"/>
      <c r="F24" s="3166"/>
      <c r="G24" s="3166"/>
      <c r="H24" s="3166"/>
      <c r="I24" s="3166"/>
      <c r="J24" s="3166"/>
      <c r="K24" s="3166"/>
      <c r="L24" s="3166"/>
      <c r="M24" s="3166"/>
    </row>
    <row r="25" spans="1:17">
      <c r="A25" s="3164"/>
      <c r="B25" s="3164"/>
      <c r="C25" s="3164"/>
      <c r="D25" s="3164"/>
      <c r="E25" s="3164"/>
      <c r="F25" s="3164"/>
      <c r="G25" s="3164"/>
      <c r="H25" s="3164"/>
      <c r="I25" s="3164"/>
      <c r="J25" s="3164"/>
      <c r="K25" s="3164"/>
      <c r="L25" s="3164"/>
      <c r="M25" s="3164"/>
    </row>
    <row r="27" spans="1:17">
      <c r="N27" s="1404" t="s">
        <v>3485</v>
      </c>
      <c r="P27" s="3167" t="s">
        <v>3483</v>
      </c>
    </row>
    <row r="28" spans="1:17">
      <c r="N28" s="1404" t="s">
        <v>3481</v>
      </c>
      <c r="O28">
        <v>25300</v>
      </c>
    </row>
    <row r="29" spans="1:17">
      <c r="C29" s="1404"/>
      <c r="D29" s="1404"/>
      <c r="E29" s="1404"/>
      <c r="F29" s="1404"/>
      <c r="G29" s="1404"/>
      <c r="H29" s="1404"/>
      <c r="I29" s="1404"/>
      <c r="J29" s="1404"/>
      <c r="K29" s="1404"/>
      <c r="L29" s="1404"/>
      <c r="M29" s="1404"/>
      <c r="N29" s="1404" t="s">
        <v>3486</v>
      </c>
      <c r="O29" s="1404">
        <v>83.05</v>
      </c>
      <c r="Q29" s="1404" t="s">
        <v>3525</v>
      </c>
    </row>
    <row r="30" spans="1:17">
      <c r="Q30" s="3161">
        <f>ROUND(O28/C11*100,0)</f>
        <v>16536</v>
      </c>
    </row>
    <row r="74" spans="13:16">
      <c r="P74" s="3167" t="s">
        <v>3484</v>
      </c>
    </row>
    <row r="75" spans="13:16">
      <c r="N75" s="1404" t="s">
        <v>3477</v>
      </c>
      <c r="O75" s="1404" t="s">
        <v>3479</v>
      </c>
      <c r="P75" s="1404" t="s">
        <v>3526</v>
      </c>
    </row>
    <row r="76" spans="13:16">
      <c r="M76" s="1404" t="s">
        <v>3480</v>
      </c>
      <c r="N76" s="1404" t="s">
        <v>3478</v>
      </c>
    </row>
    <row r="77" spans="13:16">
      <c r="N77">
        <f>5000/30/122</f>
        <v>1.3661202185792349</v>
      </c>
    </row>
    <row r="78" spans="13:16">
      <c r="M78" s="1404" t="s">
        <v>3481</v>
      </c>
      <c r="N78">
        <v>23000</v>
      </c>
      <c r="P78" s="1404" t="s">
        <v>3525</v>
      </c>
    </row>
    <row r="79" spans="13:16">
      <c r="P79" s="3161">
        <f>ROUND(N78/C11*100,0)</f>
        <v>15033</v>
      </c>
    </row>
    <row r="80" spans="13:16">
      <c r="M80" s="1404" t="s">
        <v>3486</v>
      </c>
      <c r="N80">
        <v>122</v>
      </c>
    </row>
  </sheetData>
  <phoneticPr fontId="134" type="noConversion"/>
  <pageMargins left="0.7" right="0.7" top="0.75" bottom="0.75" header="0.3" footer="0.3"/>
  <pageSetup paperSize="9" orientation="portrait" horizontalDpi="300" verticalDpi="300" r:id="rId1"/>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97" zoomScale="70" zoomScaleNormal="100" zoomScaleSheetLayoutView="70" zoomScalePageLayoutView="80" workbookViewId="0">
      <selection activeCell="D102" sqref="D102"/>
    </sheetView>
  </sheetViews>
  <sheetFormatPr defaultColWidth="12.6640625" defaultRowHeight="21.75" customHeight="1"/>
  <cols>
    <col min="1" max="2" width="12.6640625" style="1560"/>
    <col min="3" max="4" width="12.6640625" style="1560" customWidth="1"/>
    <col min="5" max="9" width="12.6640625" style="1560"/>
    <col min="10" max="11" width="12.6640625" style="683" customWidth="1"/>
    <col min="12" max="12" width="12.6640625" style="683"/>
    <col min="13" max="13" width="14.109375" style="683" bestFit="1" customWidth="1"/>
    <col min="14" max="26" width="12.6640625" style="683"/>
    <col min="27" max="35" width="12.6640625" style="1622"/>
    <col min="36" max="16384" width="12.6640625" style="1560"/>
  </cols>
  <sheetData>
    <row r="1" spans="1:12" ht="21.75" customHeight="1" thickBot="1">
      <c r="A1" s="1520" t="s">
        <v>1262</v>
      </c>
      <c r="B1" s="645"/>
      <c r="C1" s="1619" t="s">
        <v>3407</v>
      </c>
      <c r="D1" s="645"/>
      <c r="E1" s="645"/>
      <c r="F1" s="1620" t="s">
        <v>1263</v>
      </c>
      <c r="G1" s="1452" t="s">
        <v>3388</v>
      </c>
      <c r="H1" s="1620" t="str">
        <f>IF(G1="现房","——","估价对象范围")</f>
        <v>——</v>
      </c>
      <c r="I1" s="1621"/>
    </row>
    <row r="2" spans="1:12" ht="21.75" customHeight="1" thickBot="1">
      <c r="A2" s="3323" t="str">
        <f>项目基本情况!S2</f>
        <v>北京市延庆县燕水佳园14号楼1至2层1号、2号房地产</v>
      </c>
      <c r="B2" s="3324"/>
      <c r="C2" s="3324"/>
      <c r="D2" s="3324"/>
      <c r="E2" s="3324"/>
      <c r="F2" s="3324"/>
      <c r="G2" s="3324"/>
      <c r="H2" s="3324"/>
      <c r="I2" s="3325"/>
    </row>
    <row r="3" spans="1:12" ht="13.2">
      <c r="A3" s="3327" t="s">
        <v>1264</v>
      </c>
      <c r="B3" s="3328"/>
      <c r="C3" s="3328"/>
      <c r="D3" s="3328"/>
      <c r="E3" s="3328"/>
      <c r="F3" s="3328"/>
      <c r="G3" s="3328"/>
      <c r="H3" s="3328"/>
      <c r="I3" s="3328"/>
    </row>
    <row r="4" spans="1:12" ht="14.4">
      <c r="A4" s="1623" t="s">
        <v>1265</v>
      </c>
      <c r="B4" s="1624" t="s">
        <v>1266</v>
      </c>
      <c r="C4" s="1625" t="s">
        <v>3515</v>
      </c>
      <c r="D4" s="1625" t="s">
        <v>3513</v>
      </c>
      <c r="E4" s="3329" t="s">
        <v>1267</v>
      </c>
      <c r="F4" s="3330"/>
      <c r="G4" s="3330"/>
      <c r="H4" s="3330"/>
      <c r="I4" s="3331"/>
      <c r="K4" s="137" t="str">
        <f>IF(ISNUMBER(FIND("比较法",结果表1号!C4)),"比较法",IF(ISNUMBER(FIND("成本法",结果表1号!C4)),"成本法",IF(ISNUMBER(FIND("假设开发法",结果表1号!C4)),"假设开发法",IF(ISNUMBER(FIND("收益法",结果表1号!C4)),"收益法","基准地价系数修正法"))))</f>
        <v>比较法</v>
      </c>
      <c r="L4" s="137" t="str">
        <f>IF(ISNUMBER(FIND("比较法",结果表1号!D4)),"比较法",IF(ISNUMBER(FIND("成本法",结果表1号!D4)),"成本法",IF(ISNUMBER(FIND("假设开发法",结果表1号!D4)),"假设开发法",IF(ISNUMBER(FIND("收益法",结果表1号!D4)),"收益法","基准地价系数修正法"))))</f>
        <v>收益法</v>
      </c>
    </row>
    <row r="5" spans="1:12" ht="13.2">
      <c r="A5" s="3303" t="s">
        <v>1268</v>
      </c>
      <c r="B5" s="3290">
        <v>25</v>
      </c>
      <c r="C5" s="3306"/>
      <c r="D5" s="3326"/>
      <c r="E5" s="122" t="s">
        <v>1269</v>
      </c>
      <c r="F5" s="1626"/>
      <c r="G5" s="1626"/>
      <c r="H5" s="1626"/>
      <c r="I5" s="1280"/>
    </row>
    <row r="6" spans="1:12" ht="13.2">
      <c r="A6" s="3303"/>
      <c r="B6" s="3290"/>
      <c r="C6" s="3307"/>
      <c r="D6" s="3326"/>
      <c r="E6" s="122" t="s">
        <v>1270</v>
      </c>
      <c r="F6" s="1626"/>
      <c r="G6" s="1626"/>
      <c r="H6" s="1626"/>
      <c r="I6" s="1280"/>
    </row>
    <row r="7" spans="1:12" ht="13.2">
      <c r="A7" s="3303"/>
      <c r="B7" s="3290"/>
      <c r="C7" s="3308"/>
      <c r="D7" s="3326"/>
      <c r="E7" s="122" t="s">
        <v>1271</v>
      </c>
      <c r="F7" s="1626"/>
      <c r="G7" s="1626"/>
      <c r="H7" s="1626"/>
      <c r="I7" s="1280"/>
    </row>
    <row r="8" spans="1:12" ht="13.2">
      <c r="A8" s="3303" t="s">
        <v>1272</v>
      </c>
      <c r="B8" s="3290">
        <v>15</v>
      </c>
      <c r="C8" s="3306"/>
      <c r="D8" s="3326"/>
      <c r="E8" s="122" t="s">
        <v>1273</v>
      </c>
      <c r="F8" s="1626"/>
      <c r="G8" s="1626"/>
      <c r="H8" s="1626"/>
      <c r="I8" s="1280"/>
    </row>
    <row r="9" spans="1:12" ht="13.2">
      <c r="A9" s="3303"/>
      <c r="B9" s="3290"/>
      <c r="C9" s="3308"/>
      <c r="D9" s="3326"/>
      <c r="E9" s="122" t="s">
        <v>1274</v>
      </c>
      <c r="F9" s="1626"/>
      <c r="G9" s="1626"/>
      <c r="H9" s="1626"/>
      <c r="I9" s="1280"/>
    </row>
    <row r="10" spans="1:12" ht="13.2">
      <c r="A10" s="3303" t="s">
        <v>1275</v>
      </c>
      <c r="B10" s="3290">
        <v>15</v>
      </c>
      <c r="C10" s="3306"/>
      <c r="D10" s="3326"/>
      <c r="E10" s="122" t="s">
        <v>1276</v>
      </c>
      <c r="F10" s="1626"/>
      <c r="G10" s="1626"/>
      <c r="H10" s="1626"/>
      <c r="I10" s="1280"/>
    </row>
    <row r="11" spans="1:12" ht="13.2">
      <c r="A11" s="3303"/>
      <c r="B11" s="3290"/>
      <c r="C11" s="3308"/>
      <c r="D11" s="3326"/>
      <c r="E11" s="122" t="s">
        <v>1277</v>
      </c>
      <c r="F11" s="1626"/>
      <c r="G11" s="1626"/>
      <c r="H11" s="1626"/>
      <c r="I11" s="1280"/>
    </row>
    <row r="12" spans="1:12" ht="13.2">
      <c r="A12" s="3303" t="s">
        <v>1278</v>
      </c>
      <c r="B12" s="3290">
        <v>15</v>
      </c>
      <c r="C12" s="3306"/>
      <c r="D12" s="3326"/>
      <c r="E12" s="122" t="s">
        <v>1279</v>
      </c>
      <c r="F12" s="1626"/>
      <c r="G12" s="1626"/>
      <c r="H12" s="1626"/>
      <c r="I12" s="1280"/>
    </row>
    <row r="13" spans="1:12" ht="13.2">
      <c r="A13" s="3303"/>
      <c r="B13" s="3290"/>
      <c r="C13" s="3308"/>
      <c r="D13" s="3326"/>
      <c r="E13" s="122" t="s">
        <v>1280</v>
      </c>
      <c r="F13" s="1626"/>
      <c r="G13" s="1626"/>
      <c r="H13" s="1626"/>
      <c r="I13" s="1280"/>
    </row>
    <row r="14" spans="1:12" ht="13.2">
      <c r="A14" s="3303" t="s">
        <v>1281</v>
      </c>
      <c r="B14" s="3290">
        <v>30</v>
      </c>
      <c r="C14" s="3306">
        <v>6</v>
      </c>
      <c r="D14" s="3326">
        <v>4</v>
      </c>
      <c r="E14" s="122" t="s">
        <v>1282</v>
      </c>
      <c r="F14" s="1626"/>
      <c r="G14" s="1626"/>
      <c r="H14" s="1626"/>
      <c r="I14" s="1280"/>
    </row>
    <row r="15" spans="1:12" ht="13.2">
      <c r="A15" s="3303"/>
      <c r="B15" s="3290"/>
      <c r="C15" s="3307"/>
      <c r="D15" s="3326"/>
      <c r="E15" s="122" t="s">
        <v>1283</v>
      </c>
      <c r="F15" s="1626"/>
      <c r="G15" s="1626"/>
      <c r="H15" s="1626"/>
      <c r="I15" s="1280"/>
    </row>
    <row r="16" spans="1:12" ht="13.2">
      <c r="A16" s="3303"/>
      <c r="B16" s="3290"/>
      <c r="C16" s="3308"/>
      <c r="D16" s="3326"/>
      <c r="E16" s="122" t="s">
        <v>1284</v>
      </c>
      <c r="F16" s="1626"/>
      <c r="G16" s="1626"/>
      <c r="H16" s="1626"/>
      <c r="I16" s="1280"/>
    </row>
    <row r="17" spans="1:36" ht="14.4">
      <c r="A17" s="1627" t="s">
        <v>1285</v>
      </c>
      <c r="B17" s="54"/>
      <c r="C17" s="123">
        <f>SUM(C5:C16)</f>
        <v>6</v>
      </c>
      <c r="D17" s="123">
        <f>SUM(D5:D16)</f>
        <v>4</v>
      </c>
      <c r="E17" s="120"/>
      <c r="F17" s="120"/>
      <c r="G17" s="120"/>
      <c r="H17" s="120"/>
      <c r="I17" s="120"/>
      <c r="K17" s="293"/>
      <c r="L17" s="293" t="s">
        <v>1286</v>
      </c>
      <c r="M17" s="293" t="s">
        <v>1287</v>
      </c>
    </row>
    <row r="18" spans="1:36" ht="31.95" customHeight="1" thickBot="1">
      <c r="A18" s="1628" t="s">
        <v>1288</v>
      </c>
      <c r="B18" s="1541"/>
      <c r="C18" s="124">
        <f>ROUND(C17/SUM(C17:D17),2)</f>
        <v>0.6</v>
      </c>
      <c r="D18" s="124">
        <f>1-C18</f>
        <v>0.4</v>
      </c>
      <c r="E18" s="3313" t="s">
        <v>2131</v>
      </c>
      <c r="F18" s="3314"/>
      <c r="G18" s="3314"/>
      <c r="H18" s="3314"/>
      <c r="I18" s="3314"/>
      <c r="K18" s="293" t="s">
        <v>1289</v>
      </c>
      <c r="L18" s="293">
        <f>IF(C1="",'数据-汇总表'!E3,SUMIF(项目类型,C1,'数据-汇总表'!E17:E26)+SUMIF(项目类型,C1,'数据-汇总表'!I17:I26))</f>
        <v>156.33000000000001</v>
      </c>
      <c r="M18" s="293">
        <f>IF(C1="",'数据-汇总表'!E3,SUMIF(项目类型,C1,'数据-汇总表'!E17:E26))</f>
        <v>156.33000000000001</v>
      </c>
    </row>
    <row r="19" spans="1:36" ht="14.4">
      <c r="A19" s="1629" t="s">
        <v>1290</v>
      </c>
      <c r="B19" s="1630" t="s">
        <v>1291</v>
      </c>
      <c r="C19" s="125">
        <f ca="1">SUMIF(INDIRECT("'"&amp;C4&amp;"'"&amp;"!A:A"),结果表1号!B19,INDIRECT("'"&amp;C4&amp;"'"&amp;"!B:B"))</f>
        <v>253.27019999999999</v>
      </c>
      <c r="D19" s="126">
        <f ca="1">SUMIF(INDIRECT("'"&amp;D4&amp;"'"&amp;"!A:A"),结果表1号!B19,INDIRECT("'"&amp;D4&amp;"'"&amp;"!B:B"))</f>
        <v>94.671499999999995</v>
      </c>
      <c r="E19" s="1629" t="s">
        <v>1292</v>
      </c>
      <c r="F19" s="1630" t="s">
        <v>1291</v>
      </c>
      <c r="G19" s="127">
        <f ca="1">ROUND(C19*$C$18+D19*$D$18,0)</f>
        <v>190</v>
      </c>
      <c r="H19" s="1631" t="s">
        <v>1293</v>
      </c>
      <c r="I19" s="120"/>
      <c r="K19" s="293" t="s">
        <v>1294</v>
      </c>
      <c r="L19" s="293">
        <f>IF(C1="",'数据-汇总表'!D3,SUMIF(项目类型,C1,'数据-汇总表'!D17:D26)+SUMIF(项目类型,C1,'数据-汇总表'!H17:H27))</f>
        <v>0</v>
      </c>
      <c r="M19" s="293">
        <f>IF(C1="",'数据-汇总表'!D3,SUMIF(项目类型,C1,'数据-汇总表'!D17:D26))</f>
        <v>0</v>
      </c>
    </row>
    <row r="20" spans="1:36" ht="14.4">
      <c r="A20" s="1632"/>
      <c r="B20" s="43" t="s">
        <v>1295</v>
      </c>
      <c r="C20" s="128">
        <f ca="1">SUMIF(INDIRECT("'"&amp;C4&amp;"'"&amp;"!A:A"),结果表1号!B20,INDIRECT("'"&amp;C4&amp;"'"&amp;"!B:B"))</f>
        <v>16201</v>
      </c>
      <c r="D20" s="129">
        <f ca="1">SUMIF(INDIRECT("'"&amp;D4&amp;"'"&amp;"!A:A"),结果表1号!B20,INDIRECT("'"&amp;D4&amp;"'"&amp;"!B:B"))</f>
        <v>6056</v>
      </c>
      <c r="E20" s="1632"/>
      <c r="F20" s="43" t="s">
        <v>1295</v>
      </c>
      <c r="G20" s="130">
        <f ca="1">ROUND(C20*$C$18+D20*$D$18,0)</f>
        <v>12143</v>
      </c>
      <c r="H20" s="759" t="s">
        <v>1296</v>
      </c>
      <c r="I20" s="120"/>
    </row>
    <row r="21" spans="1:36" ht="15" customHeight="1" thickBot="1">
      <c r="A21" s="448"/>
      <c r="B21" s="93" t="s">
        <v>1297</v>
      </c>
      <c r="C21" s="677" t="e">
        <f ca="1">ROUND(C19*10000/L19,0)</f>
        <v>#DIV/0!</v>
      </c>
      <c r="D21" s="678" t="e">
        <f ca="1">ROUND(D19*10000/L19,0)</f>
        <v>#DIV/0!</v>
      </c>
      <c r="E21" s="448"/>
      <c r="F21" s="93" t="s">
        <v>1297</v>
      </c>
      <c r="G21" s="131" t="e">
        <f ca="1">ROUND(G19*10000/L19,0)</f>
        <v>#DIV/0!</v>
      </c>
      <c r="H21" s="1633" t="s">
        <v>1296</v>
      </c>
      <c r="I21" s="120"/>
    </row>
    <row r="22" spans="1:36" ht="15" thickBot="1">
      <c r="A22" s="1563" t="s">
        <v>1298</v>
      </c>
      <c r="B22" s="1634"/>
      <c r="C22" s="1635"/>
      <c r="D22" s="679">
        <f ca="1">IF(C19&lt;D19,D19/C19-1,C19/D19-1)</f>
        <v>1.6752528480059996</v>
      </c>
      <c r="E22" s="120"/>
      <c r="F22" s="120"/>
      <c r="G22" s="120"/>
      <c r="H22" s="120"/>
      <c r="I22" s="120"/>
    </row>
    <row r="23" spans="1:36" ht="13.8" thickBot="1">
      <c r="A23" s="645"/>
      <c r="B23" s="645"/>
      <c r="C23" s="645"/>
      <c r="D23" s="645"/>
      <c r="E23" s="120"/>
      <c r="F23" s="120"/>
      <c r="G23" s="120"/>
      <c r="H23" s="120"/>
      <c r="I23" s="120"/>
    </row>
    <row r="24" spans="1:36" ht="14.4">
      <c r="A24" s="3297" t="s">
        <v>1299</v>
      </c>
      <c r="B24" s="1630" t="s">
        <v>1291</v>
      </c>
      <c r="C24" s="127">
        <f>IF(B30=0,0,D30)</f>
        <v>0</v>
      </c>
      <c r="D24" s="1636"/>
      <c r="E24" s="120"/>
      <c r="F24" s="120"/>
      <c r="G24" s="120"/>
      <c r="H24" s="120"/>
      <c r="I24" s="120"/>
    </row>
    <row r="25" spans="1:36" ht="14.4">
      <c r="A25" s="3298"/>
      <c r="B25" s="43"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3.8">
      <c r="A27" s="1638"/>
      <c r="B27" s="133">
        <v>0</v>
      </c>
      <c r="C27" s="133">
        <v>0</v>
      </c>
      <c r="D27" s="134">
        <f>ROUND(C27*B27/10000,0)</f>
        <v>0</v>
      </c>
      <c r="E27" s="120"/>
      <c r="F27" s="120"/>
      <c r="G27" s="120"/>
      <c r="H27" s="120"/>
      <c r="I27" s="120"/>
    </row>
    <row r="28" spans="1:36" ht="13.8">
      <c r="A28" s="1638"/>
      <c r="B28" s="133"/>
      <c r="C28" s="133"/>
      <c r="D28" s="134"/>
      <c r="E28" s="120"/>
      <c r="F28" s="120"/>
      <c r="G28" s="120"/>
      <c r="H28" s="120"/>
      <c r="I28" s="120"/>
    </row>
    <row r="29" spans="1:36" ht="13.8">
      <c r="A29" s="1638"/>
      <c r="B29" s="133"/>
      <c r="C29" s="133"/>
      <c r="D29" s="134"/>
      <c r="E29" s="120"/>
      <c r="F29" s="120"/>
      <c r="G29" s="120"/>
      <c r="H29" s="120"/>
      <c r="I29" s="120"/>
    </row>
    <row r="30" spans="1:36" ht="15" thickBot="1">
      <c r="A30" s="133" t="s">
        <v>1304</v>
      </c>
      <c r="B30" s="133"/>
      <c r="C30" s="133"/>
      <c r="D30" s="133"/>
      <c r="E30" s="2126" t="s">
        <v>2132</v>
      </c>
      <c r="F30" s="120"/>
      <c r="G30" s="120"/>
      <c r="H30" s="120"/>
      <c r="I30" s="120"/>
    </row>
    <row r="31" spans="1:36" s="2132" customFormat="1" ht="26.4" customHeight="1" thickTop="1" thickBot="1">
      <c r="A31" s="2127"/>
      <c r="B31" s="2128"/>
      <c r="C31" s="2128"/>
      <c r="D31" s="2128"/>
      <c r="E31" s="2128"/>
      <c r="F31" s="2128"/>
      <c r="G31" s="2128"/>
      <c r="H31" s="2128"/>
      <c r="I31" s="2129" t="s">
        <v>2133</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5">
        <f ca="1">IF(D32="总价",G19-C24,G20-C25)</f>
        <v>12143</v>
      </c>
      <c r="D32" s="1640" t="s">
        <v>3405</v>
      </c>
      <c r="E32" s="120"/>
      <c r="F32" s="120"/>
      <c r="G32" s="120"/>
      <c r="H32" s="120"/>
      <c r="I32" s="120"/>
    </row>
    <row r="33" spans="1:15" ht="14.4">
      <c r="A33" s="739" t="s">
        <v>1306</v>
      </c>
      <c r="B33" s="122"/>
      <c r="C33" s="1641" t="s">
        <v>3406</v>
      </c>
      <c r="D33" s="1642"/>
      <c r="E33" s="1643" t="s">
        <v>1307</v>
      </c>
      <c r="F33" s="1644" t="str">
        <f>IF(D32="楼面单价","取值（单价）","取值（总价）")</f>
        <v>取值（单价）</v>
      </c>
      <c r="G33" s="120"/>
      <c r="H33" s="120"/>
      <c r="I33" s="120"/>
    </row>
    <row r="34" spans="1:15" ht="14.4">
      <c r="A34" s="1645"/>
      <c r="B34" s="1646" t="s">
        <v>1308</v>
      </c>
      <c r="C34" s="139">
        <f>IF(C33="自定义",F34,C32-C35)</f>
        <v>0</v>
      </c>
      <c r="D34" s="807">
        <f ca="1">IF(C33="自定义",ROUND(C34/C32,3),IF(C33="收益比率",SUMIF(INDIRECT("'"&amp;D33&amp;"'"&amp;"!b:b"),"土地收益比率",INDIRECT("'"&amp;D33&amp;"'"&amp;"!c:c")),SUMIF(INDIRECT("'"&amp;D33&amp;"'"&amp;"!b:b"),"土地成本比率",INDIRECT("'"&amp;D33&amp;"'"&amp;"!c:c"))))</f>
        <v>0</v>
      </c>
      <c r="E34" s="1647" t="s">
        <v>1309</v>
      </c>
      <c r="F34" s="1242"/>
      <c r="G34" s="120"/>
      <c r="H34" s="120"/>
      <c r="I34" s="120"/>
    </row>
    <row r="35" spans="1:15" ht="15" thickBot="1">
      <c r="A35" s="1648"/>
      <c r="B35" s="1649" t="s">
        <v>1310</v>
      </c>
      <c r="C35" s="1089">
        <f>IF(C33="自定义",F35,ROUND(C32*D35,0))</f>
        <v>0</v>
      </c>
      <c r="D35" s="1090">
        <f ca="1">IF(C33="自定义",ROUND(C35/C32,3),IF(C33="收益比率",SUMIF(INDIRECT("'"&amp;D33&amp;"'"&amp;"!b:b"),"建筑物收益比率",INDIRECT("'"&amp;D33&amp;"'"&amp;"!c:c")),SUMIF(INDIRECT("'"&amp;D33&amp;"'"&amp;"!b:b"),"建筑物成本比率",INDIRECT("'"&amp;D33&amp;"'"&amp;"!c:c"))))</f>
        <v>0</v>
      </c>
      <c r="E35" s="1650" t="s">
        <v>1311</v>
      </c>
      <c r="F35" s="145"/>
      <c r="G35" s="120"/>
      <c r="H35" s="120"/>
      <c r="I35" s="120"/>
    </row>
    <row r="36" spans="1:15" ht="15" thickBot="1">
      <c r="A36" s="3317" t="s">
        <v>1312</v>
      </c>
      <c r="B36" s="1651" t="s">
        <v>1313</v>
      </c>
      <c r="C36" s="136"/>
      <c r="D36" s="1652"/>
      <c r="E36" s="1566"/>
      <c r="F36" s="1653"/>
      <c r="G36" s="120"/>
      <c r="H36" s="120"/>
      <c r="I36" s="120"/>
    </row>
    <row r="37" spans="1:15" ht="15" thickBot="1">
      <c r="A37" s="3318"/>
      <c r="B37" s="1554" t="s">
        <v>1314</v>
      </c>
      <c r="C37" s="138"/>
      <c r="D37" s="1070"/>
      <c r="E37" s="1070"/>
      <c r="F37" s="1653"/>
      <c r="G37" s="120"/>
      <c r="H37" s="120"/>
      <c r="I37" s="120"/>
    </row>
    <row r="38" spans="1:15" ht="15" thickBot="1">
      <c r="A38" s="3319"/>
      <c r="B38" s="1654" t="s">
        <v>1315</v>
      </c>
      <c r="C38" s="640"/>
      <c r="D38" s="1655" t="s">
        <v>1316</v>
      </c>
      <c r="E38" s="1070"/>
      <c r="F38" s="1653"/>
      <c r="G38" s="120"/>
      <c r="H38" s="120"/>
      <c r="I38" s="120"/>
    </row>
    <row r="39" spans="1:15" ht="14.4">
      <c r="A39" s="1632" t="s">
        <v>1317</v>
      </c>
      <c r="B39" s="1656" t="s">
        <v>1318</v>
      </c>
      <c r="C39" s="1657" t="s">
        <v>1319</v>
      </c>
      <c r="D39" s="1657" t="s">
        <v>1320</v>
      </c>
      <c r="E39" s="1658" t="s">
        <v>1321</v>
      </c>
      <c r="F39" s="1653"/>
      <c r="G39" s="120"/>
      <c r="H39" s="120"/>
      <c r="I39" s="120"/>
    </row>
    <row r="40" spans="1:15" ht="13.8">
      <c r="A40" s="1659" t="s">
        <v>1322</v>
      </c>
      <c r="B40" s="140"/>
      <c r="C40" s="141"/>
      <c r="D40" s="141"/>
      <c r="E40" s="142"/>
      <c r="F40" s="1653"/>
      <c r="G40" s="120"/>
      <c r="H40" s="120"/>
      <c r="I40" s="120"/>
    </row>
    <row r="41" spans="1:15" ht="13.8">
      <c r="A41" s="1659" t="s">
        <v>1323</v>
      </c>
      <c r="B41" s="140"/>
      <c r="C41" s="141"/>
      <c r="D41" s="141"/>
      <c r="E41" s="142"/>
      <c r="F41" s="1653"/>
      <c r="G41" s="120"/>
      <c r="H41" s="120"/>
      <c r="I41" s="120"/>
    </row>
    <row r="42" spans="1:15" ht="14.4" thickBot="1">
      <c r="A42" s="1660"/>
      <c r="B42" s="143"/>
      <c r="C42" s="144"/>
      <c r="D42" s="144"/>
      <c r="E42" s="145"/>
      <c r="F42" s="1653"/>
      <c r="G42" s="120"/>
      <c r="H42" s="120"/>
      <c r="I42" s="120"/>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294" t="s">
        <v>1326</v>
      </c>
      <c r="B45" s="3295"/>
      <c r="C45" s="3296"/>
      <c r="D45" s="146">
        <f ca="1">ROUND(H101*F45,0)</f>
        <v>190</v>
      </c>
      <c r="E45" s="147" t="s">
        <v>1327</v>
      </c>
      <c r="F45" s="148">
        <v>1</v>
      </c>
      <c r="G45" s="149" t="s">
        <v>1328</v>
      </c>
      <c r="H45" s="120"/>
      <c r="I45" s="120"/>
      <c r="J45" s="3372" t="s">
        <v>1329</v>
      </c>
      <c r="K45" s="3372"/>
      <c r="L45" s="3372"/>
      <c r="M45" s="3372"/>
      <c r="N45" s="3372"/>
      <c r="O45" s="3372"/>
    </row>
    <row r="46" spans="1:15" ht="14.25" customHeight="1">
      <c r="A46" s="3291" t="s">
        <v>1330</v>
      </c>
      <c r="B46" s="3292"/>
      <c r="C46" s="3292"/>
      <c r="D46" s="3292"/>
      <c r="E46" s="3292"/>
      <c r="F46" s="3292"/>
      <c r="G46" s="3293"/>
      <c r="H46" s="1667"/>
      <c r="I46" s="150"/>
      <c r="J46" s="2308">
        <v>1</v>
      </c>
      <c r="K46" s="3353" t="s">
        <v>1331</v>
      </c>
      <c r="L46" s="3353"/>
      <c r="M46" s="3373"/>
      <c r="N46" s="3373"/>
      <c r="O46" s="3373"/>
    </row>
    <row r="47" spans="1:15" ht="12" customHeight="1">
      <c r="A47" s="151" t="s">
        <v>1332</v>
      </c>
      <c r="B47" s="152"/>
      <c r="C47" s="153"/>
      <c r="D47" s="1023" t="s">
        <v>1333</v>
      </c>
      <c r="E47" s="293" t="s">
        <v>1334</v>
      </c>
      <c r="F47" s="154" t="s">
        <v>1335</v>
      </c>
      <c r="G47" s="2331" t="s">
        <v>1336</v>
      </c>
      <c r="H47" s="2332"/>
      <c r="I47" s="150"/>
      <c r="J47" s="2308">
        <v>2</v>
      </c>
      <c r="K47" s="3353" t="s">
        <v>1337</v>
      </c>
      <c r="L47" s="3353"/>
      <c r="M47" s="3374">
        <f>'数据-取费表'!B2</f>
        <v>45562</v>
      </c>
      <c r="N47" s="3374"/>
      <c r="O47" s="3374"/>
    </row>
    <row r="48" spans="1:15" ht="26.4">
      <c r="A48" s="3322" t="s">
        <v>1338</v>
      </c>
      <c r="B48" s="3305"/>
      <c r="C48" s="3305"/>
      <c r="D48" s="12" t="b">
        <f>IF(H48="情况1",0,IF(H48="情况2",D52,IF(H48="情况3",D53,IF(H48="情况4",D54))))</f>
        <v>0</v>
      </c>
      <c r="E48" s="1255" t="str">
        <f>IF(H48="情况4","(销售额-原购置价)×税（费）率","销售额×税（费）率")</f>
        <v>销售额×税（费）率</v>
      </c>
      <c r="F48" s="2333">
        <f>IF(H48="情况1","免征",'数据-取费表'!B41)</f>
        <v>5.5000000000000007E-2</v>
      </c>
      <c r="G48" s="2334" t="s">
        <v>1339</v>
      </c>
      <c r="H48" s="2335"/>
      <c r="I48" s="1667"/>
      <c r="J48" s="2308">
        <v>3</v>
      </c>
      <c r="K48" s="3353" t="s">
        <v>1340</v>
      </c>
      <c r="L48" s="3353"/>
      <c r="M48" s="3375">
        <f ca="1">H101</f>
        <v>189.83150000000001</v>
      </c>
      <c r="N48" s="3375"/>
      <c r="O48" s="3375"/>
    </row>
    <row r="49" spans="1:35" ht="25.5" customHeight="1">
      <c r="A49" s="2151" t="s">
        <v>1341</v>
      </c>
      <c r="B49" s="3289" t="s">
        <v>1342</v>
      </c>
      <c r="C49" s="3289"/>
      <c r="D49" s="1477">
        <v>0</v>
      </c>
      <c r="E49" s="315" t="s">
        <v>1343</v>
      </c>
      <c r="F49" s="2231" t="s">
        <v>28</v>
      </c>
      <c r="G49" s="3359"/>
      <c r="H49" s="2133" t="s">
        <v>2134</v>
      </c>
      <c r="I49" s="2134"/>
      <c r="J49" s="2308">
        <v>4</v>
      </c>
      <c r="K49" s="3353" t="str">
        <f>IF(项目基本情况!E8="房地产抵押价值","房地产抵押价值","抵押担保权已注销时的房地产抵押价值")</f>
        <v>抵押担保权已注销时的房地产抵押价值</v>
      </c>
      <c r="L49" s="3353"/>
      <c r="M49" s="3375" t="str">
        <f>IF(项目基本情况!E8="房地产抵押价值",H107,H109)</f>
        <v>——</v>
      </c>
      <c r="N49" s="3375"/>
      <c r="O49" s="3375"/>
    </row>
    <row r="50" spans="1:35" ht="25.5" customHeight="1">
      <c r="A50" s="2336"/>
      <c r="B50" s="3289" t="s">
        <v>1344</v>
      </c>
      <c r="C50" s="3289"/>
      <c r="D50" s="2188"/>
      <c r="E50" s="322"/>
      <c r="F50" s="2231"/>
      <c r="G50" s="3360"/>
      <c r="H50" s="2135" t="s">
        <v>2135</v>
      </c>
      <c r="I50" s="2134"/>
      <c r="J50" s="3372" t="s">
        <v>1345</v>
      </c>
      <c r="K50" s="3372"/>
      <c r="L50" s="3372"/>
      <c r="M50" s="3372"/>
      <c r="N50" s="3372"/>
      <c r="O50" s="3372"/>
    </row>
    <row r="51" spans="1:35" ht="20.399999999999999" customHeight="1">
      <c r="A51" s="2337"/>
      <c r="B51" s="3289" t="s">
        <v>1346</v>
      </c>
      <c r="C51" s="3289"/>
      <c r="D51" s="1023"/>
      <c r="E51" s="318"/>
      <c r="F51" s="2231"/>
      <c r="G51" s="3361"/>
      <c r="H51" s="2135" t="s">
        <v>2136</v>
      </c>
      <c r="I51" s="2134"/>
      <c r="J51" s="2309" t="s">
        <v>1347</v>
      </c>
      <c r="K51" s="3353" t="s">
        <v>1348</v>
      </c>
      <c r="L51" s="3353"/>
      <c r="M51" s="2309" t="s">
        <v>1349</v>
      </c>
      <c r="N51" s="2309" t="s">
        <v>1350</v>
      </c>
      <c r="O51" s="2309" t="s">
        <v>1351</v>
      </c>
    </row>
    <row r="52" spans="1:35" ht="24" customHeight="1">
      <c r="A52" s="2152" t="s">
        <v>1352</v>
      </c>
      <c r="B52" s="3289" t="s">
        <v>1353</v>
      </c>
      <c r="C52" s="3289"/>
      <c r="D52" s="1023">
        <f ca="1">ROUND(D45*'数据-取费表'!B41/(1+'数据-取费表'!C42),0)</f>
        <v>10</v>
      </c>
      <c r="E52" s="1255" t="s">
        <v>1354</v>
      </c>
      <c r="F52" s="2338">
        <f>'数据-取费表'!B41</f>
        <v>5.5000000000000007E-2</v>
      </c>
      <c r="G52" s="2339"/>
      <c r="H52" s="2329"/>
      <c r="I52" s="1668"/>
      <c r="J52" s="2308">
        <v>1</v>
      </c>
      <c r="K52" s="3354" t="s">
        <v>1355</v>
      </c>
      <c r="L52" s="3354"/>
      <c r="M52" s="2310" t="b">
        <f>D48</f>
        <v>0</v>
      </c>
      <c r="N52" s="2308" t="str">
        <f>E48</f>
        <v>销售额×税（费）率</v>
      </c>
      <c r="O52" s="2311">
        <f>F48</f>
        <v>5.5000000000000007E-2</v>
      </c>
    </row>
    <row r="53" spans="1:35" ht="12" customHeight="1">
      <c r="A53" s="2152" t="s">
        <v>1356</v>
      </c>
      <c r="B53" s="3315" t="s">
        <v>2289</v>
      </c>
      <c r="C53" s="3316"/>
      <c r="D53" s="1023">
        <f ca="1">ROUND(D45*'数据-取费表'!B41/(1+'数据-取费表'!C42),0)</f>
        <v>10</v>
      </c>
      <c r="E53" s="1255" t="s">
        <v>1354</v>
      </c>
      <c r="F53" s="2338">
        <f>'数据-取费表'!B41</f>
        <v>5.5000000000000007E-2</v>
      </c>
      <c r="G53" s="2339"/>
      <c r="H53" s="2329"/>
      <c r="I53" s="1668"/>
      <c r="J53" s="2308">
        <v>2</v>
      </c>
      <c r="K53" s="3354" t="s">
        <v>1357</v>
      </c>
      <c r="L53" s="3354"/>
      <c r="M53" s="2310">
        <f t="shared" ref="M53:O54" ca="1" si="0">D55</f>
        <v>0</v>
      </c>
      <c r="N53" s="2308" t="str">
        <f t="shared" si="0"/>
        <v>销售额×税（费）率</v>
      </c>
      <c r="O53" s="2311" t="str">
        <f t="shared" si="0"/>
        <v>免征</v>
      </c>
    </row>
    <row r="54" spans="1:35" ht="12" customHeight="1">
      <c r="A54" s="2152" t="s">
        <v>1358</v>
      </c>
      <c r="B54" s="3315" t="s">
        <v>2290</v>
      </c>
      <c r="C54" s="3316"/>
      <c r="D54" s="1023">
        <f ca="1">C68</f>
        <v>10</v>
      </c>
      <c r="E54" s="318" t="s">
        <v>1359</v>
      </c>
      <c r="F54" s="2338">
        <f>'数据-取费表'!B41</f>
        <v>5.5000000000000007E-2</v>
      </c>
      <c r="G54" s="2339"/>
      <c r="H54" s="2340"/>
      <c r="I54" s="1668"/>
      <c r="J54" s="2308">
        <v>3</v>
      </c>
      <c r="K54" s="3354" t="s">
        <v>1360</v>
      </c>
      <c r="L54" s="3354"/>
      <c r="M54" s="2310">
        <f t="shared" ca="1" si="0"/>
        <v>108</v>
      </c>
      <c r="N54" s="2308" t="str">
        <f t="shared" si="0"/>
        <v>增值额×税（费）率</v>
      </c>
      <c r="O54" s="2312" t="str">
        <f t="shared" si="0"/>
        <v>免征</v>
      </c>
    </row>
    <row r="55" spans="1:35" ht="24" customHeight="1">
      <c r="A55" s="3304" t="s">
        <v>1361</v>
      </c>
      <c r="B55" s="3305"/>
      <c r="C55" s="3305"/>
      <c r="D55" s="12">
        <f ca="1">IF(H55="个人住宅",0,ROUND(D45*I55,0))</f>
        <v>0</v>
      </c>
      <c r="E55" s="1255" t="s">
        <v>1362</v>
      </c>
      <c r="F55" s="2338" t="str">
        <f>IF(H55="正常",I55,"免征")</f>
        <v>免征</v>
      </c>
      <c r="G55" s="2339"/>
      <c r="H55" s="2335"/>
      <c r="I55" s="156">
        <f>'数据-取费表'!B49</f>
        <v>5.0000000000000001E-4</v>
      </c>
      <c r="J55" s="2308">
        <f>IF(H59="非个人房产","",4)</f>
        <v>4</v>
      </c>
      <c r="K55" s="3354" t="str">
        <f>IF(H59="非个人房产","——","个人所得税")</f>
        <v>个人所得税</v>
      </c>
      <c r="L55" s="3354"/>
      <c r="M55" s="2313">
        <f ca="1">D59</f>
        <v>2</v>
      </c>
      <c r="N55" s="1882" t="str">
        <f>E59</f>
        <v>差额计税</v>
      </c>
      <c r="O55" s="2314">
        <f>F59</f>
        <v>0.01</v>
      </c>
    </row>
    <row r="56" spans="1:35" ht="25.2">
      <c r="A56" s="3304" t="s">
        <v>1363</v>
      </c>
      <c r="B56" s="3305"/>
      <c r="C56" s="3305"/>
      <c r="D56" s="12">
        <f ca="1">IF(H56="个人住宅",D57,D58)</f>
        <v>108</v>
      </c>
      <c r="E56" s="1255" t="s">
        <v>1364</v>
      </c>
      <c r="F56" s="2338" t="str">
        <f>IF(H56="正常",F58,"免征")</f>
        <v>免征</v>
      </c>
      <c r="G56" s="2341" t="s">
        <v>1365</v>
      </c>
      <c r="H56" s="2342"/>
      <c r="I56" s="1669"/>
      <c r="J56" s="2308" t="str">
        <f>IF(项目基本情况!K6="上海银行",IF(J55="",4,J55+1),"")</f>
        <v/>
      </c>
      <c r="K56" s="3377" t="str">
        <f>IF(项目基本情况!K6="上海银行","其他处置费用","")</f>
        <v/>
      </c>
      <c r="L56" s="3378"/>
      <c r="M56" s="2310" t="str">
        <f>IF(项目基本情况!K6="上海银行",M69,"")</f>
        <v/>
      </c>
      <c r="N56" s="3377" t="str">
        <f>IF(项目基本情况!K6="上海银行","包含处置中涉及的律师、诉讼、拍卖、评估等费用","")</f>
        <v/>
      </c>
      <c r="O56" s="3380"/>
    </row>
    <row r="57" spans="1:35" ht="13.2">
      <c r="A57" s="2152" t="s">
        <v>1341</v>
      </c>
      <c r="B57" s="3315" t="s">
        <v>1366</v>
      </c>
      <c r="C57" s="3316"/>
      <c r="D57" s="1477">
        <v>0</v>
      </c>
      <c r="E57" s="315" t="s">
        <v>1343</v>
      </c>
      <c r="F57" s="293"/>
      <c r="G57" s="2339"/>
      <c r="H57" s="2343"/>
      <c r="I57" s="1669"/>
      <c r="J57" s="3354">
        <f>IF(AND(J55="",J56=""),4,IF(项目基本情况!K6="上海银行",结果表1号!J56+1,结果表1号!J55+1))</f>
        <v>5</v>
      </c>
      <c r="K57" s="3354" t="s">
        <v>1367</v>
      </c>
      <c r="L57" s="2315" t="s">
        <v>1368</v>
      </c>
      <c r="M57" s="2316"/>
      <c r="N57" s="2317">
        <f ca="1">SUMIF(M52:M56,"&lt;9e307")</f>
        <v>110</v>
      </c>
      <c r="O57" s="2318"/>
      <c r="P57" s="2462" t="e">
        <f ca="1">N57/M49</f>
        <v>#VALUE!</v>
      </c>
    </row>
    <row r="58" spans="1:35" ht="25.2">
      <c r="A58" s="2152" t="s">
        <v>1352</v>
      </c>
      <c r="B58" s="3315" t="s">
        <v>1369</v>
      </c>
      <c r="C58" s="3289"/>
      <c r="D58" s="12">
        <f ca="1">IF(H58="转让取得",C81,C97)</f>
        <v>108</v>
      </c>
      <c r="E58" s="1255" t="s">
        <v>1364</v>
      </c>
      <c r="F58" s="293" t="s">
        <v>28</v>
      </c>
      <c r="G58" s="2339"/>
      <c r="H58" s="2342"/>
      <c r="I58" s="1669"/>
      <c r="J58" s="3354"/>
      <c r="K58" s="3354"/>
      <c r="L58" s="2315" t="s">
        <v>1370</v>
      </c>
      <c r="M58" s="2319"/>
      <c r="N58" s="2320" t="str">
        <f ca="1">NUMBERSTRING(INT(N57*10000),2)&amp;"元整"</f>
        <v>壹佰壹拾万元整</v>
      </c>
      <c r="O58" s="2321"/>
    </row>
    <row r="59" spans="1:35" ht="24.6" thickBot="1">
      <c r="A59" s="3357" t="s">
        <v>1371</v>
      </c>
      <c r="B59" s="3358"/>
      <c r="C59" s="3358"/>
      <c r="D59" s="2344">
        <f ca="1">IF(H59="非个人房产","——",IF(H59="个人住宅（满五唯一有凭证）",0,IF(H59="个人其他（无凭证）",ROUND(D45*F59,0),ROUND(C67*F59,0))))</f>
        <v>2</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355">
        <f>J57+1</f>
        <v>6</v>
      </c>
      <c r="K59" s="3354" t="s">
        <v>1372</v>
      </c>
      <c r="L59" s="2308" t="s">
        <v>1368</v>
      </c>
      <c r="M59" s="2322"/>
      <c r="N59" s="2323" t="e">
        <f ca="1">M49-N57</f>
        <v>#VALUE!</v>
      </c>
      <c r="O59" s="2324"/>
    </row>
    <row r="60" spans="1:35" ht="12" customHeight="1">
      <c r="A60" s="1670"/>
      <c r="B60" s="645"/>
      <c r="C60" s="645"/>
      <c r="D60" s="645"/>
      <c r="E60" s="1465"/>
      <c r="F60" s="1669"/>
      <c r="G60" s="1669"/>
      <c r="H60" s="150"/>
      <c r="I60" s="120"/>
      <c r="J60" s="3356"/>
      <c r="K60" s="3354"/>
      <c r="L60" s="2315" t="s">
        <v>1370</v>
      </c>
      <c r="M60" s="2319"/>
      <c r="N60" s="2320" t="e">
        <f ca="1">NUMBERSTRING(INT(N59*10000),2)&amp;"元整"</f>
        <v>#VALUE!</v>
      </c>
      <c r="O60" s="2321"/>
    </row>
    <row r="61" spans="1:35" ht="13.8" thickBot="1">
      <c r="A61" s="3302" t="s">
        <v>1373</v>
      </c>
      <c r="B61" s="3302"/>
      <c r="C61" s="3302"/>
      <c r="D61" s="3302"/>
      <c r="E61" s="3302"/>
      <c r="F61" s="1669"/>
      <c r="G61" s="1669"/>
      <c r="H61" s="150"/>
      <c r="I61" s="120"/>
      <c r="J61" s="2308">
        <f>J59+1</f>
        <v>7</v>
      </c>
      <c r="K61" s="3354" t="s">
        <v>1374</v>
      </c>
      <c r="L61" s="3354"/>
      <c r="M61" s="2325"/>
      <c r="N61" s="2326" t="e">
        <f ca="1">ROUND(N59*10000/'数据-汇总表'!E3,0)</f>
        <v>#VALUE!</v>
      </c>
      <c r="O61" s="2327"/>
    </row>
    <row r="62" spans="1:35" ht="13.2">
      <c r="A62" s="3320" t="s">
        <v>1375</v>
      </c>
      <c r="B62" s="3321"/>
      <c r="C62" s="1864"/>
      <c r="D62" s="1864" t="s">
        <v>1376</v>
      </c>
      <c r="E62" s="157" t="s">
        <v>1377</v>
      </c>
      <c r="F62" s="1669"/>
      <c r="G62" s="1669"/>
      <c r="H62" s="150"/>
      <c r="I62" s="120"/>
    </row>
    <row r="63" spans="1:35" ht="13.2">
      <c r="A63" s="164" t="s">
        <v>330</v>
      </c>
      <c r="B63" s="158" t="s">
        <v>1378</v>
      </c>
      <c r="C63" s="2348">
        <f ca="1">ROUND((C64+C65)/(1+'数据-取费表'!C42),0)</f>
        <v>181</v>
      </c>
      <c r="D63" s="158"/>
      <c r="E63" s="159"/>
      <c r="F63" s="1669"/>
      <c r="G63" s="1669"/>
      <c r="H63" s="150"/>
      <c r="I63" s="120"/>
      <c r="J63" s="3379" t="s">
        <v>1379</v>
      </c>
      <c r="K63" s="1244" t="s">
        <v>1380</v>
      </c>
      <c r="L63" s="1244" t="e">
        <f>IF(M49&gt;10000,M49*0.5%,IF(AND(M49&gt;1000,M49&lt;=10000),M49*1%,IF(AND(M49&gt;100,M49&lt;=1000),M49*3%,IF(AND(M49&gt;10,M49&lt;=100),M49*5%,M49*8%))))</f>
        <v>#VALUE!</v>
      </c>
      <c r="M63" s="293" t="e">
        <f>ROUND(L63,1)</f>
        <v>#VALUE!</v>
      </c>
      <c r="N63" s="2328"/>
      <c r="Z63" s="1622"/>
      <c r="AI63" s="1560"/>
    </row>
    <row r="64" spans="1:35" ht="14.25" customHeight="1">
      <c r="A64" s="160" t="s">
        <v>325</v>
      </c>
      <c r="B64" s="161" t="s">
        <v>1381</v>
      </c>
      <c r="C64" s="2349">
        <f ca="1">D45</f>
        <v>190</v>
      </c>
      <c r="D64" s="161" t="s">
        <v>26</v>
      </c>
      <c r="E64" s="163"/>
      <c r="F64" s="1669"/>
      <c r="G64" s="1669"/>
      <c r="H64" s="150"/>
      <c r="I64" s="120"/>
      <c r="J64" s="3379"/>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3" t="e">
        <f t="shared" ref="M64:M65" si="1">ROUND(L64,1)</f>
        <v>#VALUE!</v>
      </c>
      <c r="N64" s="2329" t="s">
        <v>1383</v>
      </c>
      <c r="Z64" s="1622"/>
      <c r="AI64" s="1560"/>
    </row>
    <row r="65" spans="1:35" ht="14.25" customHeight="1">
      <c r="A65" s="160" t="s">
        <v>326</v>
      </c>
      <c r="B65" s="161" t="s">
        <v>1384</v>
      </c>
      <c r="C65" s="2350"/>
      <c r="D65" s="161"/>
      <c r="E65" s="163"/>
      <c r="F65" s="1669"/>
      <c r="G65" s="1669"/>
      <c r="H65" s="150"/>
      <c r="I65" s="120"/>
      <c r="J65" s="3379"/>
      <c r="K65" s="1244" t="s">
        <v>1385</v>
      </c>
      <c r="L65" s="1244" t="e">
        <f>IF(M49&gt;1000,M49*0.1%,IF(AND(M49&gt;500,M49&lt;=1000),M49*0.5%,IF(AND(M49&gt;50,M49&lt;=500),M49*1%,IF(AND(M49&gt;1,M49&lt;=50),M49*1.5%))))</f>
        <v>#VALUE!</v>
      </c>
      <c r="M65" s="293" t="e">
        <f t="shared" si="1"/>
        <v>#VALUE!</v>
      </c>
      <c r="N65" s="2329" t="s">
        <v>1383</v>
      </c>
      <c r="Z65" s="1622"/>
      <c r="AI65" s="1560"/>
    </row>
    <row r="66" spans="1:35" ht="14.25" customHeight="1">
      <c r="A66" s="164" t="s">
        <v>327</v>
      </c>
      <c r="B66" s="165" t="s">
        <v>1386</v>
      </c>
      <c r="C66" s="2351"/>
      <c r="D66" s="165" t="s">
        <v>26</v>
      </c>
      <c r="E66" s="1250" t="s">
        <v>671</v>
      </c>
      <c r="F66" s="1669"/>
      <c r="G66" s="1669"/>
      <c r="H66" s="150"/>
      <c r="I66" s="120"/>
      <c r="J66" s="3379"/>
      <c r="K66" s="1244" t="s">
        <v>1387</v>
      </c>
      <c r="L66" s="1244" t="e">
        <f>M49*0.5%</f>
        <v>#VALUE!</v>
      </c>
      <c r="M66" s="293" t="e">
        <f>IF(L66&gt;0.5,0.5,ROUND(L66,0))</f>
        <v>#VALUE!</v>
      </c>
      <c r="N66" s="2329" t="s">
        <v>1388</v>
      </c>
      <c r="Z66" s="1622"/>
      <c r="AI66" s="1560"/>
    </row>
    <row r="67" spans="1:35" ht="14.25" customHeight="1">
      <c r="A67" s="164" t="s">
        <v>328</v>
      </c>
      <c r="B67" s="165" t="s">
        <v>1389</v>
      </c>
      <c r="C67" s="2352">
        <f ca="1">C63-C66</f>
        <v>181</v>
      </c>
      <c r="D67" s="161" t="s">
        <v>26</v>
      </c>
      <c r="E67" s="163"/>
      <c r="F67" s="1669"/>
      <c r="G67" s="1669"/>
      <c r="H67" s="150"/>
      <c r="I67" s="120"/>
      <c r="J67" s="3379"/>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28"/>
      <c r="Z67" s="1622"/>
      <c r="AI67" s="1560"/>
    </row>
    <row r="68" spans="1:35" ht="14.25" customHeight="1" thickBot="1">
      <c r="A68" s="167" t="s">
        <v>329</v>
      </c>
      <c r="B68" s="168" t="s">
        <v>1391</v>
      </c>
      <c r="C68" s="2353">
        <f ca="1">IF(C67&lt;=0,0,ROUND(C67*D68,0))</f>
        <v>10</v>
      </c>
      <c r="D68" s="2354">
        <f>'数据-取费表'!B41</f>
        <v>5.5000000000000007E-2</v>
      </c>
      <c r="E68" s="169"/>
      <c r="F68" s="1669"/>
      <c r="G68" s="1669"/>
      <c r="H68" s="150"/>
      <c r="I68" s="120"/>
      <c r="J68" s="3379"/>
      <c r="K68" s="1244" t="s">
        <v>1392</v>
      </c>
      <c r="L68" s="1244" t="e">
        <f>IF(M49&gt;10000,M49*0.5%,IF(AND(M49&gt;5000,M49&lt;=10000),M49*1%,IF(AND(M49&gt;1000,M49&lt;=5000),M49*2%,IF(AND(M49&gt;200,M49&lt;=1000),M49*3%,M49*5%))))</f>
        <v>#VALUE!</v>
      </c>
      <c r="M68" s="293" t="e">
        <f>ROUND(L68,1)</f>
        <v>#VALUE!</v>
      </c>
      <c r="N68" s="2328"/>
      <c r="Z68" s="1622"/>
      <c r="AI68" s="1560"/>
    </row>
    <row r="69" spans="1:35" ht="16.5" customHeight="1">
      <c r="A69" s="1671"/>
      <c r="B69" s="1672"/>
      <c r="C69" s="1673"/>
      <c r="D69" s="1674"/>
      <c r="E69" s="1675"/>
      <c r="F69" s="1465"/>
      <c r="G69" s="1465"/>
      <c r="H69" s="1466"/>
      <c r="I69" s="645"/>
      <c r="J69" s="3379"/>
      <c r="K69" s="1244" t="s">
        <v>1393</v>
      </c>
      <c r="L69" s="1244"/>
      <c r="M69" s="293" t="e">
        <f>ROUND(SUM(M63:M68),0)</f>
        <v>#VALUE!</v>
      </c>
      <c r="N69" s="2330" t="e">
        <f>M69/M49</f>
        <v>#VALUE!</v>
      </c>
      <c r="Z69" s="1622"/>
      <c r="AI69" s="1560"/>
    </row>
    <row r="70" spans="1:35" s="641" customFormat="1" ht="14.4" thickBot="1">
      <c r="A70" s="3341" t="s">
        <v>1394</v>
      </c>
      <c r="B70" s="3342"/>
      <c r="C70" s="3342"/>
      <c r="D70" s="3342"/>
      <c r="E70" s="3342"/>
      <c r="F70" s="3342"/>
      <c r="G70" s="3342"/>
      <c r="H70" s="3342"/>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3.8">
      <c r="A71" s="3320" t="s">
        <v>1375</v>
      </c>
      <c r="B71" s="3321"/>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3.8">
      <c r="A72" s="164" t="s">
        <v>330</v>
      </c>
      <c r="B72" s="165" t="s">
        <v>1395</v>
      </c>
      <c r="C72" s="2352">
        <f ca="1">ROUND(D45/(1+'数据-取费表'!C42),0)</f>
        <v>181</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3.8">
      <c r="A73" s="164" t="s">
        <v>327</v>
      </c>
      <c r="B73" s="154" t="s">
        <v>1396</v>
      </c>
      <c r="C73" s="2352">
        <f ca="1">C74+C78</f>
        <v>1</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28.8">
      <c r="A75" s="160" t="s">
        <v>331</v>
      </c>
      <c r="B75" s="161" t="s">
        <v>1398</v>
      </c>
      <c r="C75" s="2355"/>
      <c r="D75" s="161" t="s">
        <v>26</v>
      </c>
      <c r="E75" s="175" t="s">
        <v>1399</v>
      </c>
      <c r="F75" s="2356"/>
      <c r="G75" s="175" t="s">
        <v>1400</v>
      </c>
      <c r="H75" s="2357"/>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8">
        <v>0.05</v>
      </c>
      <c r="E76" s="3315" t="s">
        <v>1402</v>
      </c>
      <c r="F76" s="3289"/>
      <c r="G76" s="3289"/>
      <c r="H76" s="3340"/>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59">
        <f>'数据-取费表'!B48+'数据-取费表'!B49</f>
        <v>3.0499999999999999E-2</v>
      </c>
      <c r="E77" s="12"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60">
        <f ca="1">ROUND(D45*D78/(1+'数据-取费表'!C42),0)</f>
        <v>1</v>
      </c>
      <c r="D78" s="2361">
        <f>'数据-取费表'!B43</f>
        <v>5.000000000000001E-3</v>
      </c>
      <c r="E78" s="3299" t="s">
        <v>1406</v>
      </c>
      <c r="F78" s="3300"/>
      <c r="G78" s="3300"/>
      <c r="H78" s="3309"/>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3.8">
      <c r="A79" s="164" t="s">
        <v>334</v>
      </c>
      <c r="B79" s="165" t="s">
        <v>1407</v>
      </c>
      <c r="C79" s="2352">
        <f ca="1">C72-C73</f>
        <v>180</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2">
        <f ca="1">IF(C79&lt;=0,0,C79/C73)</f>
        <v>180</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6" thickBot="1">
      <c r="A81" s="167" t="s">
        <v>336</v>
      </c>
      <c r="B81" s="168" t="s">
        <v>1409</v>
      </c>
      <c r="C81" s="2363">
        <f ca="1">ROUND(IF(C79&lt;=0,0,IF(C80&gt;=200%,C79*60%-C73*35%,IF(C80&gt;=100%,C79*50%-C73*15%,IF(C80&gt;=50%,C79*40%-C73*5%,IF(C80&lt;50%,C79*30%,0))))),0)</f>
        <v>108</v>
      </c>
      <c r="D81" s="2364"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4.4" thickBot="1">
      <c r="A83" s="3341" t="s">
        <v>1410</v>
      </c>
      <c r="B83" s="3342"/>
      <c r="C83" s="3342"/>
      <c r="D83" s="3342"/>
      <c r="E83" s="3342"/>
      <c r="F83" s="3342"/>
      <c r="G83" s="3342"/>
      <c r="H83" s="3342"/>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3.8">
      <c r="A84" s="3320" t="s">
        <v>1375</v>
      </c>
      <c r="B84" s="3321"/>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3.8">
      <c r="A85" s="164" t="s">
        <v>330</v>
      </c>
      <c r="B85" s="165" t="s">
        <v>1395</v>
      </c>
      <c r="C85" s="2352">
        <f ca="1">ROUND(D45/(1+'数据-取费表'!C42),0)</f>
        <v>181</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3.8">
      <c r="A86" s="164" t="s">
        <v>327</v>
      </c>
      <c r="B86" s="154" t="s">
        <v>1396</v>
      </c>
      <c r="C86" s="2352">
        <f ca="1">IF(H88="仅含出让金",C87+C90+C91+C92+C93+C94,C87+C91+C92+C93+C94)</f>
        <v>1</v>
      </c>
      <c r="D86" s="2365"/>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3.8">
      <c r="A87" s="160" t="s">
        <v>325</v>
      </c>
      <c r="B87" s="161" t="s">
        <v>1411</v>
      </c>
      <c r="C87" s="2360">
        <f>C88+C89</f>
        <v>0</v>
      </c>
      <c r="D87" s="2361"/>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4">
      <c r="A88" s="160" t="s">
        <v>331</v>
      </c>
      <c r="B88" s="161" t="s">
        <v>1412</v>
      </c>
      <c r="C88" s="2366"/>
      <c r="D88" s="2361"/>
      <c r="E88" s="184" t="s">
        <v>1413</v>
      </c>
      <c r="F88" s="2147"/>
      <c r="G88" s="185" t="s">
        <v>1414</v>
      </c>
      <c r="H88" s="1683"/>
      <c r="I88" s="1680"/>
      <c r="J88" s="2306" t="s">
        <v>2286</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3.8">
      <c r="A89" s="160" t="s">
        <v>332</v>
      </c>
      <c r="B89" s="161" t="s">
        <v>1403</v>
      </c>
      <c r="C89" s="2360">
        <f>ROUND(C88*D89,0)</f>
        <v>0</v>
      </c>
      <c r="D89" s="2361">
        <f>'数据-取费表'!B48+'数据-取费表'!B49</f>
        <v>3.0499999999999999E-2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4">
      <c r="A90" s="160" t="s">
        <v>326</v>
      </c>
      <c r="B90" s="161" t="s">
        <v>1416</v>
      </c>
      <c r="C90" s="2366"/>
      <c r="D90" s="2361"/>
      <c r="E90" s="184" t="str">
        <f>IF(H88="-","土地取得成本中已包含该笔费用"," ")</f>
        <v xml:space="preserve"> </v>
      </c>
      <c r="F90" s="2147"/>
      <c r="G90" s="3381" t="s">
        <v>2129</v>
      </c>
      <c r="H90" s="3382"/>
      <c r="I90" s="1680"/>
      <c r="J90" s="2306" t="s">
        <v>2287</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60">
        <f>IF(H91="——",成本法!C33,I91)</f>
        <v>0</v>
      </c>
      <c r="D91" s="2361"/>
      <c r="E91" s="3299" t="s">
        <v>1419</v>
      </c>
      <c r="F91" s="3300"/>
      <c r="G91" s="3300"/>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60">
        <f>ROUND((C87+C90+C91)*D92,0)</f>
        <v>0</v>
      </c>
      <c r="D92" s="2367"/>
      <c r="E92" s="3299" t="s">
        <v>1422</v>
      </c>
      <c r="F92" s="3300"/>
      <c r="G92" s="3300"/>
      <c r="H92" s="3309"/>
      <c r="I92" s="1680"/>
      <c r="J92" s="2307" t="s">
        <v>2288</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60">
        <f ca="1">ROUND(D45*D93/(1+'数据-取费表'!C42),0)</f>
        <v>1</v>
      </c>
      <c r="D93" s="2361">
        <f>'数据-取费表'!B43</f>
        <v>5.000000000000001E-3</v>
      </c>
      <c r="E93" s="3299" t="s">
        <v>1406</v>
      </c>
      <c r="F93" s="3300"/>
      <c r="G93" s="3300"/>
      <c r="H93" s="3309"/>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6">
        <f>ROUND((C87+C90+C91)*D94,0)</f>
        <v>0</v>
      </c>
      <c r="D94" s="2361">
        <v>0.2</v>
      </c>
      <c r="E94" s="3310" t="s">
        <v>1426</v>
      </c>
      <c r="F94" s="3311"/>
      <c r="G94" s="3311"/>
      <c r="H94" s="3312"/>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3.8">
      <c r="A95" s="164" t="s">
        <v>334</v>
      </c>
      <c r="B95" s="165" t="s">
        <v>1407</v>
      </c>
      <c r="C95" s="2352">
        <f ca="1">ROUND(C85-C86,0)</f>
        <v>180</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2">
        <f ca="1">IF(C95&lt;=0,0,C95/C86)</f>
        <v>180</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6" thickBot="1">
      <c r="A97" s="167" t="s">
        <v>336</v>
      </c>
      <c r="B97" s="168" t="s">
        <v>1409</v>
      </c>
      <c r="C97" s="2363">
        <f ca="1">ROUND(IF(C95&lt;=0,0,IF(C96&gt;=200%,C95*60%-C86*35%,IF(C96&gt;=100%,C95*50%-C86*15%,IF(C96&gt;=50%,C95*40%-C86*5%,IF(C96&lt;50%,C95*30%,0))))),0)</f>
        <v>108</v>
      </c>
      <c r="D97" s="2364"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73" t="s">
        <v>1428</v>
      </c>
      <c r="B100" s="3274"/>
      <c r="C100" s="3274"/>
      <c r="D100" s="3301"/>
      <c r="E100" s="3274" t="s">
        <v>1429</v>
      </c>
      <c r="F100" s="3274"/>
      <c r="G100" s="3274"/>
      <c r="H100" s="3301"/>
      <c r="I100" s="120"/>
    </row>
    <row r="101" spans="1:35" ht="18.75" customHeight="1">
      <c r="A101" s="3362" t="s">
        <v>1430</v>
      </c>
      <c r="B101" s="3363"/>
      <c r="C101" s="2369" t="str">
        <f>C4</f>
        <v>比较法-商业1号</v>
      </c>
      <c r="D101" s="2370" t="str">
        <f>D4</f>
        <v>收益法 (元)1号</v>
      </c>
      <c r="E101" s="3376" t="s">
        <v>1431</v>
      </c>
      <c r="F101" s="3333"/>
      <c r="G101" s="1686" t="s">
        <v>1432</v>
      </c>
      <c r="H101" s="2379">
        <f ca="1">H118</f>
        <v>189.83150000000001</v>
      </c>
      <c r="I101" s="120"/>
    </row>
    <row r="102" spans="1:35" ht="18.75" customHeight="1">
      <c r="A102" s="3335" t="s">
        <v>1433</v>
      </c>
      <c r="B102" s="2368" t="s">
        <v>1432</v>
      </c>
      <c r="C102" s="3530">
        <f ca="1">IF(D32="楼面单价",ROUND(C19,4),C19)</f>
        <v>253.27019999999999</v>
      </c>
      <c r="D102" s="3531">
        <f ca="1">IF(D32="楼面单价",ROUND(D19,4),D19)</f>
        <v>94.671499999999995</v>
      </c>
      <c r="E102" s="3376"/>
      <c r="F102" s="3333"/>
      <c r="G102" s="1686" t="s">
        <v>1434</v>
      </c>
      <c r="H102" s="2339">
        <f ca="1">I118</f>
        <v>12143</v>
      </c>
      <c r="I102" s="120"/>
    </row>
    <row r="103" spans="1:35" ht="42.75" customHeight="1">
      <c r="A103" s="3335"/>
      <c r="B103" s="2368" t="s">
        <v>1434</v>
      </c>
      <c r="C103" s="2371">
        <f ca="1">C20</f>
        <v>16201</v>
      </c>
      <c r="D103" s="2372">
        <f ca="1">D20</f>
        <v>6056</v>
      </c>
      <c r="E103" s="3370" t="s">
        <v>1435</v>
      </c>
      <c r="F103" s="3371"/>
      <c r="G103" s="1687" t="s">
        <v>1436</v>
      </c>
      <c r="H103" s="2379">
        <f>IF(D36="正常操作",H104+H105+H106,H105+H106)</f>
        <v>0</v>
      </c>
      <c r="I103" s="120"/>
    </row>
    <row r="104" spans="1:35" ht="18.75" customHeight="1">
      <c r="A104" s="3335" t="s">
        <v>1437</v>
      </c>
      <c r="B104" s="2373" t="s">
        <v>1432</v>
      </c>
      <c r="C104" s="2374">
        <f ca="1">H118</f>
        <v>189.83150000000001</v>
      </c>
      <c r="D104" s="2375"/>
      <c r="E104" s="1554" t="s">
        <v>1438</v>
      </c>
      <c r="F104" s="1547"/>
      <c r="G104" s="1687" t="s">
        <v>1436</v>
      </c>
      <c r="H104" s="2380">
        <f>IF(D36="同一抵押权人同一抵押物续贷",C36&amp;"（续贷，未扣减，详见特别提示）",C36)</f>
        <v>0</v>
      </c>
      <c r="I104" s="120"/>
    </row>
    <row r="105" spans="1:35" ht="18.75" customHeight="1" thickBot="1">
      <c r="A105" s="3336"/>
      <c r="B105" s="2376" t="s">
        <v>1434</v>
      </c>
      <c r="C105" s="2377">
        <f ca="1">I118</f>
        <v>12143</v>
      </c>
      <c r="D105" s="2378"/>
      <c r="E105" s="1554" t="s">
        <v>1439</v>
      </c>
      <c r="F105" s="1547"/>
      <c r="G105" s="1687" t="s">
        <v>1436</v>
      </c>
      <c r="H105" s="2381">
        <f>C37</f>
        <v>0</v>
      </c>
      <c r="I105" s="120"/>
    </row>
    <row r="106" spans="1:35" ht="18.75" customHeight="1">
      <c r="A106" s="645" t="s">
        <v>1440</v>
      </c>
      <c r="B106" s="645"/>
      <c r="C106" s="645"/>
      <c r="D106" s="645"/>
      <c r="E106" s="1688" t="s">
        <v>1441</v>
      </c>
      <c r="F106" s="1547"/>
      <c r="G106" s="1687" t="s">
        <v>1436</v>
      </c>
      <c r="H106" s="2381">
        <f>C38</f>
        <v>0</v>
      </c>
      <c r="I106" s="120"/>
    </row>
    <row r="107" spans="1:35" ht="18.75" customHeight="1">
      <c r="A107" s="120"/>
      <c r="B107" s="120"/>
      <c r="C107" s="120"/>
      <c r="D107" s="120"/>
      <c r="E107" s="3332" t="str">
        <f>IF(项目基本情况!E8="已注销","——","3.房地产抵押价值")</f>
        <v>3.房地产抵押价值</v>
      </c>
      <c r="F107" s="3333"/>
      <c r="G107" s="1686" t="s">
        <v>1432</v>
      </c>
      <c r="H107" s="2379">
        <f ca="1">IF(E107="——","——",H101-H103)</f>
        <v>189.83150000000001</v>
      </c>
      <c r="I107" s="120"/>
    </row>
    <row r="108" spans="1:35" ht="18.75" customHeight="1">
      <c r="A108" s="120"/>
      <c r="B108" s="120"/>
      <c r="C108" s="120"/>
      <c r="D108" s="120"/>
      <c r="E108" s="3332"/>
      <c r="F108" s="3333"/>
      <c r="G108" s="1686" t="s">
        <v>1434</v>
      </c>
      <c r="H108" s="2339">
        <f ca="1">IF(H107=H101,H102,ROUND(H107*10000/'数据-汇总表'!E3,0))</f>
        <v>12143</v>
      </c>
      <c r="I108" s="120"/>
    </row>
    <row r="109" spans="1:35" ht="18.75" customHeight="1">
      <c r="A109" s="120"/>
      <c r="B109" s="120"/>
      <c r="C109" s="120"/>
      <c r="D109" s="120"/>
      <c r="E109" s="3332" t="str">
        <f>IF(项目基本情况!E8="已注销及未注销","4.抵押担保权已注销时的房地产抵押价值",IF(项目基本情况!E8="已注销","3.抵押担保权已注销时的房地产抵押价值","——"))</f>
        <v>——</v>
      </c>
      <c r="F109" s="3333"/>
      <c r="G109" s="1686" t="s">
        <v>1432</v>
      </c>
      <c r="H109" s="2382" t="str">
        <f>IF(E109="——","——",H101-H105-H106)</f>
        <v>——</v>
      </c>
      <c r="I109" s="120"/>
    </row>
    <row r="110" spans="1:35" ht="18.75" customHeight="1">
      <c r="A110" s="120"/>
      <c r="B110" s="120"/>
      <c r="C110" s="120"/>
      <c r="D110" s="120"/>
      <c r="E110" s="3332"/>
      <c r="F110" s="3333"/>
      <c r="G110" s="1686" t="s">
        <v>1434</v>
      </c>
      <c r="H110" s="2339" t="str">
        <f>IF(H109="——","——",ROUND(H109*10000/'数据-汇总表'!E3,0))</f>
        <v>——</v>
      </c>
      <c r="I110" s="120"/>
    </row>
    <row r="111" spans="1:35" ht="18.75" customHeight="1">
      <c r="A111" s="120"/>
      <c r="B111" s="120"/>
      <c r="C111" s="120"/>
      <c r="D111" s="120"/>
      <c r="E111" s="3364" t="str">
        <f>IF(项目基本情况!E9="抵押净值",IF(OR(项目基本情况!E8="已注销",项目基本情况!E8="房地产抵押价值"),"4.抵押净值","5.抵押净值"),"——")</f>
        <v>——</v>
      </c>
      <c r="F111" s="3334"/>
      <c r="G111" s="1686" t="s">
        <v>1432</v>
      </c>
      <c r="H111" s="2379" t="str">
        <f>IF(E111="——","——",N59)</f>
        <v>——</v>
      </c>
      <c r="I111" s="120"/>
    </row>
    <row r="112" spans="1:35" ht="18.75" customHeight="1" thickBot="1">
      <c r="A112" s="120"/>
      <c r="B112" s="120"/>
      <c r="C112" s="120"/>
      <c r="D112" s="120"/>
      <c r="E112" s="3365"/>
      <c r="F112" s="3366"/>
      <c r="G112" s="1689" t="s">
        <v>1434</v>
      </c>
      <c r="H112" s="2383" t="str">
        <f>IF(E111="——","——",N61)</f>
        <v>——</v>
      </c>
      <c r="I112" s="120"/>
    </row>
    <row r="113" spans="1:27" ht="18.75" customHeight="1">
      <c r="A113" s="120"/>
      <c r="B113" s="120"/>
      <c r="C113" s="120"/>
      <c r="D113" s="120"/>
      <c r="E113" s="3337" t="s">
        <v>1440</v>
      </c>
      <c r="F113" s="3337"/>
      <c r="G113" s="3337"/>
      <c r="H113" s="3337"/>
      <c r="I113" s="120"/>
    </row>
    <row r="114" spans="1:27" ht="3.75" customHeight="1">
      <c r="A114" s="645"/>
      <c r="B114" s="645"/>
      <c r="C114" s="645"/>
      <c r="D114" s="645"/>
      <c r="E114" s="1670"/>
      <c r="F114" s="1670"/>
      <c r="G114" s="1670"/>
      <c r="H114" s="1670"/>
      <c r="I114" s="645"/>
    </row>
    <row r="115" spans="1:27" ht="18.75" customHeight="1">
      <c r="A115" s="3347" t="s">
        <v>1442</v>
      </c>
      <c r="B115" s="3348"/>
      <c r="C115" s="3348"/>
      <c r="D115" s="3348"/>
      <c r="E115" s="3348"/>
      <c r="F115" s="3348"/>
      <c r="G115" s="3348"/>
      <c r="H115" s="3348"/>
      <c r="I115" s="3349"/>
    </row>
    <row r="116" spans="1:27" ht="27" customHeight="1">
      <c r="A116" s="3303" t="s">
        <v>1443</v>
      </c>
      <c r="B116" s="3338" t="s">
        <v>1444</v>
      </c>
      <c r="C116" s="3338" t="s">
        <v>1445</v>
      </c>
      <c r="D116" s="3351" t="s">
        <v>1446</v>
      </c>
      <c r="E116" s="3352"/>
      <c r="F116" s="3346" t="s">
        <v>1447</v>
      </c>
      <c r="G116" s="3346"/>
      <c r="H116" s="3303" t="s">
        <v>1448</v>
      </c>
      <c r="I116" s="3303"/>
    </row>
    <row r="117" spans="1:27" ht="18.75" customHeight="1">
      <c r="A117" s="3303"/>
      <c r="B117" s="3339"/>
      <c r="C117" s="3339"/>
      <c r="D117" s="2149" t="s">
        <v>1449</v>
      </c>
      <c r="E117" s="2149" t="s">
        <v>1450</v>
      </c>
      <c r="F117" s="2149" t="s">
        <v>1449</v>
      </c>
      <c r="G117" s="2149" t="s">
        <v>1451</v>
      </c>
      <c r="H117" s="2149" t="s">
        <v>1449</v>
      </c>
      <c r="I117" s="2149" t="s">
        <v>1451</v>
      </c>
    </row>
    <row r="118" spans="1:27" ht="24.75" customHeight="1">
      <c r="A118" s="2384" t="str">
        <f>项目基本情况!S2</f>
        <v>北京市延庆县燕水佳园14号楼1至2层1号、2号房地产</v>
      </c>
      <c r="B118" s="2149">
        <f>M18</f>
        <v>156.33000000000001</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3529">
        <f ca="1">ROUND(IF(D32="总价",C32,I118*B118/10000),4)</f>
        <v>189.83150000000001</v>
      </c>
      <c r="I118" s="2149">
        <f ca="1">ROUND(IF(D32="楼面单价",C32,H118*10000/B118),0)</f>
        <v>12143</v>
      </c>
    </row>
    <row r="119" spans="1:27" ht="18.75" customHeight="1">
      <c r="A119" s="3303" t="s">
        <v>1452</v>
      </c>
      <c r="B119" s="3303"/>
      <c r="C119" s="3303"/>
      <c r="D119" s="3343" t="str">
        <f>NUMBERSTRING(INT(D118*10000),2)&amp;"元整"</f>
        <v>零元整</v>
      </c>
      <c r="E119" s="3345"/>
      <c r="F119" s="3343" t="str">
        <f>NUMBERSTRING(INT(F118*10000),2)&amp;"元整"</f>
        <v>零元整</v>
      </c>
      <c r="G119" s="3345"/>
      <c r="H119" s="3343" t="str">
        <f ca="1">NUMBERSTRING(INT(H118*10000),2)&amp;"元整"</f>
        <v>壹佰捌拾玖万捌仟叁佰壹拾伍元整</v>
      </c>
      <c r="I119" s="3345"/>
    </row>
    <row r="120" spans="1:27" ht="18.75" customHeight="1">
      <c r="A120" s="3367" t="str">
        <f>IF(项目基本情况!B9="房地产市场价值","",MID(E103,3,LEN(E103)-2))</f>
        <v>估价师知悉的法定优先受偿款</v>
      </c>
      <c r="B120" s="3368"/>
      <c r="C120" s="3369"/>
      <c r="D120" s="3367">
        <f>H103</f>
        <v>0</v>
      </c>
      <c r="E120" s="3368"/>
      <c r="F120" s="3368"/>
      <c r="G120" s="3368"/>
      <c r="H120" s="3368"/>
      <c r="I120" s="3369"/>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43" t="s">
        <v>1452</v>
      </c>
      <c r="B121" s="3344"/>
      <c r="C121" s="3345"/>
      <c r="D121" s="3343" t="str">
        <f>IF(D120=0,"零元整",NUMBERSTRING(INT(D120*10000),2)&amp;"元整")</f>
        <v>零元整</v>
      </c>
      <c r="E121" s="3344"/>
      <c r="F121" s="3344"/>
      <c r="G121" s="3344"/>
      <c r="H121" s="3344"/>
      <c r="I121" s="3345"/>
      <c r="AA121" s="683"/>
    </row>
    <row r="122" spans="1:27" ht="18.75" customHeight="1">
      <c r="A122" s="3334" t="str">
        <f>IF(项目基本情况!B9="房地产市场价值","",MID(E107,3,LEN(E107)-2))</f>
        <v>房地产抵押价值</v>
      </c>
      <c r="B122" s="3334"/>
      <c r="C122" s="3334"/>
      <c r="D122" s="3367">
        <f ca="1">H107</f>
        <v>189.83150000000001</v>
      </c>
      <c r="E122" s="3368"/>
      <c r="F122" s="3368"/>
      <c r="G122" s="3368"/>
      <c r="H122" s="3368"/>
      <c r="I122" s="3369"/>
      <c r="AA122" s="683"/>
    </row>
    <row r="123" spans="1:27" ht="18.75" customHeight="1">
      <c r="A123" s="3303" t="s">
        <v>1452</v>
      </c>
      <c r="B123" s="3303"/>
      <c r="C123" s="3303"/>
      <c r="D123" s="3343" t="str">
        <f ca="1">NUMBERSTRING(INT(D122*10000),2)&amp;"元整"</f>
        <v>壹佰捌拾玖万捌仟叁佰壹拾伍元整</v>
      </c>
      <c r="E123" s="3344"/>
      <c r="F123" s="3344"/>
      <c r="G123" s="3344"/>
      <c r="H123" s="3344"/>
      <c r="I123" s="3345"/>
      <c r="AA123" s="683"/>
    </row>
    <row r="124" spans="1:27" ht="18.75" customHeight="1">
      <c r="A124" s="3334" t="str">
        <f>IF(项目基本情况!B9="房地产市场价值","",MID(E109,3,LEN(E109)-2))</f>
        <v/>
      </c>
      <c r="B124" s="3334"/>
      <c r="C124" s="3334"/>
      <c r="D124" s="3367" t="str">
        <f>H109</f>
        <v>——</v>
      </c>
      <c r="E124" s="3368"/>
      <c r="F124" s="3368"/>
      <c r="G124" s="3368"/>
      <c r="H124" s="3368"/>
      <c r="I124" s="3369"/>
      <c r="AA124" s="683"/>
    </row>
    <row r="125" spans="1:27" ht="18.75" customHeight="1">
      <c r="A125" s="3303" t="s">
        <v>1452</v>
      </c>
      <c r="B125" s="3303"/>
      <c r="C125" s="3303"/>
      <c r="D125" s="3343" t="e">
        <f>NUMBERSTRING(INT(D124*10000),2)&amp;"元整"</f>
        <v>#VALUE!</v>
      </c>
      <c r="E125" s="3344"/>
      <c r="F125" s="3344"/>
      <c r="G125" s="3344"/>
      <c r="H125" s="3344"/>
      <c r="I125" s="3345"/>
      <c r="AA125" s="683"/>
    </row>
    <row r="126" spans="1:27" ht="18.75" customHeight="1">
      <c r="A126" s="3334" t="str">
        <f>IF(项目基本情况!B9="房地产市场价值","",MID(E111,3,LEN(E111)-2))</f>
        <v/>
      </c>
      <c r="B126" s="3334"/>
      <c r="C126" s="3334"/>
      <c r="D126" s="3367" t="str">
        <f>H111</f>
        <v>——</v>
      </c>
      <c r="E126" s="3368"/>
      <c r="F126" s="3368"/>
      <c r="G126" s="3368"/>
      <c r="H126" s="3368"/>
      <c r="I126" s="3369"/>
      <c r="AA126" s="683"/>
    </row>
    <row r="127" spans="1:27" ht="18.75" customHeight="1">
      <c r="A127" s="3303" t="s">
        <v>1452</v>
      </c>
      <c r="B127" s="3303"/>
      <c r="C127" s="3303"/>
      <c r="D127" s="3343" t="e">
        <f>NUMBERSTRING(INT(D126*10000),2)&amp;"元整"</f>
        <v>#VALUE!</v>
      </c>
      <c r="E127" s="3344"/>
      <c r="F127" s="3344"/>
      <c r="G127" s="3344"/>
      <c r="H127" s="3344"/>
      <c r="I127" s="3345"/>
      <c r="AA127" s="683"/>
    </row>
    <row r="128" spans="1:27" ht="21.75" customHeight="1">
      <c r="A128" s="3350" t="s">
        <v>1453</v>
      </c>
      <c r="B128" s="3350"/>
      <c r="C128" s="3350"/>
      <c r="D128" s="3350"/>
      <c r="E128" s="3350"/>
      <c r="F128" s="3350"/>
      <c r="G128" s="3350"/>
      <c r="H128" s="3350"/>
      <c r="I128" s="3350"/>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algorithmName="SHA-512" hashValue="C+8JqAmG9gZpcKis1ltY1sMGov8KXq36HjFJect0vxelRCgY+u5F8iTSPNEtoX8RPbGMw9qNBlRJw7G41TMunw==" saltValue="3Dd4rY2rxICjkRYDlnRTWQ=="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8" priority="3" stopIfTrue="1">
      <formula>$H$88&lt;&gt;"仅含出让金"</formula>
    </cfRule>
  </conditionalFormatting>
  <conditionalFormatting sqref="C91">
    <cfRule type="expression" dxfId="157" priority="2" stopIfTrue="1">
      <formula>$H$91="由企业提供"</formula>
    </cfRule>
  </conditionalFormatting>
  <conditionalFormatting sqref="C5:D7">
    <cfRule type="cellIs" dxfId="156" priority="10" stopIfTrue="1" operator="equal">
      <formula>25</formula>
    </cfRule>
  </conditionalFormatting>
  <conditionalFormatting sqref="C8:D13">
    <cfRule type="cellIs" dxfId="155" priority="8" stopIfTrue="1" operator="equal">
      <formula>15</formula>
    </cfRule>
  </conditionalFormatting>
  <conditionalFormatting sqref="C14:D16">
    <cfRule type="cellIs" dxfId="154" priority="6" stopIfTrue="1" operator="equal">
      <formula>30</formula>
    </cfRule>
  </conditionalFormatting>
  <conditionalFormatting sqref="E36">
    <cfRule type="expression" dxfId="153"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70" zoomScaleNormal="70" zoomScaleSheetLayoutView="70" workbookViewId="0">
      <selection activeCell="L16" sqref="L16"/>
    </sheetView>
  </sheetViews>
  <sheetFormatPr defaultColWidth="9" defaultRowHeight="13.8"/>
  <cols>
    <col min="1" max="1" width="10.44140625" style="346" customWidth="1"/>
    <col min="2" max="2" width="15.77734375" style="346" customWidth="1"/>
    <col min="3" max="3" width="18.33203125" style="346" customWidth="1"/>
    <col min="4" max="4" width="12.21875" style="346" customWidth="1"/>
    <col min="5" max="5" width="17.6640625" style="346" customWidth="1"/>
    <col min="6" max="6" width="12.21875" style="346" customWidth="1"/>
    <col min="7" max="7" width="17.88671875" style="346" customWidth="1"/>
    <col min="8" max="8" width="12.21875" style="346" customWidth="1"/>
    <col min="9" max="9" width="16.7773437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1766</v>
      </c>
      <c r="C1" s="1154" t="s">
        <v>1662</v>
      </c>
      <c r="D1" s="1141" t="s">
        <v>3407</v>
      </c>
      <c r="E1" s="3122" t="s">
        <v>3410</v>
      </c>
      <c r="F1" s="1734" t="s">
        <v>3411</v>
      </c>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f>IF(E1="项目模式",IF(C2="——",ROUND(C49*D3/10000,0),ROUND(C49*D3/10000,0)-D2),IF(E1="单套模式",IF(C2="——",ROUND(C49*D3/10000,4),ROUND(C49*D3/10000,4)-D2)))</f>
        <v>253.27019999999999</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1"/>
      <c r="M2" s="2502"/>
      <c r="N2" s="2502"/>
      <c r="O2" s="2502"/>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16201</v>
      </c>
      <c r="C3" s="343" t="s">
        <v>1768</v>
      </c>
      <c r="D3" s="342">
        <f>IF(D1="",'数据-汇总表'!E3,SUMIF('数据-汇总表'!$C19:$C33,D1,'数据-汇总表'!$E19:$E33))</f>
        <v>156.33000000000001</v>
      </c>
      <c r="E3" s="1804"/>
      <c r="F3" s="855"/>
      <c r="G3" s="854"/>
      <c r="H3" s="854"/>
      <c r="I3" s="854"/>
      <c r="J3" s="854"/>
      <c r="K3" s="856"/>
      <c r="L3" s="2501"/>
      <c r="M3" s="2502"/>
      <c r="N3" s="2502"/>
      <c r="O3" s="2502"/>
      <c r="P3" s="1803"/>
      <c r="Q3" s="858"/>
      <c r="R3" s="858"/>
      <c r="S3" s="858"/>
      <c r="T3" s="858"/>
      <c r="U3" s="858"/>
      <c r="V3" s="858"/>
      <c r="W3" s="858"/>
      <c r="X3" s="858"/>
      <c r="Y3" s="858"/>
      <c r="Z3" s="858"/>
      <c r="AA3" s="858"/>
      <c r="AB3" s="858"/>
      <c r="AC3" s="1804"/>
    </row>
    <row r="4" spans="1:29" ht="14.4">
      <c r="A4" s="344" t="s">
        <v>1769</v>
      </c>
      <c r="B4" s="345"/>
      <c r="C4" s="3401" t="s">
        <v>1770</v>
      </c>
      <c r="D4" s="3402"/>
      <c r="E4" s="3403" t="s">
        <v>1771</v>
      </c>
      <c r="F4" s="3404"/>
      <c r="G4" s="3401" t="s">
        <v>1772</v>
      </c>
      <c r="H4" s="3402"/>
      <c r="I4" s="3401" t="s">
        <v>1773</v>
      </c>
      <c r="J4" s="3402"/>
      <c r="K4" s="536" t="s">
        <v>1774</v>
      </c>
      <c r="L4" s="2484"/>
      <c r="M4" s="2485"/>
      <c r="N4" s="2485"/>
      <c r="O4" s="2485"/>
      <c r="P4" s="3405" t="s">
        <v>1775</v>
      </c>
      <c r="Q4" s="3406"/>
      <c r="R4" s="3411" t="s">
        <v>1771</v>
      </c>
      <c r="S4" s="3412"/>
      <c r="T4" s="3411" t="s">
        <v>1772</v>
      </c>
      <c r="U4" s="3412"/>
      <c r="V4" s="3384" t="s">
        <v>1773</v>
      </c>
      <c r="W4" s="3384"/>
      <c r="X4" s="1264"/>
      <c r="Y4" s="3411" t="s">
        <v>1775</v>
      </c>
      <c r="Z4" s="3412"/>
      <c r="AA4" s="3398" t="s">
        <v>1771</v>
      </c>
      <c r="AB4" s="3384" t="s">
        <v>1772</v>
      </c>
      <c r="AC4" s="3398" t="s">
        <v>1773</v>
      </c>
    </row>
    <row r="5" spans="1:29">
      <c r="A5" s="347"/>
      <c r="B5" s="348"/>
      <c r="C5" s="3424" t="s">
        <v>3512</v>
      </c>
      <c r="D5" s="3420"/>
      <c r="E5" s="3427" t="str">
        <f>案例!A21</f>
        <v>辉煌云上</v>
      </c>
      <c r="F5" s="3428"/>
      <c r="G5" s="3419" t="str">
        <f>案例!N27</f>
        <v>城建万科城</v>
      </c>
      <c r="H5" s="3420"/>
      <c r="I5" s="3419" t="str">
        <f>G5</f>
        <v>城建万科城</v>
      </c>
      <c r="J5" s="3420"/>
      <c r="K5" s="536"/>
      <c r="L5" s="2484"/>
      <c r="M5" s="2485"/>
      <c r="N5" s="2485"/>
      <c r="O5" s="2485"/>
      <c r="P5" s="3407"/>
      <c r="Q5" s="3408"/>
      <c r="R5" s="3413"/>
      <c r="S5" s="3414"/>
      <c r="T5" s="3413"/>
      <c r="U5" s="3414"/>
      <c r="V5" s="3384"/>
      <c r="W5" s="3384"/>
      <c r="X5" s="1264"/>
      <c r="Y5" s="3413"/>
      <c r="Z5" s="3414"/>
      <c r="AA5" s="3399"/>
      <c r="AB5" s="3384"/>
      <c r="AC5" s="3399"/>
    </row>
    <row r="6" spans="1:29" ht="15" thickBot="1">
      <c r="A6" s="349"/>
      <c r="B6" s="350"/>
      <c r="C6" s="3417" t="s">
        <v>1677</v>
      </c>
      <c r="D6" s="3418"/>
      <c r="E6" s="3425" t="s">
        <v>1677</v>
      </c>
      <c r="F6" s="3426"/>
      <c r="G6" s="3417" t="s">
        <v>1677</v>
      </c>
      <c r="H6" s="3418"/>
      <c r="I6" s="3417" t="s">
        <v>1677</v>
      </c>
      <c r="J6" s="3418"/>
      <c r="K6" s="536" t="s">
        <v>1678</v>
      </c>
      <c r="L6" s="2484"/>
      <c r="M6" s="2485"/>
      <c r="N6" s="2485"/>
      <c r="O6" s="2485"/>
      <c r="P6" s="3409"/>
      <c r="Q6" s="3410"/>
      <c r="R6" s="3413"/>
      <c r="S6" s="3414"/>
      <c r="T6" s="3415"/>
      <c r="U6" s="3416"/>
      <c r="V6" s="3384"/>
      <c r="W6" s="3384"/>
      <c r="X6" s="1264"/>
      <c r="Y6" s="3415"/>
      <c r="Z6" s="3416"/>
      <c r="AA6" s="3400"/>
      <c r="AB6" s="3384"/>
      <c r="AC6" s="3400"/>
    </row>
    <row r="7" spans="1:29" s="101" customFormat="1" ht="15" thickBot="1">
      <c r="A7" s="351" t="s">
        <v>1679</v>
      </c>
      <c r="B7" s="352"/>
      <c r="C7" s="353">
        <f>'数据-取费表'!B2</f>
        <v>45562</v>
      </c>
      <c r="D7" s="354">
        <v>100</v>
      </c>
      <c r="E7" s="355">
        <f>案例!$B$22</f>
        <v>45523.333831018521</v>
      </c>
      <c r="F7" s="356">
        <f>SUMIF(58:58,YEAR(E7)&amp;"-"&amp;MONTH(E7),59:59)</f>
        <v>100</v>
      </c>
      <c r="G7" s="355">
        <v>45536</v>
      </c>
      <c r="H7" s="354">
        <f>SUMIF(58:58,YEAR(G7)&amp;"-"&amp;MONTH(G7),59:59)</f>
        <v>100</v>
      </c>
      <c r="I7" s="355">
        <f>G7</f>
        <v>45536</v>
      </c>
      <c r="J7" s="354">
        <f>SUMIF(58:58,YEAR(I7)&amp;"-"&amp;MONTH(I7),59:59)</f>
        <v>100</v>
      </c>
      <c r="K7" s="38"/>
      <c r="L7" s="2486"/>
      <c r="M7" s="2438"/>
      <c r="N7" s="2438"/>
      <c r="O7" s="2438"/>
      <c r="P7" s="3421" t="s">
        <v>1680</v>
      </c>
      <c r="Q7" s="3423"/>
      <c r="R7" s="663" t="s">
        <v>14</v>
      </c>
      <c r="S7" s="664">
        <f t="shared" ref="S7:S15" si="0">F7</f>
        <v>100</v>
      </c>
      <c r="T7" s="663" t="s">
        <v>14</v>
      </c>
      <c r="U7" s="664">
        <f t="shared" ref="U7:U15" si="1">H7</f>
        <v>100</v>
      </c>
      <c r="V7" s="663" t="s">
        <v>14</v>
      </c>
      <c r="W7" s="664">
        <f t="shared" ref="W7:W15" si="2">J7</f>
        <v>100</v>
      </c>
      <c r="X7" s="665"/>
      <c r="Y7" s="3421" t="s">
        <v>1680</v>
      </c>
      <c r="Z7" s="3422"/>
      <c r="AA7" s="50">
        <f>D7/F7</f>
        <v>1</v>
      </c>
      <c r="AB7" s="50">
        <f>D7/H7</f>
        <v>1</v>
      </c>
      <c r="AC7" s="50">
        <f>D7/J7</f>
        <v>1</v>
      </c>
    </row>
    <row r="8" spans="1:29" s="101" customFormat="1" ht="15" thickBot="1">
      <c r="A8" s="351" t="s">
        <v>1681</v>
      </c>
      <c r="B8" s="352"/>
      <c r="C8" s="357" t="s">
        <v>3412</v>
      </c>
      <c r="D8" s="354">
        <v>100</v>
      </c>
      <c r="E8" s="357" t="s">
        <v>3412</v>
      </c>
      <c r="F8" s="356">
        <f>SUMIF(61:61,E8,62:62)-SUMIF(61:61,C8,62:62)+100</f>
        <v>100</v>
      </c>
      <c r="G8" s="357" t="s">
        <v>3414</v>
      </c>
      <c r="H8" s="354">
        <f>SUMIF(61:61,G8,62:62)-SUMIF(61:61,C8,62:62)+100</f>
        <v>102</v>
      </c>
      <c r="I8" s="357" t="s">
        <v>3414</v>
      </c>
      <c r="J8" s="354">
        <f>SUMIF(61:61,I8,62:62)-SUMIF(61:61,C8,62:62)+100</f>
        <v>102</v>
      </c>
      <c r="K8" s="38"/>
      <c r="L8" s="2486"/>
      <c r="M8" s="2438"/>
      <c r="N8" s="2438"/>
      <c r="O8" s="2438"/>
      <c r="P8" s="3421" t="s">
        <v>1683</v>
      </c>
      <c r="Q8" s="3422"/>
      <c r="R8" s="663" t="s">
        <v>14</v>
      </c>
      <c r="S8" s="664">
        <f t="shared" si="0"/>
        <v>100</v>
      </c>
      <c r="T8" s="663" t="s">
        <v>14</v>
      </c>
      <c r="U8" s="664">
        <f t="shared" si="1"/>
        <v>102</v>
      </c>
      <c r="V8" s="663" t="s">
        <v>14</v>
      </c>
      <c r="W8" s="664">
        <f t="shared" si="2"/>
        <v>102</v>
      </c>
      <c r="X8" s="665"/>
      <c r="Y8" s="3421" t="s">
        <v>1683</v>
      </c>
      <c r="Z8" s="3422"/>
      <c r="AA8" s="50">
        <f t="shared" ref="AA8:AA46" si="3">D8/F8</f>
        <v>1</v>
      </c>
      <c r="AB8" s="50">
        <f t="shared" ref="AB8:AB46" si="4">D8/H8</f>
        <v>0.98039215686274506</v>
      </c>
      <c r="AC8" s="50">
        <f t="shared" ref="AC8:AC46" si="5">D8/J8</f>
        <v>0.98039215686274506</v>
      </c>
    </row>
    <row r="9" spans="1:29" s="101" customFormat="1" ht="14.4">
      <c r="A9" s="358" t="s">
        <v>1684</v>
      </c>
      <c r="B9" s="60" t="s">
        <v>1685</v>
      </c>
      <c r="C9" s="3154" t="s">
        <v>3413</v>
      </c>
      <c r="D9" s="59">
        <v>100</v>
      </c>
      <c r="E9" s="360" t="s">
        <v>673</v>
      </c>
      <c r="F9" s="60">
        <f>SUMIF(63:63,E9,64:64)-SUMIF(63:63,C9,64:64)+100</f>
        <v>100</v>
      </c>
      <c r="G9" s="360" t="s">
        <v>673</v>
      </c>
      <c r="H9" s="59">
        <f>SUMIF(63:63,G9,64:64)-SUMIF(63:63,C9,64:64)+100</f>
        <v>100</v>
      </c>
      <c r="I9" s="360" t="s">
        <v>673</v>
      </c>
      <c r="J9" s="59">
        <f>SUMIF(63:63,I9,64:64)-SUMIF(63:63,C9,64:64)+100</f>
        <v>100</v>
      </c>
      <c r="K9" s="38"/>
      <c r="L9" s="2486"/>
      <c r="M9" s="2438"/>
      <c r="N9" s="2438"/>
      <c r="O9" s="2438"/>
      <c r="P9" s="3397" t="s">
        <v>1686</v>
      </c>
      <c r="Q9" s="529" t="str">
        <f t="shared" ref="Q9:Q15" si="6">B9</f>
        <v>用途</v>
      </c>
      <c r="R9" s="663" t="s">
        <v>14</v>
      </c>
      <c r="S9" s="664">
        <f t="shared" si="0"/>
        <v>100</v>
      </c>
      <c r="T9" s="663" t="s">
        <v>14</v>
      </c>
      <c r="U9" s="664">
        <f t="shared" si="1"/>
        <v>100</v>
      </c>
      <c r="V9" s="663" t="s">
        <v>14</v>
      </c>
      <c r="W9" s="664">
        <f t="shared" si="2"/>
        <v>100</v>
      </c>
      <c r="X9" s="665"/>
      <c r="Y9" s="3290" t="s">
        <v>1687</v>
      </c>
      <c r="Z9" s="50" t="str">
        <f t="shared" ref="Z9:Z15" si="7">Q9</f>
        <v>用途</v>
      </c>
      <c r="AA9" s="50">
        <f t="shared" si="3"/>
        <v>1</v>
      </c>
      <c r="AB9" s="50">
        <f t="shared" si="4"/>
        <v>1</v>
      </c>
      <c r="AC9" s="50">
        <f t="shared" si="5"/>
        <v>1</v>
      </c>
    </row>
    <row r="10" spans="1:29" s="365" customFormat="1" ht="28.8">
      <c r="A10" s="362"/>
      <c r="B10" s="363" t="s">
        <v>1688</v>
      </c>
      <c r="C10" s="3130"/>
      <c r="D10" s="118">
        <v>100</v>
      </c>
      <c r="E10" s="3131"/>
      <c r="F10" s="363">
        <f>SUMIF(65:65,E10,66:66)-SUMIF(65:65,C10,66:66)+100</f>
        <v>100</v>
      </c>
      <c r="G10" s="3130"/>
      <c r="H10" s="118">
        <f>SUMIF(65:65,G10,66:66)-SUMIF(65:65,C10,66:66)+100</f>
        <v>100</v>
      </c>
      <c r="I10" s="3130"/>
      <c r="J10" s="118">
        <f>SUMIF(65:65,I10,66:66)-SUMIF(65:65,C10,66:66)+100</f>
        <v>100</v>
      </c>
      <c r="K10" s="38"/>
      <c r="L10" s="2487"/>
      <c r="M10" s="2488"/>
      <c r="N10" s="2488"/>
      <c r="O10" s="2488"/>
      <c r="P10" s="3397"/>
      <c r="Q10" s="529" t="str">
        <f t="shared" si="6"/>
        <v>土地使用年限（年）</v>
      </c>
      <c r="R10" s="663" t="s">
        <v>14</v>
      </c>
      <c r="S10" s="664">
        <f t="shared" si="0"/>
        <v>100</v>
      </c>
      <c r="T10" s="663" t="s">
        <v>14</v>
      </c>
      <c r="U10" s="664">
        <f t="shared" si="1"/>
        <v>100</v>
      </c>
      <c r="V10" s="663" t="s">
        <v>14</v>
      </c>
      <c r="W10" s="664">
        <f t="shared" si="2"/>
        <v>100</v>
      </c>
      <c r="X10" s="665"/>
      <c r="Y10" s="3290"/>
      <c r="Z10" s="50" t="str">
        <f t="shared" si="7"/>
        <v>土地使用年限（年）</v>
      </c>
      <c r="AA10" s="50">
        <f t="shared" si="3"/>
        <v>1</v>
      </c>
      <c r="AB10" s="50">
        <f t="shared" si="4"/>
        <v>1</v>
      </c>
      <c r="AC10" s="50">
        <f t="shared" si="5"/>
        <v>1</v>
      </c>
    </row>
    <row r="11" spans="1:29" ht="15">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537"/>
      <c r="L11" s="2489"/>
      <c r="M11" s="2485"/>
      <c r="N11" s="2485"/>
      <c r="O11" s="2485"/>
      <c r="P11" s="3397"/>
      <c r="Q11" s="529" t="str">
        <f t="shared" si="6"/>
        <v>容积率</v>
      </c>
      <c r="R11" s="663" t="s">
        <v>14</v>
      </c>
      <c r="S11" s="664">
        <f t="shared" si="0"/>
        <v>100</v>
      </c>
      <c r="T11" s="663" t="s">
        <v>14</v>
      </c>
      <c r="U11" s="664">
        <f t="shared" si="1"/>
        <v>100</v>
      </c>
      <c r="V11" s="663" t="s">
        <v>14</v>
      </c>
      <c r="W11" s="664">
        <f t="shared" si="2"/>
        <v>100</v>
      </c>
      <c r="X11" s="665"/>
      <c r="Y11" s="3290"/>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6"/>
      <c r="M12" s="2438"/>
      <c r="N12" s="2438"/>
      <c r="O12" s="2438"/>
      <c r="P12" s="3397"/>
      <c r="Q12" s="529">
        <f t="shared" si="6"/>
        <v>111</v>
      </c>
      <c r="R12" s="663" t="s">
        <v>14</v>
      </c>
      <c r="S12" s="664">
        <f t="shared" si="0"/>
        <v>100</v>
      </c>
      <c r="T12" s="663" t="s">
        <v>14</v>
      </c>
      <c r="U12" s="664">
        <f t="shared" si="1"/>
        <v>100</v>
      </c>
      <c r="V12" s="663" t="s">
        <v>14</v>
      </c>
      <c r="W12" s="664">
        <f t="shared" si="2"/>
        <v>100</v>
      </c>
      <c r="X12" s="665"/>
      <c r="Y12" s="3290"/>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0"/>
      <c r="M13" s="2485"/>
      <c r="N13" s="2485"/>
      <c r="O13" s="2485"/>
      <c r="P13" s="3397"/>
      <c r="Q13" s="529">
        <f t="shared" si="6"/>
        <v>111</v>
      </c>
      <c r="R13" s="663" t="s">
        <v>14</v>
      </c>
      <c r="S13" s="664">
        <f t="shared" si="0"/>
        <v>100</v>
      </c>
      <c r="T13" s="663" t="s">
        <v>14</v>
      </c>
      <c r="U13" s="664">
        <f t="shared" si="1"/>
        <v>100</v>
      </c>
      <c r="V13" s="663" t="s">
        <v>14</v>
      </c>
      <c r="W13" s="664">
        <f t="shared" si="2"/>
        <v>100</v>
      </c>
      <c r="X13" s="665"/>
      <c r="Y13" s="3290"/>
      <c r="Z13" s="50">
        <f t="shared" si="7"/>
        <v>111</v>
      </c>
      <c r="AA13" s="50">
        <f t="shared" si="3"/>
        <v>1</v>
      </c>
      <c r="AB13" s="50">
        <f t="shared" si="4"/>
        <v>1</v>
      </c>
      <c r="AC13" s="50">
        <f t="shared" si="5"/>
        <v>1</v>
      </c>
    </row>
    <row r="14" spans="1:29" ht="15.6"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90"/>
      <c r="M14" s="2485"/>
      <c r="N14" s="2485"/>
      <c r="O14" s="2485"/>
      <c r="P14" s="3397"/>
      <c r="Q14" s="529">
        <f t="shared" si="6"/>
        <v>111</v>
      </c>
      <c r="R14" s="663" t="s">
        <v>14</v>
      </c>
      <c r="S14" s="664">
        <f t="shared" si="0"/>
        <v>100</v>
      </c>
      <c r="T14" s="663" t="s">
        <v>14</v>
      </c>
      <c r="U14" s="664">
        <f t="shared" si="1"/>
        <v>100</v>
      </c>
      <c r="V14" s="663" t="s">
        <v>14</v>
      </c>
      <c r="W14" s="664">
        <f t="shared" si="2"/>
        <v>100</v>
      </c>
      <c r="X14" s="665"/>
      <c r="Y14" s="3290"/>
      <c r="Z14" s="50">
        <f t="shared" si="7"/>
        <v>111</v>
      </c>
      <c r="AA14" s="50">
        <f t="shared" si="3"/>
        <v>1</v>
      </c>
      <c r="AB14" s="50">
        <f t="shared" si="4"/>
        <v>1</v>
      </c>
      <c r="AC14" s="50">
        <f t="shared" si="5"/>
        <v>1</v>
      </c>
    </row>
    <row r="15" spans="1:29" ht="69">
      <c r="A15" s="378" t="s">
        <v>1690</v>
      </c>
      <c r="B15" s="58" t="s">
        <v>1777</v>
      </c>
      <c r="C15" s="1749" t="str">
        <f>估价对象房地状况!C4</f>
        <v>估价对象2公里范围内有百品尚购物中心，周边商业氛围一般，人流量一般，商业繁华一般</v>
      </c>
      <c r="D15" s="379">
        <v>100</v>
      </c>
      <c r="E15" s="3173" t="s">
        <v>3544</v>
      </c>
      <c r="F15" s="381">
        <f>SUMIF(76:76,E16,77:77)-SUMIF(76:76,C16,77:77)+100</f>
        <v>102</v>
      </c>
      <c r="G15" s="3174" t="s">
        <v>3545</v>
      </c>
      <c r="H15" s="379">
        <f>SUMIF(76:76,G16,77:77)-SUMIF(76:76,C16,77:77)+100</f>
        <v>98</v>
      </c>
      <c r="I15" s="3174" t="s">
        <v>3545</v>
      </c>
      <c r="J15" s="379">
        <f>SUMIF(76:76,I16,77:77)-SUMIF(76:76,C16,77:77)+100</f>
        <v>98</v>
      </c>
      <c r="K15" s="539">
        <v>2</v>
      </c>
      <c r="L15" s="2490"/>
      <c r="M15" s="2485"/>
      <c r="N15" s="2485"/>
      <c r="O15" s="2485"/>
      <c r="P15" s="3388" t="s">
        <v>1691</v>
      </c>
      <c r="Q15" s="1262" t="str">
        <f t="shared" si="6"/>
        <v>商业繁华度</v>
      </c>
      <c r="R15" s="666" t="s">
        <v>14</v>
      </c>
      <c r="S15" s="667">
        <f t="shared" si="0"/>
        <v>102</v>
      </c>
      <c r="T15" s="666" t="s">
        <v>14</v>
      </c>
      <c r="U15" s="667">
        <f t="shared" si="1"/>
        <v>98</v>
      </c>
      <c r="V15" s="666" t="s">
        <v>14</v>
      </c>
      <c r="W15" s="667">
        <f t="shared" si="2"/>
        <v>98</v>
      </c>
      <c r="X15" s="1264"/>
      <c r="Y15" s="3390" t="s">
        <v>1691</v>
      </c>
      <c r="Z15" s="1263" t="str">
        <f t="shared" si="7"/>
        <v>商业繁华度</v>
      </c>
      <c r="AA15" s="1263">
        <f t="shared" si="3"/>
        <v>0.98039215686274506</v>
      </c>
      <c r="AB15" s="1263">
        <f t="shared" si="4"/>
        <v>1.0204081632653061</v>
      </c>
      <c r="AC15" s="1263">
        <f t="shared" si="5"/>
        <v>1.0204081632653061</v>
      </c>
    </row>
    <row r="16" spans="1:29" ht="15">
      <c r="A16" s="366"/>
      <c r="B16" s="384"/>
      <c r="C16" s="385" t="s">
        <v>3424</v>
      </c>
      <c r="D16" s="386"/>
      <c r="E16" s="385" t="s">
        <v>3425</v>
      </c>
      <c r="F16" s="387"/>
      <c r="G16" s="385" t="s">
        <v>3430</v>
      </c>
      <c r="H16" s="388"/>
      <c r="I16" s="385" t="s">
        <v>3430</v>
      </c>
      <c r="J16" s="386"/>
      <c r="K16" s="540"/>
      <c r="L16" s="2490"/>
      <c r="M16" s="2485"/>
      <c r="N16" s="2485"/>
      <c r="O16" s="2485"/>
      <c r="P16" s="3389"/>
      <c r="Q16" s="1262"/>
      <c r="R16" s="666"/>
      <c r="S16" s="667"/>
      <c r="T16" s="666"/>
      <c r="U16" s="667"/>
      <c r="V16" s="666"/>
      <c r="W16" s="667"/>
      <c r="X16" s="1264"/>
      <c r="Y16" s="3391"/>
      <c r="Z16" s="1263"/>
      <c r="AA16" s="1263">
        <v>1</v>
      </c>
      <c r="AB16" s="1263">
        <v>1</v>
      </c>
      <c r="AC16" s="1263">
        <v>1</v>
      </c>
    </row>
    <row r="17" spans="1:29" ht="96.6">
      <c r="A17" s="366"/>
      <c r="B17" s="389" t="s">
        <v>1259</v>
      </c>
      <c r="C17" s="1753" t="str">
        <f>估价对象房地状况!C6</f>
        <v>估价对象临城市主干道--妫川路，周边有Y9路、919路、920路公交车，门口可停车，停车便捷程度较好，综合评价交通便捷度一般</v>
      </c>
      <c r="D17" s="388">
        <v>100</v>
      </c>
      <c r="E17" s="390" t="s">
        <v>3504</v>
      </c>
      <c r="F17" s="391">
        <f>SUMIF(78:78,E18,79:79)-SUMIF(78:78,C18,79:79)+100</f>
        <v>100</v>
      </c>
      <c r="G17" s="392" t="s">
        <v>3509</v>
      </c>
      <c r="H17" s="393">
        <f>SUMIF(78:78,G18,79:79)-SUMIF(78:78,C18,79:79)+100</f>
        <v>100</v>
      </c>
      <c r="I17" s="392" t="s">
        <v>3509</v>
      </c>
      <c r="J17" s="393">
        <f>SUMIF(78:78,I18,79:79)-SUMIF(78:78,C18,79:79)+100</f>
        <v>100</v>
      </c>
      <c r="K17" s="539">
        <v>1</v>
      </c>
      <c r="L17" s="2490"/>
      <c r="M17" s="2485"/>
      <c r="N17" s="2485"/>
      <c r="O17" s="2485"/>
      <c r="P17" s="3389"/>
      <c r="Q17" s="1262" t="str">
        <f>B17</f>
        <v>交通便捷度</v>
      </c>
      <c r="R17" s="666" t="s">
        <v>14</v>
      </c>
      <c r="S17" s="667">
        <f>F17</f>
        <v>100</v>
      </c>
      <c r="T17" s="666" t="s">
        <v>14</v>
      </c>
      <c r="U17" s="667">
        <f>H17</f>
        <v>100</v>
      </c>
      <c r="V17" s="666" t="s">
        <v>14</v>
      </c>
      <c r="W17" s="667">
        <f>J17</f>
        <v>100</v>
      </c>
      <c r="X17" s="1264"/>
      <c r="Y17" s="3391"/>
      <c r="Z17" s="1263" t="str">
        <f>Q17</f>
        <v>交通便捷度</v>
      </c>
      <c r="AA17" s="1263">
        <f t="shared" si="3"/>
        <v>1</v>
      </c>
      <c r="AB17" s="1263">
        <f t="shared" si="4"/>
        <v>1</v>
      </c>
      <c r="AC17" s="1263">
        <f t="shared" si="5"/>
        <v>1</v>
      </c>
    </row>
    <row r="18" spans="1:29" ht="15">
      <c r="A18" s="366"/>
      <c r="B18" s="394"/>
      <c r="C18" s="1754" t="s">
        <v>3424</v>
      </c>
      <c r="D18" s="388"/>
      <c r="E18" s="1756" t="s">
        <v>3424</v>
      </c>
      <c r="F18" s="391"/>
      <c r="G18" s="1755" t="s">
        <v>3424</v>
      </c>
      <c r="H18" s="386"/>
      <c r="I18" s="1756" t="s">
        <v>3424</v>
      </c>
      <c r="J18" s="386"/>
      <c r="K18" s="540"/>
      <c r="L18" s="2490"/>
      <c r="M18" s="2485"/>
      <c r="N18" s="2485"/>
      <c r="O18" s="2485"/>
      <c r="P18" s="3389"/>
      <c r="Q18" s="1262"/>
      <c r="R18" s="666"/>
      <c r="S18" s="667"/>
      <c r="T18" s="666"/>
      <c r="U18" s="667"/>
      <c r="V18" s="666"/>
      <c r="W18" s="667"/>
      <c r="X18" s="1264"/>
      <c r="Y18" s="3391"/>
      <c r="Z18" s="1263"/>
      <c r="AA18" s="1263">
        <v>1</v>
      </c>
      <c r="AB18" s="1263">
        <v>1</v>
      </c>
      <c r="AC18" s="1263">
        <v>1</v>
      </c>
    </row>
    <row r="19" spans="1:29" ht="151.80000000000001">
      <c r="A19" s="366"/>
      <c r="B19" s="389" t="s">
        <v>1778</v>
      </c>
      <c r="C19" s="1753" t="str">
        <f>估价对象房地状况!C7</f>
        <v>估价对象所在区域公共配套设施齐备情况：农业银行、农业发展银行、中国银行，司家营小学、北京市延庆区第二中学，国润家园社区卫生服务站、北京中医医院延庆医院，百尚购物中心</v>
      </c>
      <c r="D19" s="393">
        <v>100</v>
      </c>
      <c r="E19" s="3186" t="s">
        <v>3552</v>
      </c>
      <c r="F19" s="396">
        <f>SUMIF(80:80,E20,81:81)-SUMIF(80:80,C20,81:81)+100</f>
        <v>99</v>
      </c>
      <c r="G19" s="3185" t="s">
        <v>3551</v>
      </c>
      <c r="H19" s="388">
        <f>SUMIF(80:80,G20,81:81)-SUMIF(80:80,C20,81:81)+100</f>
        <v>99</v>
      </c>
      <c r="I19" s="3185" t="s">
        <v>3551</v>
      </c>
      <c r="J19" s="388">
        <f>SUMIF(80:80,I20,81:81)-SUMIF(80:80,C20,81:81)+100</f>
        <v>99</v>
      </c>
      <c r="K19" s="539">
        <v>1</v>
      </c>
      <c r="L19" s="2490"/>
      <c r="M19" s="2485"/>
      <c r="N19" s="2485"/>
      <c r="O19" s="2485"/>
      <c r="P19" s="3389"/>
      <c r="Q19" s="1262" t="str">
        <f>B19</f>
        <v>公共配套设施</v>
      </c>
      <c r="R19" s="666" t="s">
        <v>14</v>
      </c>
      <c r="S19" s="667">
        <f>F19</f>
        <v>99</v>
      </c>
      <c r="T19" s="666" t="s">
        <v>14</v>
      </c>
      <c r="U19" s="667">
        <f>H19</f>
        <v>99</v>
      </c>
      <c r="V19" s="666" t="s">
        <v>14</v>
      </c>
      <c r="W19" s="667">
        <f>J19</f>
        <v>99</v>
      </c>
      <c r="X19" s="1264"/>
      <c r="Y19" s="3391"/>
      <c r="Z19" s="1263" t="str">
        <f>Q19</f>
        <v>公共配套设施</v>
      </c>
      <c r="AA19" s="1263">
        <f t="shared" si="3"/>
        <v>1.0101010101010102</v>
      </c>
      <c r="AB19" s="1263">
        <f t="shared" si="4"/>
        <v>1.0101010101010102</v>
      </c>
      <c r="AC19" s="1263">
        <f t="shared" si="5"/>
        <v>1.0101010101010102</v>
      </c>
    </row>
    <row r="20" spans="1:29" ht="15">
      <c r="A20" s="366"/>
      <c r="B20" s="394"/>
      <c r="C20" s="385" t="s">
        <v>3425</v>
      </c>
      <c r="D20" s="386"/>
      <c r="E20" s="1751" t="s">
        <v>3424</v>
      </c>
      <c r="F20" s="387"/>
      <c r="G20" s="1750" t="s">
        <v>3424</v>
      </c>
      <c r="H20" s="386"/>
      <c r="I20" s="1751" t="s">
        <v>3424</v>
      </c>
      <c r="J20" s="386"/>
      <c r="K20" s="540"/>
      <c r="L20" s="2490"/>
      <c r="M20" s="2485"/>
      <c r="N20" s="2485"/>
      <c r="O20" s="2485"/>
      <c r="P20" s="3389"/>
      <c r="Q20" s="1262"/>
      <c r="R20" s="666"/>
      <c r="S20" s="667"/>
      <c r="T20" s="666"/>
      <c r="U20" s="667"/>
      <c r="V20" s="666"/>
      <c r="W20" s="667"/>
      <c r="X20" s="1264"/>
      <c r="Y20" s="3391"/>
      <c r="Z20" s="1263"/>
      <c r="AA20" s="1263">
        <v>1</v>
      </c>
      <c r="AB20" s="1263">
        <v>1</v>
      </c>
      <c r="AC20" s="1263">
        <v>1</v>
      </c>
    </row>
    <row r="21" spans="1:29" ht="27.6">
      <c r="A21" s="366"/>
      <c r="B21" s="585" t="s">
        <v>1779</v>
      </c>
      <c r="C21" s="1753"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v>1</v>
      </c>
      <c r="L21" s="2490"/>
      <c r="M21" s="2485"/>
      <c r="N21" s="2485"/>
      <c r="O21" s="2485"/>
      <c r="P21" s="3389"/>
      <c r="Q21" s="1262" t="str">
        <f>B21</f>
        <v>基础设施水平</v>
      </c>
      <c r="R21" s="666" t="s">
        <v>14</v>
      </c>
      <c r="S21" s="667">
        <f>F21</f>
        <v>100</v>
      </c>
      <c r="T21" s="666" t="s">
        <v>14</v>
      </c>
      <c r="U21" s="667">
        <f>H21</f>
        <v>100</v>
      </c>
      <c r="V21" s="666" t="s">
        <v>14</v>
      </c>
      <c r="W21" s="667">
        <f>J21</f>
        <v>100</v>
      </c>
      <c r="X21" s="1264"/>
      <c r="Y21" s="3391"/>
      <c r="Z21" s="1263" t="str">
        <f>Q21</f>
        <v>基础设施水平</v>
      </c>
      <c r="AA21" s="1263">
        <f t="shared" ref="AA21" si="8">D21/F21</f>
        <v>1</v>
      </c>
      <c r="AB21" s="1263">
        <f t="shared" ref="AB21" si="9">D21/H21</f>
        <v>1</v>
      </c>
      <c r="AC21" s="1263">
        <f t="shared" ref="AC21" si="10">D21/J21</f>
        <v>1</v>
      </c>
    </row>
    <row r="22" spans="1:29" ht="15">
      <c r="A22" s="366"/>
      <c r="B22" s="585"/>
      <c r="C22" s="1754" t="s">
        <v>3529</v>
      </c>
      <c r="D22" s="386"/>
      <c r="E22" s="385" t="s">
        <v>3529</v>
      </c>
      <c r="F22" s="387"/>
      <c r="G22" s="385" t="s">
        <v>3529</v>
      </c>
      <c r="H22" s="386"/>
      <c r="I22" s="385" t="s">
        <v>3529</v>
      </c>
      <c r="J22" s="386"/>
      <c r="K22" s="1063"/>
      <c r="L22" s="2490"/>
      <c r="M22" s="2485"/>
      <c r="N22" s="2485"/>
      <c r="O22" s="2485"/>
      <c r="P22" s="3389"/>
      <c r="Q22" s="1262"/>
      <c r="R22" s="666"/>
      <c r="S22" s="667"/>
      <c r="T22" s="666"/>
      <c r="U22" s="667"/>
      <c r="V22" s="666"/>
      <c r="W22" s="667"/>
      <c r="X22" s="1264"/>
      <c r="Y22" s="3391"/>
      <c r="Z22" s="1263"/>
      <c r="AA22" s="1263">
        <v>1</v>
      </c>
      <c r="AB22" s="1263">
        <v>1</v>
      </c>
      <c r="AC22" s="1263">
        <v>1</v>
      </c>
    </row>
    <row r="23" spans="1:29" ht="138">
      <c r="A23" s="366"/>
      <c r="B23" s="389" t="s">
        <v>1261</v>
      </c>
      <c r="C23" s="1805" t="str">
        <f>估价对象房地状况!C9</f>
        <v>区域自然环境：迎宾公园、百泉公园、夏都公园、北京延庆世界地质公园；人文环境：延庆区职业学院、妫川宝塔、延庆地质博物馆、水生野生博物馆；综合评价环境状况较好</v>
      </c>
      <c r="D23" s="388">
        <v>100</v>
      </c>
      <c r="E23" s="390" t="s">
        <v>3506</v>
      </c>
      <c r="F23" s="391">
        <f>SUMIF(84:84,E24,85:85)-SUMIF(84:84,C24,85:85)+100</f>
        <v>100</v>
      </c>
      <c r="G23" s="392" t="s">
        <v>3510</v>
      </c>
      <c r="H23" s="388">
        <f>SUMIF(84:84,G24,85:85)-SUMIF(84:84,C24,85:85)+100</f>
        <v>98</v>
      </c>
      <c r="I23" s="392" t="s">
        <v>3510</v>
      </c>
      <c r="J23" s="388">
        <f>SUMIF(84:84,I24,85:85)-SUMIF(84:84,C24,85:85)+100</f>
        <v>98</v>
      </c>
      <c r="K23" s="539">
        <v>2</v>
      </c>
      <c r="L23" s="2490"/>
      <c r="M23" s="2485"/>
      <c r="N23" s="2485"/>
      <c r="O23" s="2485"/>
      <c r="P23" s="3389"/>
      <c r="Q23" s="1262" t="str">
        <f>B23</f>
        <v>自然及人文环境</v>
      </c>
      <c r="R23" s="666" t="s">
        <v>14</v>
      </c>
      <c r="S23" s="667">
        <f>F23</f>
        <v>100</v>
      </c>
      <c r="T23" s="666" t="s">
        <v>14</v>
      </c>
      <c r="U23" s="667">
        <f>H23</f>
        <v>98</v>
      </c>
      <c r="V23" s="666" t="s">
        <v>14</v>
      </c>
      <c r="W23" s="667">
        <f>J23</f>
        <v>98</v>
      </c>
      <c r="X23" s="1264"/>
      <c r="Y23" s="3391"/>
      <c r="Z23" s="1263" t="str">
        <f>Q23</f>
        <v>自然及人文环境</v>
      </c>
      <c r="AA23" s="1263">
        <f t="shared" si="3"/>
        <v>1</v>
      </c>
      <c r="AB23" s="1263">
        <f t="shared" si="4"/>
        <v>1.0204081632653061</v>
      </c>
      <c r="AC23" s="1263">
        <f t="shared" si="5"/>
        <v>1.0204081632653061</v>
      </c>
    </row>
    <row r="24" spans="1:29" ht="15">
      <c r="A24" s="366"/>
      <c r="B24" s="394"/>
      <c r="C24" s="385" t="s">
        <v>3425</v>
      </c>
      <c r="D24" s="386"/>
      <c r="E24" s="1751" t="s">
        <v>3425</v>
      </c>
      <c r="F24" s="387"/>
      <c r="G24" s="1750" t="s">
        <v>3424</v>
      </c>
      <c r="H24" s="386"/>
      <c r="I24" s="1751" t="s">
        <v>3424</v>
      </c>
      <c r="J24" s="386"/>
      <c r="K24" s="540"/>
      <c r="L24" s="2490"/>
      <c r="M24" s="2485"/>
      <c r="N24" s="2485"/>
      <c r="O24" s="2485"/>
      <c r="P24" s="3389"/>
      <c r="Q24" s="1262"/>
      <c r="R24" s="666"/>
      <c r="S24" s="667"/>
      <c r="T24" s="666"/>
      <c r="U24" s="667"/>
      <c r="V24" s="666"/>
      <c r="W24" s="667"/>
      <c r="X24" s="1264"/>
      <c r="Y24" s="3391"/>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v>2</v>
      </c>
      <c r="L25" s="2490"/>
      <c r="M25" s="2485"/>
      <c r="N25" s="2485"/>
      <c r="O25" s="2485"/>
      <c r="P25" s="3389"/>
      <c r="Q25" s="1262" t="str">
        <f t="shared" ref="Q25:Q46" si="11">B25</f>
        <v>临街状况</v>
      </c>
      <c r="R25" s="666" t="s">
        <v>14</v>
      </c>
      <c r="S25" s="667">
        <f>F25</f>
        <v>100</v>
      </c>
      <c r="T25" s="666" t="s">
        <v>14</v>
      </c>
      <c r="U25" s="667">
        <f>H25</f>
        <v>100</v>
      </c>
      <c r="V25" s="666" t="s">
        <v>14</v>
      </c>
      <c r="W25" s="667">
        <f>J25</f>
        <v>100</v>
      </c>
      <c r="X25" s="1264"/>
      <c r="Y25" s="3391"/>
      <c r="Z25" s="1263" t="str">
        <f>Q25</f>
        <v>临街状况</v>
      </c>
      <c r="AA25" s="1263">
        <f t="shared" si="3"/>
        <v>1</v>
      </c>
      <c r="AB25" s="1263">
        <f t="shared" si="4"/>
        <v>1</v>
      </c>
      <c r="AC25" s="1263">
        <f t="shared" si="5"/>
        <v>1</v>
      </c>
    </row>
    <row r="26" spans="1:29" ht="15">
      <c r="A26" s="366"/>
      <c r="B26" s="1065" t="s">
        <v>1781</v>
      </c>
      <c r="C26" s="3170" t="s">
        <v>3503</v>
      </c>
      <c r="D26" s="373">
        <v>100</v>
      </c>
      <c r="E26" s="3170" t="s">
        <v>3503</v>
      </c>
      <c r="F26" s="399">
        <f>SUMIF(88:88,E26,89:89)-SUMIF(88:88,C26,89:89)+100</f>
        <v>100</v>
      </c>
      <c r="G26" s="3170" t="s">
        <v>3503</v>
      </c>
      <c r="H26" s="373">
        <f>SUMIF(88:88,G26,89:89)-SUMIF(88:88,C26,89:89)+100</f>
        <v>100</v>
      </c>
      <c r="I26" s="3170" t="s">
        <v>3503</v>
      </c>
      <c r="J26" s="373">
        <f>SUMIF(88:88,I26,89:89)-SUMIF(88:88,C26,89:89)+100</f>
        <v>100</v>
      </c>
      <c r="K26" s="538"/>
      <c r="L26" s="2490"/>
      <c r="M26" s="2485"/>
      <c r="N26" s="2485"/>
      <c r="O26" s="2485"/>
      <c r="P26" s="3389"/>
      <c r="Q26" s="1262" t="str">
        <f t="shared" si="11"/>
        <v>平面位置/可视性</v>
      </c>
      <c r="R26" s="666" t="s">
        <v>14</v>
      </c>
      <c r="S26" s="667">
        <f>F26</f>
        <v>100</v>
      </c>
      <c r="T26" s="666" t="s">
        <v>14</v>
      </c>
      <c r="U26" s="667">
        <f>H26</f>
        <v>100</v>
      </c>
      <c r="V26" s="666" t="s">
        <v>14</v>
      </c>
      <c r="W26" s="667">
        <f>J26</f>
        <v>100</v>
      </c>
      <c r="X26" s="1264"/>
      <c r="Y26" s="3391"/>
      <c r="Z26" s="1263" t="str">
        <f>Q26</f>
        <v>平面位置/可视性</v>
      </c>
      <c r="AA26" s="1263">
        <f t="shared" si="3"/>
        <v>1</v>
      </c>
      <c r="AB26" s="1263">
        <f t="shared" si="4"/>
        <v>1</v>
      </c>
      <c r="AC26" s="1263">
        <f t="shared" si="5"/>
        <v>1</v>
      </c>
    </row>
    <row r="27" spans="1:29" s="101" customFormat="1" ht="15">
      <c r="A27" s="369"/>
      <c r="B27" s="389" t="s">
        <v>1782</v>
      </c>
      <c r="C27" s="1806" t="s">
        <v>3430</v>
      </c>
      <c r="D27" s="400">
        <v>100</v>
      </c>
      <c r="E27" s="1806" t="s">
        <v>3424</v>
      </c>
      <c r="F27" s="394">
        <f>SUMIF(90:90,E27,91:91)-SUMIF(90:90,C27,91:91)+100</f>
        <v>102</v>
      </c>
      <c r="G27" s="1806" t="s">
        <v>3430</v>
      </c>
      <c r="H27" s="400">
        <f>SUMIF(90:90,G27,91:91)-SUMIF(90:90,C27,91:91)+100</f>
        <v>100</v>
      </c>
      <c r="I27" s="1806" t="s">
        <v>3430</v>
      </c>
      <c r="J27" s="400">
        <f>SUMIF(90:90,I27,91:91)-SUMIF(90:90,C27,91:91)+100</f>
        <v>100</v>
      </c>
      <c r="K27" s="537">
        <v>2</v>
      </c>
      <c r="L27" s="2486"/>
      <c r="M27" s="2438"/>
      <c r="N27" s="2438"/>
      <c r="O27" s="2438"/>
      <c r="P27" s="3389"/>
      <c r="Q27" s="529" t="str">
        <f t="shared" si="11"/>
        <v>人流量</v>
      </c>
      <c r="R27" s="663" t="s">
        <v>14</v>
      </c>
      <c r="S27" s="664">
        <f>F27</f>
        <v>102</v>
      </c>
      <c r="T27" s="663" t="s">
        <v>14</v>
      </c>
      <c r="U27" s="664">
        <f>H27</f>
        <v>100</v>
      </c>
      <c r="V27" s="663" t="s">
        <v>14</v>
      </c>
      <c r="W27" s="664">
        <f>J27</f>
        <v>100</v>
      </c>
      <c r="X27" s="665"/>
      <c r="Y27" s="3391"/>
      <c r="Z27" s="50" t="str">
        <f>Q27</f>
        <v>人流量</v>
      </c>
      <c r="AA27" s="1263">
        <f>D27/F27</f>
        <v>0.98039215686274506</v>
      </c>
      <c r="AB27" s="1263">
        <f>D27/H27</f>
        <v>1</v>
      </c>
      <c r="AC27" s="1263">
        <f>D27/J27</f>
        <v>1</v>
      </c>
    </row>
    <row r="28" spans="1:29" ht="15">
      <c r="A28" s="366"/>
      <c r="B28" s="363" t="s">
        <v>1783</v>
      </c>
      <c r="C28" s="541" t="s">
        <v>3524</v>
      </c>
      <c r="D28" s="373">
        <v>100</v>
      </c>
      <c r="E28" s="541" t="s">
        <v>3524</v>
      </c>
      <c r="F28" s="399">
        <f>SUMIF(92:92,E28,93:93)-SUMIF(92:92,C28,93:93)+100</f>
        <v>100</v>
      </c>
      <c r="G28" s="541" t="s">
        <v>3524</v>
      </c>
      <c r="H28" s="373">
        <f>SUMIF(92:92,G28,93:93)-SUMIF(92:92,C28,93:93)+100</f>
        <v>100</v>
      </c>
      <c r="I28" s="541" t="s">
        <v>3524</v>
      </c>
      <c r="J28" s="373">
        <f>SUMIF(92:92,I28,93:93)-SUMIF(92:92,C28,93:93)+100</f>
        <v>100</v>
      </c>
      <c r="K28" s="538"/>
      <c r="L28" s="2490"/>
      <c r="M28" s="2485"/>
      <c r="N28" s="2485"/>
      <c r="O28" s="2485"/>
      <c r="P28" s="3389"/>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91"/>
      <c r="Z28" s="1263" t="str">
        <f t="shared" ref="Z28:Z46" si="15">Q28</f>
        <v>楼层</v>
      </c>
      <c r="AA28" s="1263">
        <f t="shared" si="3"/>
        <v>1</v>
      </c>
      <c r="AB28" s="1263">
        <f t="shared" si="4"/>
        <v>1</v>
      </c>
      <c r="AC28" s="1263">
        <f t="shared" si="5"/>
        <v>1</v>
      </c>
    </row>
    <row r="29" spans="1:29" ht="15">
      <c r="A29" s="366"/>
      <c r="B29" s="3169">
        <v>111</v>
      </c>
      <c r="C29" s="372"/>
      <c r="D29" s="373">
        <v>100</v>
      </c>
      <c r="E29" s="372"/>
      <c r="F29" s="399">
        <f>SUMIF(94:94,E29,95:95)-SUMIF(94:94,C29,95:95)+100</f>
        <v>100</v>
      </c>
      <c r="G29" s="372"/>
      <c r="H29" s="373">
        <f>SUMIF(94:94,G29,95:95)-SUMIF(94:94,C29,95:95)+100</f>
        <v>100</v>
      </c>
      <c r="I29" s="372"/>
      <c r="J29" s="373">
        <f>SUMIF(94:94,I29,95:95)-SUMIF(94:94,C29,95:95)+100</f>
        <v>100</v>
      </c>
      <c r="K29" s="538"/>
      <c r="L29" s="2490"/>
      <c r="M29" s="3168" t="s">
        <v>3491</v>
      </c>
      <c r="N29" s="2485">
        <v>2012</v>
      </c>
      <c r="O29" s="2485"/>
      <c r="P29" s="3389"/>
      <c r="Q29" s="1262">
        <f t="shared" si="11"/>
        <v>111</v>
      </c>
      <c r="R29" s="666" t="s">
        <v>14</v>
      </c>
      <c r="S29" s="667">
        <f t="shared" si="12"/>
        <v>100</v>
      </c>
      <c r="T29" s="666" t="s">
        <v>14</v>
      </c>
      <c r="U29" s="667">
        <f t="shared" si="13"/>
        <v>100</v>
      </c>
      <c r="V29" s="666" t="s">
        <v>14</v>
      </c>
      <c r="W29" s="667">
        <f t="shared" si="14"/>
        <v>100</v>
      </c>
      <c r="X29" s="1264"/>
      <c r="Y29" s="3391"/>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90"/>
      <c r="M30" s="2485"/>
      <c r="N30" s="2485">
        <f>ROUND(1-(1-0)*(2024-N29)/60,2)</f>
        <v>0.8</v>
      </c>
      <c r="O30" s="2485"/>
      <c r="P30" s="3389"/>
      <c r="Q30" s="1262">
        <f t="shared" si="11"/>
        <v>111</v>
      </c>
      <c r="R30" s="666" t="s">
        <v>14</v>
      </c>
      <c r="S30" s="667">
        <f t="shared" si="12"/>
        <v>100</v>
      </c>
      <c r="T30" s="666" t="s">
        <v>14</v>
      </c>
      <c r="U30" s="667">
        <f t="shared" si="13"/>
        <v>100</v>
      </c>
      <c r="V30" s="666" t="s">
        <v>14</v>
      </c>
      <c r="W30" s="667">
        <f t="shared" si="14"/>
        <v>100</v>
      </c>
      <c r="X30" s="1264"/>
      <c r="Y30" s="3391"/>
      <c r="Z30" s="1263">
        <f t="shared" si="15"/>
        <v>111</v>
      </c>
      <c r="AA30" s="1263">
        <f t="shared" si="3"/>
        <v>1</v>
      </c>
      <c r="AB30" s="1263">
        <f t="shared" si="4"/>
        <v>1</v>
      </c>
      <c r="AC30" s="1263">
        <f t="shared" si="5"/>
        <v>1</v>
      </c>
    </row>
    <row r="31" spans="1:29" ht="15.6"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90"/>
      <c r="M31" s="2485"/>
      <c r="N31" s="2485"/>
      <c r="O31" s="2485"/>
      <c r="P31" s="3389"/>
      <c r="Q31" s="1262">
        <f t="shared" si="11"/>
        <v>111</v>
      </c>
      <c r="R31" s="666" t="s">
        <v>14</v>
      </c>
      <c r="S31" s="667">
        <f t="shared" si="12"/>
        <v>100</v>
      </c>
      <c r="T31" s="666" t="s">
        <v>14</v>
      </c>
      <c r="U31" s="667">
        <f t="shared" si="13"/>
        <v>100</v>
      </c>
      <c r="V31" s="666" t="s">
        <v>14</v>
      </c>
      <c r="W31" s="667">
        <f t="shared" si="14"/>
        <v>100</v>
      </c>
      <c r="X31" s="1264"/>
      <c r="Y31" s="3391"/>
      <c r="Z31" s="1263">
        <f t="shared" si="15"/>
        <v>111</v>
      </c>
      <c r="AA31" s="1263">
        <f t="shared" si="3"/>
        <v>1</v>
      </c>
      <c r="AB31" s="1263">
        <f t="shared" si="4"/>
        <v>1</v>
      </c>
      <c r="AC31" s="1263">
        <f t="shared" si="5"/>
        <v>1</v>
      </c>
    </row>
    <row r="32" spans="1:29" ht="15">
      <c r="A32" s="378" t="s">
        <v>1694</v>
      </c>
      <c r="B32" s="60" t="s">
        <v>1784</v>
      </c>
      <c r="C32" s="1763" t="s">
        <v>3548</v>
      </c>
      <c r="D32" s="404">
        <v>100</v>
      </c>
      <c r="E32" s="1763" t="s">
        <v>3546</v>
      </c>
      <c r="F32" s="399">
        <f>SUMIF(100:100,E32,101:101)-SUMIF(100:100,C32,101:101)+100</f>
        <v>105</v>
      </c>
      <c r="G32" s="1763" t="s">
        <v>3548</v>
      </c>
      <c r="H32" s="373">
        <f>SUMIF(100:100,G32,101:101)-SUMIF(100:100,C32,101:101)+100</f>
        <v>100</v>
      </c>
      <c r="I32" s="1763" t="s">
        <v>3548</v>
      </c>
      <c r="J32" s="404">
        <f>SUMIF(100:100,I32,101:101)-SUMIF(100:100,C32,101:101)+100</f>
        <v>100</v>
      </c>
      <c r="K32" s="537">
        <v>5</v>
      </c>
      <c r="L32" s="2490"/>
      <c r="M32" s="3168" t="s">
        <v>3492</v>
      </c>
      <c r="N32" s="2485">
        <v>2018</v>
      </c>
      <c r="O32" s="2485"/>
      <c r="P32" s="3392" t="s">
        <v>1696</v>
      </c>
      <c r="Q32" s="1262" t="str">
        <f t="shared" si="11"/>
        <v>商业类型</v>
      </c>
      <c r="R32" s="666" t="s">
        <v>14</v>
      </c>
      <c r="S32" s="667">
        <f t="shared" si="12"/>
        <v>105</v>
      </c>
      <c r="T32" s="666" t="s">
        <v>14</v>
      </c>
      <c r="U32" s="667">
        <f t="shared" si="13"/>
        <v>100</v>
      </c>
      <c r="V32" s="666" t="s">
        <v>14</v>
      </c>
      <c r="W32" s="667">
        <f t="shared" si="14"/>
        <v>100</v>
      </c>
      <c r="X32" s="1264"/>
      <c r="Y32" s="3395" t="s">
        <v>1696</v>
      </c>
      <c r="Z32" s="1263" t="str">
        <f t="shared" si="15"/>
        <v>商业类型</v>
      </c>
      <c r="AA32" s="1263">
        <f t="shared" si="3"/>
        <v>0.95238095238095233</v>
      </c>
      <c r="AB32" s="1263">
        <f t="shared" si="4"/>
        <v>1</v>
      </c>
      <c r="AC32" s="1263">
        <f t="shared" si="5"/>
        <v>1</v>
      </c>
    </row>
    <row r="33" spans="1:29" s="407" customFormat="1" ht="15">
      <c r="A33" s="405"/>
      <c r="B33" s="363" t="s">
        <v>1697</v>
      </c>
      <c r="C33" s="406">
        <f>'数据-汇总表'!E19</f>
        <v>156.33000000000001</v>
      </c>
      <c r="D33" s="118">
        <v>100</v>
      </c>
      <c r="E33" s="368">
        <f>案例!K22</f>
        <v>500.02</v>
      </c>
      <c r="F33" s="363">
        <f>LOOKUP(E33,103:103,104:104)-LOOKUP(C33,103:103,104:104)+100</f>
        <v>96</v>
      </c>
      <c r="G33" s="367">
        <f>案例!O29</f>
        <v>83.05</v>
      </c>
      <c r="H33" s="118">
        <f>LOOKUP(G33,103:103,104:104)-LOOKUP(C33,103:103,104:104)+100</f>
        <v>102</v>
      </c>
      <c r="I33" s="367">
        <f>案例!N80</f>
        <v>122</v>
      </c>
      <c r="J33" s="118">
        <f>LOOKUP(I33,103:103,104:104)-LOOKUP(C33,103:103,104:104)+100</f>
        <v>100</v>
      </c>
      <c r="K33" s="538"/>
      <c r="L33" s="2489"/>
      <c r="M33" s="2491"/>
      <c r="N33" s="2491">
        <f>ROUND(1-(1-0)*(2024-N32)/60,2)</f>
        <v>0.9</v>
      </c>
      <c r="O33" s="2491"/>
      <c r="P33" s="3393"/>
      <c r="Q33" s="530" t="str">
        <f t="shared" si="11"/>
        <v>项目建筑规模</v>
      </c>
      <c r="R33" s="668" t="s">
        <v>14</v>
      </c>
      <c r="S33" s="669">
        <f t="shared" si="12"/>
        <v>96</v>
      </c>
      <c r="T33" s="668" t="s">
        <v>14</v>
      </c>
      <c r="U33" s="669">
        <f t="shared" si="13"/>
        <v>102</v>
      </c>
      <c r="V33" s="668" t="s">
        <v>14</v>
      </c>
      <c r="W33" s="669">
        <f t="shared" si="14"/>
        <v>100</v>
      </c>
      <c r="X33" s="670"/>
      <c r="Y33" s="3395"/>
      <c r="Z33" s="671" t="str">
        <f t="shared" si="15"/>
        <v>项目建筑规模</v>
      </c>
      <c r="AA33" s="1263">
        <f t="shared" si="3"/>
        <v>1.0416666666666667</v>
      </c>
      <c r="AB33" s="1263">
        <f t="shared" si="4"/>
        <v>0.98039215686274506</v>
      </c>
      <c r="AC33" s="1263">
        <f t="shared" si="5"/>
        <v>1</v>
      </c>
    </row>
    <row r="34" spans="1:29" ht="15">
      <c r="A34" s="408"/>
      <c r="B34" s="363" t="s">
        <v>1698</v>
      </c>
      <c r="C34" s="398" t="s">
        <v>3489</v>
      </c>
      <c r="D34" s="373">
        <v>100</v>
      </c>
      <c r="E34" s="398" t="s">
        <v>3487</v>
      </c>
      <c r="F34" s="399">
        <f>SUMIF(105:105,E34,106:106)-SUMIF(105:105,C34,106:106)+100</f>
        <v>102</v>
      </c>
      <c r="G34" s="398" t="s">
        <v>3487</v>
      </c>
      <c r="H34" s="373">
        <f>SUMIF(105:105,G34,106:106)-SUMIF(105:105,C34,106:106)+100</f>
        <v>102</v>
      </c>
      <c r="I34" s="398" t="s">
        <v>3487</v>
      </c>
      <c r="J34" s="373">
        <f>SUMIF(105:105,I34,106:106)-SUMIF(105:105,C34,106:106)+100</f>
        <v>102</v>
      </c>
      <c r="K34" s="537">
        <v>2</v>
      </c>
      <c r="L34" s="2490"/>
      <c r="M34" s="2485"/>
      <c r="N34" s="2485"/>
      <c r="O34" s="2485"/>
      <c r="P34" s="3393"/>
      <c r="Q34" s="1262" t="str">
        <f t="shared" si="11"/>
        <v>建筑结构</v>
      </c>
      <c r="R34" s="666" t="s">
        <v>14</v>
      </c>
      <c r="S34" s="667">
        <f t="shared" si="12"/>
        <v>102</v>
      </c>
      <c r="T34" s="666" t="s">
        <v>14</v>
      </c>
      <c r="U34" s="667">
        <f t="shared" si="13"/>
        <v>102</v>
      </c>
      <c r="V34" s="666" t="s">
        <v>14</v>
      </c>
      <c r="W34" s="667">
        <f t="shared" si="14"/>
        <v>102</v>
      </c>
      <c r="X34" s="1264"/>
      <c r="Y34" s="3395"/>
      <c r="Z34" s="1263" t="str">
        <f t="shared" si="15"/>
        <v>建筑结构</v>
      </c>
      <c r="AA34" s="1263">
        <f t="shared" si="3"/>
        <v>0.98039215686274506</v>
      </c>
      <c r="AB34" s="1263">
        <f t="shared" si="4"/>
        <v>0.98039215686274506</v>
      </c>
      <c r="AC34" s="1263">
        <f t="shared" si="5"/>
        <v>0.98039215686274506</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v>2</v>
      </c>
      <c r="L35" s="2490"/>
      <c r="M35" s="2485"/>
      <c r="N35" s="2485"/>
      <c r="O35" s="2485"/>
      <c r="P35" s="3393"/>
      <c r="Q35" s="1262" t="str">
        <f t="shared" si="11"/>
        <v>公共部分装修</v>
      </c>
      <c r="R35" s="666" t="s">
        <v>14</v>
      </c>
      <c r="S35" s="667">
        <f t="shared" si="12"/>
        <v>100</v>
      </c>
      <c r="T35" s="666" t="s">
        <v>14</v>
      </c>
      <c r="U35" s="667">
        <f t="shared" si="13"/>
        <v>100</v>
      </c>
      <c r="V35" s="666" t="s">
        <v>14</v>
      </c>
      <c r="W35" s="667">
        <f t="shared" si="14"/>
        <v>100</v>
      </c>
      <c r="X35" s="1264"/>
      <c r="Y35" s="3395"/>
      <c r="Z35" s="1263" t="str">
        <f t="shared" si="15"/>
        <v>公共部分装修</v>
      </c>
      <c r="AA35" s="1263">
        <f t="shared" si="3"/>
        <v>1</v>
      </c>
      <c r="AB35" s="1263">
        <f t="shared" si="4"/>
        <v>1</v>
      </c>
      <c r="AC35" s="1263">
        <f t="shared" si="5"/>
        <v>1</v>
      </c>
    </row>
    <row r="36" spans="1:29" ht="15">
      <c r="A36" s="408"/>
      <c r="B36" s="363" t="s">
        <v>1786</v>
      </c>
      <c r="C36" s="410">
        <f>'数据-取费表'!N6</f>
        <v>0.7</v>
      </c>
      <c r="D36" s="373">
        <v>100</v>
      </c>
      <c r="E36" s="410">
        <f>N30</f>
        <v>0.8</v>
      </c>
      <c r="F36" s="399">
        <f>LOOKUP(E36,110:110,111:111)-LOOKUP(C36,110:110,111:111)+100</f>
        <v>102</v>
      </c>
      <c r="G36" s="410">
        <f>N33</f>
        <v>0.9</v>
      </c>
      <c r="H36" s="399">
        <f>LOOKUP(G36,110:110,111:111)-LOOKUP(C36,110:110,111:111)+100</f>
        <v>104</v>
      </c>
      <c r="I36" s="410">
        <f>N33</f>
        <v>0.9</v>
      </c>
      <c r="J36" s="373">
        <f>LOOKUP(I36,110:110,111:111)-LOOKUP(C36,110:110,111:111)+100</f>
        <v>104</v>
      </c>
      <c r="K36" s="3183">
        <v>2</v>
      </c>
      <c r="L36" s="2490"/>
      <c r="M36" s="2485"/>
      <c r="N36" s="2485"/>
      <c r="O36" s="2485"/>
      <c r="P36" s="3393"/>
      <c r="Q36" s="1262" t="str">
        <f t="shared" si="11"/>
        <v>成新度</v>
      </c>
      <c r="R36" s="666" t="s">
        <v>14</v>
      </c>
      <c r="S36" s="667">
        <f t="shared" si="12"/>
        <v>102</v>
      </c>
      <c r="T36" s="666" t="s">
        <v>14</v>
      </c>
      <c r="U36" s="667">
        <f t="shared" si="13"/>
        <v>104</v>
      </c>
      <c r="V36" s="666" t="s">
        <v>14</v>
      </c>
      <c r="W36" s="667">
        <f t="shared" si="14"/>
        <v>104</v>
      </c>
      <c r="X36" s="1264"/>
      <c r="Y36" s="3395"/>
      <c r="Z36" s="1263" t="str">
        <f t="shared" si="15"/>
        <v>成新度</v>
      </c>
      <c r="AA36" s="1263">
        <f t="shared" si="3"/>
        <v>0.98039215686274506</v>
      </c>
      <c r="AB36" s="1263">
        <f t="shared" si="4"/>
        <v>0.96153846153846156</v>
      </c>
      <c r="AC36" s="1263">
        <f t="shared" si="5"/>
        <v>0.96153846153846156</v>
      </c>
    </row>
    <row r="37" spans="1:29" s="101"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3183"/>
      <c r="L37" s="2486"/>
      <c r="M37" s="2438"/>
      <c r="N37" s="2438"/>
      <c r="O37" s="2438"/>
      <c r="P37" s="3393"/>
      <c r="Q37" s="529" t="str">
        <f t="shared" si="11"/>
        <v>市政基础设施</v>
      </c>
      <c r="R37" s="663" t="s">
        <v>14</v>
      </c>
      <c r="S37" s="664">
        <f t="shared" si="12"/>
        <v>100</v>
      </c>
      <c r="T37" s="663" t="s">
        <v>14</v>
      </c>
      <c r="U37" s="664">
        <f t="shared" si="13"/>
        <v>100</v>
      </c>
      <c r="V37" s="663" t="s">
        <v>14</v>
      </c>
      <c r="W37" s="664">
        <f t="shared" si="14"/>
        <v>100</v>
      </c>
      <c r="X37" s="665"/>
      <c r="Y37" s="3395"/>
      <c r="Z37" s="50" t="str">
        <f t="shared" si="15"/>
        <v>市政基础设施</v>
      </c>
      <c r="AA37" s="50">
        <f t="shared" si="3"/>
        <v>1</v>
      </c>
      <c r="AB37" s="50">
        <f t="shared" si="4"/>
        <v>1</v>
      </c>
      <c r="AC37" s="50">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3183">
        <v>5</v>
      </c>
      <c r="L38" s="2490"/>
      <c r="M38" s="2485"/>
      <c r="N38" s="2485"/>
      <c r="O38" s="2485"/>
      <c r="P38" s="3393" t="s">
        <v>1696</v>
      </c>
      <c r="Q38" s="1262" t="str">
        <f t="shared" si="11"/>
        <v>业态</v>
      </c>
      <c r="R38" s="666" t="s">
        <v>14</v>
      </c>
      <c r="S38" s="667">
        <f t="shared" si="12"/>
        <v>100</v>
      </c>
      <c r="T38" s="666" t="s">
        <v>14</v>
      </c>
      <c r="U38" s="667">
        <f t="shared" si="13"/>
        <v>100</v>
      </c>
      <c r="V38" s="666" t="s">
        <v>14</v>
      </c>
      <c r="W38" s="667">
        <f t="shared" si="14"/>
        <v>100</v>
      </c>
      <c r="X38" s="1264"/>
      <c r="Y38" s="3395"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3183"/>
      <c r="L39" s="2490"/>
      <c r="M39" s="2485"/>
      <c r="N39" s="2485"/>
      <c r="O39" s="2485"/>
      <c r="P39" s="3393"/>
      <c r="Q39" s="1262" t="str">
        <f t="shared" si="11"/>
        <v>层高</v>
      </c>
      <c r="R39" s="666" t="s">
        <v>14</v>
      </c>
      <c r="S39" s="667">
        <f t="shared" si="12"/>
        <v>100</v>
      </c>
      <c r="T39" s="666" t="s">
        <v>14</v>
      </c>
      <c r="U39" s="667">
        <f t="shared" si="13"/>
        <v>100</v>
      </c>
      <c r="V39" s="666" t="s">
        <v>14</v>
      </c>
      <c r="W39" s="667">
        <f t="shared" si="14"/>
        <v>100</v>
      </c>
      <c r="X39" s="1264"/>
      <c r="Y39" s="3395"/>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3184"/>
      <c r="L40" s="2490"/>
      <c r="M40" s="2485"/>
      <c r="N40" s="2485"/>
      <c r="O40" s="2485"/>
      <c r="P40" s="3393"/>
      <c r="Q40" s="1262" t="str">
        <f t="shared" si="11"/>
        <v>单套建筑面积</v>
      </c>
      <c r="R40" s="666" t="s">
        <v>14</v>
      </c>
      <c r="S40" s="667">
        <f t="shared" si="12"/>
        <v>100</v>
      </c>
      <c r="T40" s="666" t="s">
        <v>14</v>
      </c>
      <c r="U40" s="667">
        <f t="shared" si="13"/>
        <v>100</v>
      </c>
      <c r="V40" s="666" t="s">
        <v>14</v>
      </c>
      <c r="W40" s="667">
        <f t="shared" si="14"/>
        <v>100</v>
      </c>
      <c r="X40" s="1264"/>
      <c r="Y40" s="3395"/>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3183"/>
      <c r="L41" s="2489"/>
      <c r="M41" s="2491"/>
      <c r="N41" s="2491"/>
      <c r="O41" s="2491"/>
      <c r="P41" s="3393"/>
      <c r="Q41" s="530" t="str">
        <f t="shared" si="11"/>
        <v>进深比</v>
      </c>
      <c r="R41" s="668" t="s">
        <v>14</v>
      </c>
      <c r="S41" s="669">
        <f t="shared" si="12"/>
        <v>100</v>
      </c>
      <c r="T41" s="668" t="s">
        <v>14</v>
      </c>
      <c r="U41" s="669">
        <f t="shared" si="13"/>
        <v>100</v>
      </c>
      <c r="V41" s="668" t="s">
        <v>14</v>
      </c>
      <c r="W41" s="669">
        <f t="shared" si="14"/>
        <v>100</v>
      </c>
      <c r="X41" s="670"/>
      <c r="Y41" s="3395"/>
      <c r="Z41" s="671" t="str">
        <f t="shared" si="15"/>
        <v>进深比</v>
      </c>
      <c r="AA41" s="1263">
        <f t="shared" si="3"/>
        <v>1</v>
      </c>
      <c r="AB41" s="1263">
        <f t="shared" si="4"/>
        <v>1</v>
      </c>
      <c r="AC41" s="1263">
        <f t="shared" si="5"/>
        <v>1</v>
      </c>
    </row>
    <row r="42" spans="1:29" ht="15">
      <c r="A42" s="408"/>
      <c r="B42" s="363" t="s">
        <v>1792</v>
      </c>
      <c r="C42" s="1759" t="s">
        <v>3499</v>
      </c>
      <c r="D42" s="373">
        <v>100</v>
      </c>
      <c r="E42" s="1759" t="s">
        <v>3500</v>
      </c>
      <c r="F42" s="399">
        <f>SUMIF(122:122,E42,123:123)-SUMIF(122:122,C42,123:123)+100</f>
        <v>98</v>
      </c>
      <c r="G42" s="1759" t="s">
        <v>3500</v>
      </c>
      <c r="H42" s="373">
        <f>SUMIF(122:122,G42,123:123)-SUMIF(122:122,C42,123:123)+100</f>
        <v>98</v>
      </c>
      <c r="I42" s="1759" t="s">
        <v>3500</v>
      </c>
      <c r="J42" s="373">
        <f>SUMIF(122:122,I42,123:123)-SUMIF(122:122,C42,123:123)+100</f>
        <v>98</v>
      </c>
      <c r="K42" s="3183">
        <v>1</v>
      </c>
      <c r="L42" s="2490"/>
      <c r="M42" s="2485"/>
      <c r="N42" s="2485"/>
      <c r="O42" s="2485"/>
      <c r="P42" s="3393"/>
      <c r="Q42" s="1262" t="str">
        <f t="shared" si="11"/>
        <v>内部装修</v>
      </c>
      <c r="R42" s="666" t="s">
        <v>14</v>
      </c>
      <c r="S42" s="667">
        <f t="shared" si="12"/>
        <v>98</v>
      </c>
      <c r="T42" s="666" t="s">
        <v>14</v>
      </c>
      <c r="U42" s="667">
        <f t="shared" si="13"/>
        <v>98</v>
      </c>
      <c r="V42" s="666" t="s">
        <v>14</v>
      </c>
      <c r="W42" s="667">
        <f t="shared" si="14"/>
        <v>98</v>
      </c>
      <c r="X42" s="1264"/>
      <c r="Y42" s="3395"/>
      <c r="Z42" s="1263" t="str">
        <f t="shared" si="15"/>
        <v>内部装修</v>
      </c>
      <c r="AA42" s="1263">
        <f t="shared" si="3"/>
        <v>1.0204081632653061</v>
      </c>
      <c r="AB42" s="1263">
        <f t="shared" si="4"/>
        <v>1.0204081632653061</v>
      </c>
      <c r="AC42" s="1263">
        <f t="shared" si="5"/>
        <v>1.0204081632653061</v>
      </c>
    </row>
    <row r="43" spans="1:29" ht="28.8">
      <c r="A43" s="408"/>
      <c r="B43" s="363" t="s">
        <v>1707</v>
      </c>
      <c r="C43" s="1759" t="s">
        <v>3425</v>
      </c>
      <c r="D43" s="373">
        <v>100</v>
      </c>
      <c r="E43" s="1759" t="s">
        <v>3425</v>
      </c>
      <c r="F43" s="399">
        <f>SUMIF(124:124,E43,125:125)-SUMIF(124:124,C43,125:125)+100</f>
        <v>100</v>
      </c>
      <c r="G43" s="1759" t="s">
        <v>3425</v>
      </c>
      <c r="H43" s="373">
        <f>SUMIF(124:124,G43,125:125)-SUMIF(124:124,C43,125:125)+100</f>
        <v>100</v>
      </c>
      <c r="I43" s="1759" t="s">
        <v>3425</v>
      </c>
      <c r="J43" s="373">
        <f>SUMIF(124:124,I43,125:125)-SUMIF(124:124,C43,125:125)+100</f>
        <v>100</v>
      </c>
      <c r="K43" s="537">
        <v>2</v>
      </c>
      <c r="L43" s="2490"/>
      <c r="M43" s="2485"/>
      <c r="N43" s="2485"/>
      <c r="O43" s="2485"/>
      <c r="P43" s="3393"/>
      <c r="Q43" s="1262" t="str">
        <f t="shared" si="11"/>
        <v>内部装修维护情况</v>
      </c>
      <c r="R43" s="666" t="s">
        <v>14</v>
      </c>
      <c r="S43" s="667">
        <f t="shared" si="12"/>
        <v>100</v>
      </c>
      <c r="T43" s="666" t="s">
        <v>14</v>
      </c>
      <c r="U43" s="667">
        <f t="shared" si="13"/>
        <v>100</v>
      </c>
      <c r="V43" s="666" t="s">
        <v>14</v>
      </c>
      <c r="W43" s="667">
        <f t="shared" si="14"/>
        <v>100</v>
      </c>
      <c r="X43" s="1264"/>
      <c r="Y43" s="3395"/>
      <c r="Z43" s="1263" t="str">
        <f t="shared" si="15"/>
        <v>内部装修维护情况</v>
      </c>
      <c r="AA43" s="1263">
        <f t="shared" si="3"/>
        <v>1</v>
      </c>
      <c r="AB43" s="1263">
        <f t="shared" si="4"/>
        <v>1</v>
      </c>
      <c r="AC43" s="1263">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6"/>
      <c r="M44" s="2438"/>
      <c r="N44" s="2438"/>
      <c r="O44" s="2438"/>
      <c r="P44" s="3393"/>
      <c r="Q44" s="529">
        <f t="shared" si="11"/>
        <v>111</v>
      </c>
      <c r="R44" s="663" t="s">
        <v>14</v>
      </c>
      <c r="S44" s="664">
        <f t="shared" si="12"/>
        <v>100</v>
      </c>
      <c r="T44" s="663" t="s">
        <v>14</v>
      </c>
      <c r="U44" s="664">
        <f t="shared" si="13"/>
        <v>100</v>
      </c>
      <c r="V44" s="663" t="s">
        <v>14</v>
      </c>
      <c r="W44" s="664">
        <f t="shared" si="14"/>
        <v>100</v>
      </c>
      <c r="X44" s="665"/>
      <c r="Y44" s="3395"/>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0"/>
      <c r="M45" s="2485"/>
      <c r="N45" s="2485"/>
      <c r="O45" s="2485"/>
      <c r="P45" s="3393"/>
      <c r="Q45" s="1262">
        <f t="shared" si="11"/>
        <v>111</v>
      </c>
      <c r="R45" s="666" t="s">
        <v>14</v>
      </c>
      <c r="S45" s="667">
        <f t="shared" si="12"/>
        <v>100</v>
      </c>
      <c r="T45" s="666" t="s">
        <v>14</v>
      </c>
      <c r="U45" s="667">
        <f t="shared" si="13"/>
        <v>100</v>
      </c>
      <c r="V45" s="666" t="s">
        <v>14</v>
      </c>
      <c r="W45" s="667">
        <f t="shared" si="14"/>
        <v>100</v>
      </c>
      <c r="X45" s="1264"/>
      <c r="Y45" s="3395"/>
      <c r="Z45" s="1263">
        <f t="shared" si="15"/>
        <v>111</v>
      </c>
      <c r="AA45" s="1263">
        <f t="shared" si="3"/>
        <v>1</v>
      </c>
      <c r="AB45" s="1263">
        <f t="shared" si="4"/>
        <v>1</v>
      </c>
      <c r="AC45" s="1263">
        <f t="shared" si="5"/>
        <v>1</v>
      </c>
    </row>
    <row r="46" spans="1:29" ht="15.6"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0"/>
      <c r="M46" s="2485"/>
      <c r="N46" s="2485"/>
      <c r="O46" s="2485"/>
      <c r="P46" s="3394"/>
      <c r="Q46" s="1262">
        <f t="shared" si="11"/>
        <v>111</v>
      </c>
      <c r="R46" s="666" t="s">
        <v>14</v>
      </c>
      <c r="S46" s="667">
        <f t="shared" si="12"/>
        <v>100</v>
      </c>
      <c r="T46" s="666" t="s">
        <v>14</v>
      </c>
      <c r="U46" s="667">
        <f t="shared" si="13"/>
        <v>100</v>
      </c>
      <c r="V46" s="666" t="s">
        <v>14</v>
      </c>
      <c r="W46" s="667">
        <f t="shared" si="14"/>
        <v>100</v>
      </c>
      <c r="X46" s="1264"/>
      <c r="Y46" s="3396"/>
      <c r="Z46" s="1263">
        <f t="shared" si="15"/>
        <v>111</v>
      </c>
      <c r="AA46" s="1263">
        <f t="shared" si="3"/>
        <v>1</v>
      </c>
      <c r="AB46" s="1263">
        <f t="shared" si="4"/>
        <v>1</v>
      </c>
      <c r="AC46" s="1263">
        <f t="shared" si="5"/>
        <v>1</v>
      </c>
    </row>
    <row r="47" spans="1:29" ht="14.4">
      <c r="A47" s="415" t="s">
        <v>1708</v>
      </c>
      <c r="B47" s="416"/>
      <c r="C47" s="1080" t="s">
        <v>0</v>
      </c>
      <c r="D47" s="417"/>
      <c r="E47" s="418">
        <f>案例!Q22</f>
        <v>18643</v>
      </c>
      <c r="F47" s="419"/>
      <c r="G47" s="420">
        <f>案例!Q30</f>
        <v>16536</v>
      </c>
      <c r="H47" s="421"/>
      <c r="I47" s="418">
        <f>案例!P79</f>
        <v>15033</v>
      </c>
      <c r="J47" s="421"/>
      <c r="K47" s="673"/>
      <c r="L47" s="2492"/>
      <c r="M47" s="2485"/>
      <c r="N47" s="2485"/>
      <c r="O47" s="2485"/>
      <c r="P47" s="3383" t="str">
        <f>A47</f>
        <v>成交单价（元/平方米）</v>
      </c>
      <c r="Q47" s="3383"/>
      <c r="R47" s="3384">
        <f>E47</f>
        <v>18643</v>
      </c>
      <c r="S47" s="3384"/>
      <c r="T47" s="3384">
        <f>G47</f>
        <v>16536</v>
      </c>
      <c r="U47" s="3384"/>
      <c r="V47" s="3384">
        <f>I47</f>
        <v>15033</v>
      </c>
      <c r="W47" s="3384"/>
      <c r="X47" s="384"/>
      <c r="Y47" s="672"/>
      <c r="Z47" s="384"/>
      <c r="AA47" s="384"/>
      <c r="AB47" s="384"/>
      <c r="AC47" s="384"/>
    </row>
    <row r="48" spans="1:29" ht="15" thickBot="1">
      <c r="A48" s="422" t="s">
        <v>1793</v>
      </c>
      <c r="B48" s="423"/>
      <c r="C48" s="1081">
        <f>R49</f>
        <v>16201</v>
      </c>
      <c r="D48" s="2140" t="s">
        <v>2138</v>
      </c>
      <c r="E48" s="1082">
        <f>R48</f>
        <v>17611</v>
      </c>
      <c r="F48" s="2141"/>
      <c r="G48" s="1081">
        <f>T48</f>
        <v>16080</v>
      </c>
      <c r="H48" s="2141"/>
      <c r="I48" s="1082">
        <f>V48</f>
        <v>14911</v>
      </c>
      <c r="J48" s="2141"/>
      <c r="K48" s="2143">
        <f>F48+H48+J48</f>
        <v>0</v>
      </c>
      <c r="L48" s="2492"/>
      <c r="M48" s="2485"/>
      <c r="N48" s="2485"/>
      <c r="O48" s="2485"/>
      <c r="P48" s="3383" t="str">
        <f>A48</f>
        <v>比较价值（元/平方米）</v>
      </c>
      <c r="Q48" s="3383"/>
      <c r="R48" s="3384">
        <f>IF(F1="售价",ROUND(PRODUCT(R47,AA7:AA46),0),ROUND(PRODUCT(R47,AA7:AA46),1))</f>
        <v>17611</v>
      </c>
      <c r="S48" s="3384"/>
      <c r="T48" s="3384">
        <f>IF(F1="售价",ROUND(PRODUCT(T47,AB7:AB46),0),ROUND(PRODUCT(T47,AB7:AB46),1))</f>
        <v>16080</v>
      </c>
      <c r="U48" s="3384"/>
      <c r="V48" s="3384">
        <f>IF(F1="售价",ROUND(PRODUCT(V47,AC7:AC46),0),ROUND(PRODUCT(V47,AC7:AC46),1))</f>
        <v>14911</v>
      </c>
      <c r="W48" s="3384"/>
      <c r="X48" s="384"/>
      <c r="Y48" s="384"/>
      <c r="Z48" s="384"/>
      <c r="AA48" s="384"/>
      <c r="AB48" s="384"/>
      <c r="AC48" s="384"/>
    </row>
    <row r="49" spans="1:29" ht="15" thickBot="1">
      <c r="A49" s="426" t="s">
        <v>1794</v>
      </c>
      <c r="B49" s="427"/>
      <c r="C49" s="350">
        <f>R49</f>
        <v>16201</v>
      </c>
      <c r="D49" s="350"/>
      <c r="E49" s="350"/>
      <c r="F49" s="350"/>
      <c r="G49" s="350"/>
      <c r="H49" s="350"/>
      <c r="I49" s="350"/>
      <c r="J49" s="350"/>
      <c r="K49" s="674"/>
      <c r="L49" s="2492"/>
      <c r="M49" s="2485"/>
      <c r="N49" s="2485"/>
      <c r="O49" s="2485"/>
      <c r="P49" s="3385" t="str">
        <f>A49</f>
        <v>估价对象XX用房的比较价值（楼面单价，元/平方米）</v>
      </c>
      <c r="Q49" s="3386"/>
      <c r="R49" s="3387">
        <f>IF(F1="售价",ROUND(IF(D48="简单平均",AVERAGE(R48:V48),R48*F48+T48*H48+V48*J48),0),ROUND(IF(D48="简单平均",AVERAGE(R48:V48),R48*F48+T48*H48+V48*J48),1))</f>
        <v>16201</v>
      </c>
      <c r="S49" s="3387"/>
      <c r="T49" s="3387"/>
      <c r="U49" s="3387"/>
      <c r="V49" s="3387"/>
      <c r="W49" s="3387"/>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1" t="s">
        <v>1795</v>
      </c>
      <c r="D52" s="432"/>
      <c r="E52" s="433">
        <f>IF(E47&lt;E48,E48/E47-1,E47/E48-1)</f>
        <v>5.8599738799613776E-2</v>
      </c>
      <c r="F52" s="434" t="str">
        <f>IF(OR(E52&gt;=0.3,E52&lt;=-0.3),"超过30%","")</f>
        <v/>
      </c>
      <c r="G52" s="433">
        <f>IF(G47&lt;G48,G48/G47-1,G47/G48-1)</f>
        <v>2.8358208955223896E-2</v>
      </c>
      <c r="H52" s="434" t="str">
        <f>IF(OR(G52&gt;=0.3,G52&lt;=-0.3),"超过30%","")</f>
        <v/>
      </c>
      <c r="I52" s="433">
        <f>IF(I47&lt;I48,I48/I47-1,I47/I48-1)</f>
        <v>8.1818791496210963E-3</v>
      </c>
      <c r="J52" s="434" t="str">
        <f>IF(OR(I52&gt;=0.3,I52&lt;=-0.3),"超过30%","")</f>
        <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1" t="s">
        <v>1796</v>
      </c>
      <c r="D53" s="435"/>
      <c r="E53" s="433">
        <f>IF(E48&lt;G48,G48/E48-1,E48/G48-1)</f>
        <v>9.5211442786069744E-2</v>
      </c>
      <c r="F53" s="434" t="str">
        <f>IF(OR(E53&gt;=0.2,E53&lt;=-0.2),"超过20%","")</f>
        <v/>
      </c>
      <c r="G53" s="433">
        <f>IF(G48&lt;I48,I48/G48-1,G48/I48-1)</f>
        <v>7.8398497753336516E-2</v>
      </c>
      <c r="H53" s="434" t="str">
        <f>IF(OR(G53&gt;=0.2,G53&lt;=-0.2),"超过20%","")</f>
        <v/>
      </c>
      <c r="I53" s="433">
        <f>IF(I48&lt;E48,E48/I48-1,I48/E48-1)</f>
        <v>0.18107437462276166</v>
      </c>
      <c r="J53" s="434" t="str">
        <f>IF(OR(I53&gt;=0.2,I53&lt;=-0.2),"超过20%","")</f>
        <v/>
      </c>
      <c r="K53" s="2497"/>
      <c r="L53" s="2493"/>
      <c r="M53" s="2485"/>
      <c r="N53" s="2485"/>
      <c r="O53" s="2485"/>
      <c r="P53" s="2503"/>
      <c r="Q53" s="2485"/>
      <c r="R53" s="2485"/>
      <c r="S53" s="2485"/>
      <c r="T53" s="2485"/>
      <c r="U53" s="2485"/>
      <c r="V53" s="2485"/>
      <c r="W53" s="2485"/>
      <c r="X53" s="2485"/>
      <c r="Y53" s="2485"/>
      <c r="Z53" s="2485"/>
      <c r="AA53" s="2485"/>
      <c r="AB53" s="2485"/>
      <c r="AC53" s="2485"/>
    </row>
    <row r="54" spans="1:29" s="436" customFormat="1" ht="13.5" customHeight="1">
      <c r="A54" s="2495"/>
      <c r="B54" s="2495"/>
      <c r="C54" s="431" t="s">
        <v>1797</v>
      </c>
      <c r="D54" s="435"/>
      <c r="E54" s="433">
        <f>IF(E47&lt;G47,G47/E47-1,E47/G47-1)</f>
        <v>0.12741896468311564</v>
      </c>
      <c r="F54" s="434" t="str">
        <f>IF(OR(E54&gt;=0.3,E54&lt;=-0.3),"超过30%","")</f>
        <v/>
      </c>
      <c r="G54" s="433">
        <f>IF(G47&lt;I47,I47/G47-1,G47/I47-1)</f>
        <v>9.9980043903412419E-2</v>
      </c>
      <c r="H54" s="434" t="str">
        <f>IF(OR(G54&gt;=0.3,G54&lt;=-0.3),"超过30%","")</f>
        <v/>
      </c>
      <c r="I54" s="433">
        <f>IF(I47&lt;E47,E47/I47-1,I47/E47-1)</f>
        <v>0.24013836226967333</v>
      </c>
      <c r="J54" s="434" t="str">
        <f>IF(OR(I54&gt;=0.3,I54&lt;=-0.3),"超过30%","")</f>
        <v/>
      </c>
      <c r="K54" s="2500"/>
      <c r="L54" s="2494"/>
      <c r="M54" s="2495"/>
      <c r="N54" s="2495"/>
      <c r="O54" s="2495"/>
      <c r="P54" s="2504"/>
      <c r="Q54" s="2495"/>
      <c r="R54" s="2495"/>
      <c r="S54" s="2495"/>
      <c r="T54" s="2495"/>
      <c r="U54" s="2495"/>
      <c r="V54" s="2495"/>
      <c r="W54" s="2495"/>
      <c r="X54" s="2495"/>
      <c r="Y54" s="2495"/>
      <c r="Z54" s="2495"/>
      <c r="AA54" s="2495"/>
      <c r="AB54" s="2495"/>
      <c r="AC54" s="2495"/>
    </row>
    <row r="55" spans="1:29" s="436"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7" t="s">
        <v>1798</v>
      </c>
      <c r="B57" s="384"/>
      <c r="C57" s="658"/>
      <c r="D57" s="658"/>
      <c r="E57" s="658"/>
      <c r="F57" s="659"/>
      <c r="G57" s="659"/>
      <c r="H57" s="658"/>
      <c r="I57" s="658"/>
      <c r="J57" s="658"/>
      <c r="K57" s="660"/>
      <c r="L57" s="887"/>
      <c r="M57" s="885"/>
      <c r="N57" s="885"/>
      <c r="O57" s="885"/>
      <c r="P57" s="2505"/>
      <c r="Q57" s="2506"/>
      <c r="R57" s="2485"/>
      <c r="S57" s="2485"/>
      <c r="T57" s="2485"/>
      <c r="U57" s="2485"/>
      <c r="V57" s="2485"/>
      <c r="W57" s="2485"/>
      <c r="X57" s="2485"/>
      <c r="Y57" s="2485"/>
      <c r="Z57" s="2485"/>
      <c r="AA57" s="2485"/>
      <c r="AB57" s="2485"/>
      <c r="AC57" s="2485"/>
    </row>
    <row r="58" spans="1:29" s="441" customFormat="1" ht="14.4">
      <c r="A58" s="439" t="s">
        <v>1679</v>
      </c>
      <c r="B58" s="440"/>
      <c r="C58" s="1102" t="str">
        <f>YEAR(C7)&amp;"-"&amp;MONTH(C7)</f>
        <v>2024-9</v>
      </c>
      <c r="D58" s="1103">
        <f>EDATE(C58,-1)</f>
        <v>45505</v>
      </c>
      <c r="E58" s="1103">
        <f t="shared" ref="E58:N58" si="16">EDATE(D58,-1)</f>
        <v>45474</v>
      </c>
      <c r="F58" s="1103">
        <f t="shared" si="16"/>
        <v>45444</v>
      </c>
      <c r="G58" s="1103">
        <f t="shared" si="16"/>
        <v>45413</v>
      </c>
      <c r="H58" s="1103">
        <f t="shared" si="16"/>
        <v>45383</v>
      </c>
      <c r="I58" s="1103">
        <f t="shared" si="16"/>
        <v>45352</v>
      </c>
      <c r="J58" s="1103">
        <f t="shared" si="16"/>
        <v>45323</v>
      </c>
      <c r="K58" s="1103">
        <f t="shared" si="16"/>
        <v>45292</v>
      </c>
      <c r="L58" s="1103">
        <f t="shared" si="16"/>
        <v>45261</v>
      </c>
      <c r="M58" s="1103">
        <f t="shared" si="16"/>
        <v>45231</v>
      </c>
      <c r="N58" s="1103">
        <f t="shared" si="16"/>
        <v>45200</v>
      </c>
      <c r="O58" s="1103">
        <f>EDATE(N58,-1)</f>
        <v>45170</v>
      </c>
      <c r="P58" s="2507"/>
      <c r="Q58" s="2508"/>
      <c r="R58" s="2508"/>
      <c r="S58" s="2508"/>
      <c r="T58" s="2508"/>
      <c r="U58" s="2508"/>
      <c r="V58" s="2508"/>
      <c r="W58" s="2508"/>
      <c r="X58" s="2508"/>
      <c r="Y58" s="2508"/>
      <c r="Z58" s="2508"/>
      <c r="AA58" s="2508"/>
      <c r="AB58" s="2508"/>
      <c r="AC58" s="2508"/>
    </row>
    <row r="59" spans="1:29" s="101" customFormat="1">
      <c r="A59" s="442"/>
      <c r="B59" s="443"/>
      <c r="C59" s="1101">
        <v>100</v>
      </c>
      <c r="D59" s="445">
        <v>100</v>
      </c>
      <c r="E59" s="445"/>
      <c r="F59" s="445"/>
      <c r="G59" s="445"/>
      <c r="H59" s="445"/>
      <c r="I59" s="445"/>
      <c r="J59" s="445"/>
      <c r="K59" s="445"/>
      <c r="L59" s="445"/>
      <c r="M59" s="446"/>
      <c r="N59" s="445"/>
      <c r="O59" s="446"/>
      <c r="P59" s="2509"/>
      <c r="Q59" s="2438"/>
      <c r="R59" s="2438"/>
      <c r="S59" s="2438"/>
      <c r="T59" s="2438"/>
      <c r="U59" s="2438"/>
      <c r="V59" s="2438"/>
      <c r="W59" s="2438"/>
      <c r="X59" s="2438"/>
      <c r="Y59" s="2438"/>
      <c r="Z59" s="2438"/>
      <c r="AA59" s="2438"/>
      <c r="AB59" s="2438"/>
      <c r="AC59" s="2438"/>
    </row>
    <row r="60" spans="1:29" s="101" customFormat="1" ht="15" thickBot="1">
      <c r="A60" s="448" t="s">
        <v>1716</v>
      </c>
      <c r="B60" s="449"/>
      <c r="C60" s="450"/>
      <c r="D60" s="451"/>
      <c r="E60" s="451"/>
      <c r="F60" s="451"/>
      <c r="G60" s="451"/>
      <c r="H60" s="451"/>
      <c r="I60" s="451"/>
      <c r="J60" s="451"/>
      <c r="K60" s="451"/>
      <c r="L60" s="451"/>
      <c r="M60" s="452"/>
      <c r="N60" s="451"/>
      <c r="O60" s="452"/>
      <c r="P60" s="2509"/>
      <c r="Q60" s="2506"/>
      <c r="R60" s="2438"/>
      <c r="S60" s="2438"/>
      <c r="T60" s="2438"/>
      <c r="U60" s="2438"/>
      <c r="V60" s="2438"/>
      <c r="W60" s="2438"/>
      <c r="X60" s="2438"/>
      <c r="Y60" s="2438"/>
      <c r="Z60" s="2438"/>
      <c r="AA60" s="2438"/>
      <c r="AB60" s="2438"/>
      <c r="AC60" s="2438"/>
    </row>
    <row r="61" spans="1:29" s="101" customFormat="1" ht="14.4">
      <c r="A61" s="454" t="s">
        <v>1681</v>
      </c>
      <c r="B61" s="443"/>
      <c r="C61" s="455" t="s">
        <v>1776</v>
      </c>
      <c r="D61" s="3155" t="s">
        <v>3415</v>
      </c>
      <c r="E61" s="31"/>
      <c r="F61" s="31"/>
      <c r="G61" s="31"/>
      <c r="H61" s="31"/>
      <c r="I61" s="31"/>
      <c r="J61" s="31"/>
      <c r="K61" s="31"/>
      <c r="L61" s="456"/>
      <c r="M61" s="457"/>
      <c r="N61" s="2518"/>
      <c r="O61" s="2518"/>
      <c r="P61" s="2510"/>
      <c r="Q61" s="2506"/>
      <c r="R61" s="2438"/>
      <c r="S61" s="2438"/>
      <c r="T61" s="2438"/>
      <c r="U61" s="2438"/>
      <c r="V61" s="2438"/>
      <c r="W61" s="2438"/>
      <c r="X61" s="2438"/>
      <c r="Y61" s="2438"/>
      <c r="Z61" s="2438"/>
      <c r="AA61" s="2438"/>
      <c r="AB61" s="2438"/>
      <c r="AC61" s="2438"/>
    </row>
    <row r="62" spans="1:29" s="101" customFormat="1" ht="14.4" thickBot="1">
      <c r="A62" s="454"/>
      <c r="B62" s="443"/>
      <c r="C62" s="444">
        <v>100</v>
      </c>
      <c r="D62" s="445">
        <v>102</v>
      </c>
      <c r="E62" s="445"/>
      <c r="F62" s="445"/>
      <c r="G62" s="445"/>
      <c r="H62" s="445"/>
      <c r="I62" s="445"/>
      <c r="J62" s="445"/>
      <c r="K62" s="445"/>
      <c r="L62" s="445"/>
      <c r="M62" s="447"/>
      <c r="N62" s="2518"/>
      <c r="O62" s="2518"/>
      <c r="P62" s="2509"/>
      <c r="Q62" s="2506"/>
      <c r="R62" s="2438"/>
      <c r="S62" s="2438"/>
      <c r="T62" s="2438"/>
      <c r="U62" s="2438"/>
      <c r="V62" s="2438"/>
      <c r="W62" s="2438"/>
      <c r="X62" s="2438"/>
      <c r="Y62" s="2438"/>
      <c r="Z62" s="2438"/>
      <c r="AA62" s="2438"/>
      <c r="AB62" s="2438"/>
      <c r="AC62" s="2438"/>
    </row>
    <row r="63" spans="1:29" ht="14.4">
      <c r="A63" s="378" t="s">
        <v>1719</v>
      </c>
      <c r="B63" s="459" t="s">
        <v>1685</v>
      </c>
      <c r="C63" s="460" t="str">
        <f>C9</f>
        <v>商业</v>
      </c>
      <c r="D63" s="461"/>
      <c r="E63" s="461"/>
      <c r="F63" s="461"/>
      <c r="G63" s="461"/>
      <c r="H63" s="461"/>
      <c r="I63" s="461"/>
      <c r="J63" s="461"/>
      <c r="K63" s="462"/>
      <c r="L63" s="463"/>
      <c r="M63" s="464"/>
      <c r="N63" s="2519"/>
      <c r="O63" s="2519"/>
      <c r="P63" s="2511"/>
      <c r="Q63" s="2506"/>
      <c r="R63" s="2485"/>
      <c r="S63" s="2485"/>
      <c r="T63" s="2485"/>
      <c r="U63" s="2485"/>
      <c r="V63" s="2485"/>
      <c r="W63" s="2485"/>
      <c r="X63" s="2485"/>
      <c r="Y63" s="2485"/>
      <c r="Z63" s="2485"/>
      <c r="AA63" s="2485"/>
      <c r="AB63" s="2485"/>
      <c r="AC63" s="2485"/>
    </row>
    <row r="64" spans="1:29" ht="14.4" thickBot="1">
      <c r="A64" s="366"/>
      <c r="B64" s="465"/>
      <c r="C64" s="466">
        <v>100</v>
      </c>
      <c r="D64" s="466"/>
      <c r="E64" s="466"/>
      <c r="F64" s="466"/>
      <c r="G64" s="466"/>
      <c r="H64" s="466"/>
      <c r="I64" s="466"/>
      <c r="J64" s="466"/>
      <c r="K64" s="466"/>
      <c r="L64" s="466"/>
      <c r="M64" s="467"/>
      <c r="N64" s="2520"/>
      <c r="O64" s="2520"/>
      <c r="P64" s="2511"/>
      <c r="Q64" s="2506"/>
      <c r="R64" s="2485"/>
      <c r="S64" s="2485"/>
      <c r="T64" s="2485"/>
      <c r="U64" s="2485"/>
      <c r="V64" s="2485"/>
      <c r="W64" s="2485"/>
      <c r="X64" s="2485"/>
      <c r="Y64" s="2485"/>
      <c r="Z64" s="2485"/>
      <c r="AA64" s="2485"/>
      <c r="AB64" s="2485"/>
      <c r="AC64" s="2485"/>
    </row>
    <row r="65" spans="1:29" ht="29.4" thickTop="1">
      <c r="A65" s="366"/>
      <c r="B65" s="468" t="s">
        <v>1688</v>
      </c>
      <c r="C65" s="512"/>
      <c r="D65" s="512"/>
      <c r="E65" s="512"/>
      <c r="F65" s="512"/>
      <c r="G65" s="512"/>
      <c r="H65" s="512"/>
      <c r="I65" s="512"/>
      <c r="J65" s="512"/>
      <c r="K65" s="513"/>
      <c r="L65" s="514"/>
      <c r="M65" s="515"/>
      <c r="N65" s="2519"/>
      <c r="O65" s="2519"/>
      <c r="P65" s="2511"/>
      <c r="Q65" s="2506"/>
      <c r="R65" s="2485"/>
      <c r="S65" s="2485"/>
      <c r="T65" s="2485"/>
      <c r="U65" s="2485"/>
      <c r="V65" s="2485"/>
      <c r="W65" s="2485"/>
      <c r="X65" s="2485"/>
      <c r="Y65" s="2485"/>
      <c r="Z65" s="2485"/>
      <c r="AA65" s="2485"/>
      <c r="AB65" s="2485"/>
      <c r="AC65" s="2485"/>
    </row>
    <row r="66" spans="1:29" ht="14.4" thickBot="1">
      <c r="A66" s="366"/>
      <c r="B66" s="473"/>
      <c r="C66" s="466"/>
      <c r="D66" s="466"/>
      <c r="E66" s="466"/>
      <c r="F66" s="466"/>
      <c r="G66" s="466"/>
      <c r="H66" s="466"/>
      <c r="I66" s="466"/>
      <c r="J66" s="466"/>
      <c r="K66" s="466"/>
      <c r="L66" s="466"/>
      <c r="M66" s="467"/>
      <c r="N66" s="2520"/>
      <c r="O66" s="2520"/>
      <c r="P66" s="2511"/>
      <c r="Q66" s="2506"/>
      <c r="R66" s="2485"/>
      <c r="S66" s="2485"/>
      <c r="T66" s="2485"/>
      <c r="U66" s="2485"/>
      <c r="V66" s="2485"/>
      <c r="W66" s="2485"/>
      <c r="X66" s="2485"/>
      <c r="Y66" s="2485"/>
      <c r="Z66" s="2485"/>
      <c r="AA66" s="2485"/>
      <c r="AB66" s="2485"/>
      <c r="AC66" s="2485"/>
    </row>
    <row r="67" spans="1:29" ht="15" thickTop="1">
      <c r="A67" s="366"/>
      <c r="B67" s="476" t="s">
        <v>1689</v>
      </c>
      <c r="C67" s="477" t="str">
        <f>C68&amp;"（含）"&amp;"-"&amp;D68</f>
        <v>0（含）-2</v>
      </c>
      <c r="D67" s="477" t="str">
        <f t="shared" ref="D67:L67" si="17">D68&amp;"（含）"&amp;"-"&amp;E68</f>
        <v>2（含）-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0"/>
      <c r="O67" s="2520"/>
      <c r="P67" s="2511"/>
      <c r="Q67" s="2506"/>
      <c r="R67" s="2485"/>
      <c r="S67" s="2485"/>
      <c r="T67" s="2485"/>
      <c r="U67" s="2485"/>
      <c r="V67" s="2485"/>
      <c r="W67" s="2485"/>
      <c r="X67" s="2485"/>
      <c r="Y67" s="2485"/>
      <c r="Z67" s="2485"/>
      <c r="AA67" s="2485"/>
      <c r="AB67" s="2485"/>
      <c r="AC67" s="2485"/>
    </row>
    <row r="68" spans="1:29">
      <c r="A68" s="366"/>
      <c r="B68" s="478"/>
      <c r="C68" s="479">
        <v>0</v>
      </c>
      <c r="D68" s="479">
        <v>2</v>
      </c>
      <c r="E68" s="479"/>
      <c r="F68" s="479"/>
      <c r="G68" s="479"/>
      <c r="H68" s="479"/>
      <c r="I68" s="479"/>
      <c r="J68" s="479"/>
      <c r="K68" s="480"/>
      <c r="L68" s="481"/>
      <c r="M68" s="482"/>
      <c r="N68" s="2519"/>
      <c r="O68" s="2519"/>
      <c r="P68" s="2511"/>
      <c r="Q68" s="2506"/>
      <c r="R68" s="2485"/>
      <c r="S68" s="2485"/>
      <c r="T68" s="2485"/>
      <c r="U68" s="2485"/>
      <c r="V68" s="2485"/>
      <c r="W68" s="2485"/>
      <c r="X68" s="2485"/>
      <c r="Y68" s="2485"/>
      <c r="Z68" s="2485"/>
      <c r="AA68" s="2485"/>
      <c r="AB68" s="2485"/>
      <c r="AC68" s="2485"/>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0"/>
      <c r="O69" s="2520"/>
      <c r="P69" s="2511"/>
      <c r="Q69" s="2506"/>
      <c r="R69" s="2485"/>
      <c r="S69" s="2485"/>
      <c r="T69" s="2485"/>
      <c r="U69" s="2485"/>
      <c r="V69" s="2485"/>
      <c r="W69" s="2485"/>
      <c r="X69" s="2485"/>
      <c r="Y69" s="2485"/>
      <c r="Z69" s="2485"/>
      <c r="AA69" s="2485"/>
      <c r="AB69" s="2485"/>
      <c r="AC69" s="2485"/>
    </row>
    <row r="70" spans="1:29" s="407" customFormat="1" ht="14.4" thickTop="1">
      <c r="A70" s="483"/>
      <c r="B70" s="468">
        <f>B12</f>
        <v>111</v>
      </c>
      <c r="C70" s="484"/>
      <c r="D70" s="484"/>
      <c r="E70" s="484"/>
      <c r="F70" s="484"/>
      <c r="G70" s="484"/>
      <c r="H70" s="485"/>
      <c r="I70" s="485"/>
      <c r="J70" s="485"/>
      <c r="K70" s="485"/>
      <c r="L70" s="486"/>
      <c r="M70" s="487"/>
      <c r="N70" s="2521"/>
      <c r="O70" s="2521"/>
      <c r="P70" s="2512"/>
      <c r="Q70" s="2513"/>
      <c r="R70" s="2491"/>
      <c r="S70" s="2491"/>
      <c r="T70" s="2491"/>
      <c r="U70" s="2491"/>
      <c r="V70" s="2491"/>
      <c r="W70" s="2491"/>
      <c r="X70" s="2491"/>
      <c r="Y70" s="2491"/>
      <c r="Z70" s="2491"/>
      <c r="AA70" s="2491"/>
      <c r="AB70" s="2491"/>
      <c r="AC70" s="2491"/>
    </row>
    <row r="71" spans="1:29" s="407" customFormat="1" ht="14.4" thickBot="1">
      <c r="A71" s="483"/>
      <c r="B71" s="473"/>
      <c r="C71" s="490"/>
      <c r="D71" s="466"/>
      <c r="E71" s="466"/>
      <c r="F71" s="466"/>
      <c r="G71" s="466"/>
      <c r="H71" s="466"/>
      <c r="I71" s="466"/>
      <c r="J71" s="466"/>
      <c r="K71" s="466"/>
      <c r="L71" s="466"/>
      <c r="M71" s="467"/>
      <c r="N71" s="2520"/>
      <c r="O71" s="2520"/>
      <c r="P71" s="2512"/>
      <c r="Q71" s="2513"/>
      <c r="R71" s="2491"/>
      <c r="S71" s="2491"/>
      <c r="T71" s="2491"/>
      <c r="U71" s="2491"/>
      <c r="V71" s="2491"/>
      <c r="W71" s="2491"/>
      <c r="X71" s="2491"/>
      <c r="Y71" s="2491"/>
      <c r="Z71" s="2491"/>
      <c r="AA71" s="2491"/>
      <c r="AB71" s="2491"/>
      <c r="AC71" s="2491"/>
    </row>
    <row r="72" spans="1:29" s="407" customFormat="1" ht="14.4" thickTop="1">
      <c r="A72" s="483"/>
      <c r="B72" s="468">
        <f>B13</f>
        <v>111</v>
      </c>
      <c r="C72" s="484"/>
      <c r="D72" s="484"/>
      <c r="E72" s="484"/>
      <c r="F72" s="484"/>
      <c r="G72" s="484"/>
      <c r="H72" s="485"/>
      <c r="I72" s="485"/>
      <c r="J72" s="485"/>
      <c r="K72" s="485"/>
      <c r="L72" s="486"/>
      <c r="M72" s="487"/>
      <c r="N72" s="2521"/>
      <c r="O72" s="2521"/>
      <c r="P72" s="2514"/>
      <c r="Q72" s="2515"/>
      <c r="R72" s="2491"/>
      <c r="S72" s="2491"/>
      <c r="T72" s="2491"/>
      <c r="U72" s="2491"/>
      <c r="V72" s="2491"/>
      <c r="W72" s="2491"/>
      <c r="X72" s="2491"/>
      <c r="Y72" s="2491"/>
      <c r="Z72" s="2491"/>
      <c r="AA72" s="2491"/>
      <c r="AB72" s="2491"/>
      <c r="AC72" s="2491"/>
    </row>
    <row r="73" spans="1:29" s="407" customFormat="1" ht="14.4" thickBot="1">
      <c r="A73" s="483"/>
      <c r="B73" s="473"/>
      <c r="C73" s="490"/>
      <c r="D73" s="466"/>
      <c r="E73" s="466"/>
      <c r="F73" s="466"/>
      <c r="G73" s="490"/>
      <c r="H73" s="492"/>
      <c r="I73" s="492"/>
      <c r="J73" s="492"/>
      <c r="K73" s="492"/>
      <c r="L73" s="492"/>
      <c r="M73" s="493"/>
      <c r="N73" s="2521"/>
      <c r="O73" s="2521"/>
      <c r="P73" s="2512"/>
      <c r="Q73" s="2513"/>
      <c r="R73" s="2491"/>
      <c r="S73" s="2491"/>
      <c r="T73" s="2491"/>
      <c r="U73" s="2491"/>
      <c r="V73" s="2491"/>
      <c r="W73" s="2491"/>
      <c r="X73" s="2491"/>
      <c r="Y73" s="2491"/>
      <c r="Z73" s="2491"/>
      <c r="AA73" s="2491"/>
      <c r="AB73" s="2491"/>
      <c r="AC73" s="2491"/>
    </row>
    <row r="74" spans="1:29" s="407" customFormat="1" ht="14.4" thickTop="1">
      <c r="A74" s="483"/>
      <c r="B74" s="476">
        <f>B14</f>
        <v>111</v>
      </c>
      <c r="C74" s="484"/>
      <c r="D74" s="484"/>
      <c r="E74" s="484"/>
      <c r="F74" s="484"/>
      <c r="G74" s="31"/>
      <c r="H74" s="494"/>
      <c r="I74" s="494"/>
      <c r="J74" s="494"/>
      <c r="K74" s="494"/>
      <c r="L74" s="495"/>
      <c r="M74" s="496"/>
      <c r="N74" s="2521"/>
      <c r="O74" s="2521"/>
      <c r="P74" s="2516"/>
      <c r="Q74" s="2513"/>
      <c r="R74" s="2491"/>
      <c r="S74" s="2491"/>
      <c r="T74" s="2491"/>
      <c r="U74" s="2491"/>
      <c r="V74" s="2491"/>
      <c r="W74" s="2491"/>
      <c r="X74" s="2491"/>
      <c r="Y74" s="2491"/>
      <c r="Z74" s="2491"/>
      <c r="AA74" s="2491"/>
      <c r="AB74" s="2491"/>
      <c r="AC74" s="2491"/>
    </row>
    <row r="75" spans="1:29" s="407" customFormat="1" ht="14.4" thickBot="1">
      <c r="A75" s="498"/>
      <c r="B75" s="499"/>
      <c r="C75" s="500"/>
      <c r="D75" s="500"/>
      <c r="E75" s="500"/>
      <c r="F75" s="500"/>
      <c r="G75" s="500"/>
      <c r="H75" s="501"/>
      <c r="I75" s="501"/>
      <c r="J75" s="501"/>
      <c r="K75" s="501"/>
      <c r="L75" s="501"/>
      <c r="M75" s="502"/>
      <c r="N75" s="2521"/>
      <c r="O75" s="2521"/>
      <c r="P75" s="2512"/>
      <c r="Q75" s="2513"/>
      <c r="R75" s="2491"/>
      <c r="S75" s="2491"/>
      <c r="T75" s="2491"/>
      <c r="U75" s="2491"/>
      <c r="V75" s="2491"/>
      <c r="W75" s="2491"/>
      <c r="X75" s="2491"/>
      <c r="Y75" s="2491"/>
      <c r="Z75" s="2491"/>
      <c r="AA75" s="2491"/>
      <c r="AB75" s="2491"/>
      <c r="AC75" s="2491"/>
    </row>
    <row r="76" spans="1:29" ht="14.4">
      <c r="A76" s="378" t="s">
        <v>1690</v>
      </c>
      <c r="B76" s="459" t="s">
        <v>1720</v>
      </c>
      <c r="C76" s="503" t="s">
        <v>1721</v>
      </c>
      <c r="D76" s="503" t="s">
        <v>1722</v>
      </c>
      <c r="E76" s="503" t="s">
        <v>1723</v>
      </c>
      <c r="F76" s="503" t="s">
        <v>1724</v>
      </c>
      <c r="G76" s="503" t="s">
        <v>1725</v>
      </c>
      <c r="H76" s="460"/>
      <c r="I76" s="460"/>
      <c r="J76" s="460"/>
      <c r="K76" s="504"/>
      <c r="L76" s="505"/>
      <c r="M76" s="506"/>
      <c r="N76" s="2519"/>
      <c r="O76" s="2519"/>
      <c r="P76" s="2517"/>
      <c r="Q76" s="2506"/>
      <c r="R76" s="2485"/>
      <c r="S76" s="2485"/>
      <c r="T76" s="2485"/>
      <c r="U76" s="2485"/>
      <c r="V76" s="2485"/>
      <c r="W76" s="2485"/>
      <c r="X76" s="2485"/>
      <c r="Y76" s="2485"/>
      <c r="Z76" s="2485"/>
      <c r="AA76" s="2485"/>
      <c r="AB76" s="2485"/>
      <c r="AC76" s="2485"/>
    </row>
    <row r="77" spans="1:29" ht="14.4" thickBot="1">
      <c r="A77" s="366"/>
      <c r="B77" s="473"/>
      <c r="C77" s="474">
        <v>100</v>
      </c>
      <c r="D77" s="474">
        <f>C77-$K15</f>
        <v>98</v>
      </c>
      <c r="E77" s="474">
        <f>D77-$K15</f>
        <v>96</v>
      </c>
      <c r="F77" s="474">
        <f>E77-$K15</f>
        <v>94</v>
      </c>
      <c r="G77" s="474">
        <f>F77-$K15</f>
        <v>92</v>
      </c>
      <c r="H77" s="474"/>
      <c r="I77" s="474"/>
      <c r="J77" s="474"/>
      <c r="K77" s="474"/>
      <c r="L77" s="474"/>
      <c r="M77" s="475"/>
      <c r="N77" s="2520"/>
      <c r="O77" s="2520"/>
      <c r="P77" s="2511"/>
      <c r="Q77" s="2506"/>
      <c r="R77" s="2485"/>
      <c r="S77" s="2485"/>
      <c r="T77" s="2485"/>
      <c r="U77" s="2485"/>
      <c r="V77" s="2485"/>
      <c r="W77" s="2485"/>
      <c r="X77" s="2485"/>
      <c r="Y77" s="2485"/>
      <c r="Z77" s="2485"/>
      <c r="AA77" s="2485"/>
      <c r="AB77" s="2485"/>
      <c r="AC77" s="2485"/>
    </row>
    <row r="78" spans="1:29" ht="15" thickTop="1">
      <c r="A78" s="366"/>
      <c r="B78" s="468" t="s">
        <v>1726</v>
      </c>
      <c r="C78" s="508" t="s">
        <v>1721</v>
      </c>
      <c r="D78" s="508" t="s">
        <v>1722</v>
      </c>
      <c r="E78" s="508" t="s">
        <v>1723</v>
      </c>
      <c r="F78" s="508" t="s">
        <v>1724</v>
      </c>
      <c r="G78" s="508" t="s">
        <v>1725</v>
      </c>
      <c r="H78" s="469"/>
      <c r="I78" s="469"/>
      <c r="J78" s="469"/>
      <c r="K78" s="470"/>
      <c r="L78" s="471"/>
      <c r="M78" s="472"/>
      <c r="N78" s="2519"/>
      <c r="O78" s="2519"/>
      <c r="P78" s="2511"/>
      <c r="Q78" s="2506"/>
      <c r="R78" s="2485"/>
      <c r="S78" s="2485"/>
      <c r="T78" s="2485"/>
      <c r="U78" s="2485"/>
      <c r="V78" s="2485"/>
      <c r="W78" s="2485"/>
      <c r="X78" s="2485"/>
      <c r="Y78" s="2485"/>
      <c r="Z78" s="2485"/>
      <c r="AA78" s="2485"/>
      <c r="AB78" s="2485"/>
      <c r="AC78" s="2485"/>
    </row>
    <row r="79" spans="1:29" ht="14.4" thickBot="1">
      <c r="A79" s="366"/>
      <c r="B79" s="473"/>
      <c r="C79" s="474">
        <v>100</v>
      </c>
      <c r="D79" s="474">
        <f>C79-$K17</f>
        <v>99</v>
      </c>
      <c r="E79" s="474">
        <f>D79-$K17</f>
        <v>98</v>
      </c>
      <c r="F79" s="474">
        <f>E79-$K17</f>
        <v>97</v>
      </c>
      <c r="G79" s="474">
        <f>F79-$K17</f>
        <v>96</v>
      </c>
      <c r="H79" s="474"/>
      <c r="I79" s="474"/>
      <c r="J79" s="474"/>
      <c r="K79" s="474"/>
      <c r="L79" s="474"/>
      <c r="M79" s="475"/>
      <c r="N79" s="2520"/>
      <c r="O79" s="2520"/>
      <c r="P79" s="2511"/>
      <c r="Q79" s="2506"/>
      <c r="R79" s="2485"/>
      <c r="S79" s="2485"/>
      <c r="T79" s="2485"/>
      <c r="U79" s="2485"/>
      <c r="V79" s="2485"/>
      <c r="W79" s="2485"/>
      <c r="X79" s="2485"/>
      <c r="Y79" s="2485"/>
      <c r="Z79" s="2485"/>
      <c r="AA79" s="2485"/>
      <c r="AB79" s="2485"/>
      <c r="AC79" s="2485"/>
    </row>
    <row r="80" spans="1:29" ht="15" thickTop="1">
      <c r="A80" s="366"/>
      <c r="B80" s="468" t="s">
        <v>1727</v>
      </c>
      <c r="C80" s="508" t="s">
        <v>1721</v>
      </c>
      <c r="D80" s="508" t="s">
        <v>1722</v>
      </c>
      <c r="E80" s="508" t="s">
        <v>1723</v>
      </c>
      <c r="F80" s="508" t="s">
        <v>1724</v>
      </c>
      <c r="G80" s="508" t="s">
        <v>1725</v>
      </c>
      <c r="H80" s="469"/>
      <c r="I80" s="469"/>
      <c r="J80" s="469"/>
      <c r="K80" s="470"/>
      <c r="L80" s="471"/>
      <c r="M80" s="472"/>
      <c r="N80" s="2519"/>
      <c r="O80" s="2519"/>
      <c r="P80" s="2511"/>
      <c r="Q80" s="2506"/>
      <c r="R80" s="2485"/>
      <c r="S80" s="2485"/>
      <c r="T80" s="2485"/>
      <c r="U80" s="2485"/>
      <c r="V80" s="2485"/>
      <c r="W80" s="2485"/>
      <c r="X80" s="2485"/>
      <c r="Y80" s="2485"/>
      <c r="Z80" s="2485"/>
      <c r="AA80" s="2485"/>
      <c r="AB80" s="2485"/>
      <c r="AC80" s="2485"/>
    </row>
    <row r="81" spans="1:29" ht="14.4" thickBot="1">
      <c r="A81" s="366"/>
      <c r="B81" s="473"/>
      <c r="C81" s="474">
        <v>100</v>
      </c>
      <c r="D81" s="474">
        <f>C81-$K19</f>
        <v>99</v>
      </c>
      <c r="E81" s="474">
        <f>D81-$K19</f>
        <v>98</v>
      </c>
      <c r="F81" s="474">
        <f>E81-$K19</f>
        <v>97</v>
      </c>
      <c r="G81" s="474">
        <f>F81-$K19</f>
        <v>96</v>
      </c>
      <c r="H81" s="474"/>
      <c r="I81" s="474"/>
      <c r="J81" s="474"/>
      <c r="K81" s="474"/>
      <c r="L81" s="474"/>
      <c r="M81" s="475"/>
      <c r="N81" s="2520"/>
      <c r="O81" s="2520"/>
      <c r="P81" s="2511"/>
      <c r="Q81" s="2506"/>
      <c r="R81" s="2485"/>
      <c r="S81" s="2485"/>
      <c r="T81" s="2485"/>
      <c r="U81" s="2485"/>
      <c r="V81" s="2485"/>
      <c r="W81" s="2485"/>
      <c r="X81" s="2485"/>
      <c r="Y81" s="2485"/>
      <c r="Z81" s="2485"/>
      <c r="AA81" s="2485"/>
      <c r="AB81" s="2485"/>
      <c r="AC81" s="2485"/>
    </row>
    <row r="82" spans="1:29" ht="15" thickTop="1">
      <c r="A82" s="366"/>
      <c r="B82" s="476" t="s">
        <v>1779</v>
      </c>
      <c r="C82" s="580" t="s">
        <v>1799</v>
      </c>
      <c r="D82" s="580" t="s">
        <v>1800</v>
      </c>
      <c r="E82" s="580" t="s">
        <v>1801</v>
      </c>
      <c r="F82" s="580" t="s">
        <v>1802</v>
      </c>
      <c r="G82" s="580" t="s">
        <v>1803</v>
      </c>
      <c r="H82" s="469"/>
      <c r="I82" s="469"/>
      <c r="J82" s="469"/>
      <c r="K82" s="469"/>
      <c r="L82" s="469"/>
      <c r="M82" s="1062"/>
      <c r="N82" s="2520"/>
      <c r="O82" s="2520"/>
      <c r="P82" s="2511"/>
      <c r="Q82" s="2506"/>
      <c r="R82" s="2485"/>
      <c r="S82" s="2485"/>
      <c r="T82" s="2485"/>
      <c r="U82" s="2485"/>
      <c r="V82" s="2485"/>
      <c r="W82" s="2485"/>
      <c r="X82" s="2485"/>
      <c r="Y82" s="2485"/>
      <c r="Z82" s="2485"/>
      <c r="AA82" s="2485"/>
      <c r="AB82" s="2485"/>
      <c r="AC82" s="2485"/>
    </row>
    <row r="83" spans="1:29" ht="14.4" thickBot="1">
      <c r="A83" s="366"/>
      <c r="B83" s="476"/>
      <c r="C83" s="474">
        <v>100</v>
      </c>
      <c r="D83" s="474">
        <f>C83-$K21</f>
        <v>99</v>
      </c>
      <c r="E83" s="474">
        <f t="shared" ref="E83:G83" si="19">D83-$K21</f>
        <v>98</v>
      </c>
      <c r="F83" s="474">
        <f t="shared" si="19"/>
        <v>97</v>
      </c>
      <c r="G83" s="474">
        <f t="shared" si="19"/>
        <v>96</v>
      </c>
      <c r="H83" s="580"/>
      <c r="I83" s="580"/>
      <c r="J83" s="580"/>
      <c r="K83" s="580"/>
      <c r="L83" s="580"/>
      <c r="M83" s="388"/>
      <c r="N83" s="2520"/>
      <c r="O83" s="2520"/>
      <c r="P83" s="2511"/>
      <c r="Q83" s="2506"/>
      <c r="R83" s="2485"/>
      <c r="S83" s="2485"/>
      <c r="T83" s="2485"/>
      <c r="U83" s="2485"/>
      <c r="V83" s="2485"/>
      <c r="W83" s="2485"/>
      <c r="X83" s="2485"/>
      <c r="Y83" s="2485"/>
      <c r="Z83" s="2485"/>
      <c r="AA83" s="2485"/>
      <c r="AB83" s="2485"/>
      <c r="AC83" s="2485"/>
    </row>
    <row r="84" spans="1:29" ht="15" thickTop="1">
      <c r="A84" s="366"/>
      <c r="B84" s="468" t="s">
        <v>1733</v>
      </c>
      <c r="C84" s="508" t="s">
        <v>1721</v>
      </c>
      <c r="D84" s="508" t="s">
        <v>1722</v>
      </c>
      <c r="E84" s="508" t="s">
        <v>1723</v>
      </c>
      <c r="F84" s="508" t="s">
        <v>1724</v>
      </c>
      <c r="G84" s="508" t="s">
        <v>1725</v>
      </c>
      <c r="H84" s="469"/>
      <c r="I84" s="469"/>
      <c r="J84" s="469"/>
      <c r="K84" s="470"/>
      <c r="L84" s="471"/>
      <c r="M84" s="472"/>
      <c r="N84" s="2519"/>
      <c r="O84" s="2519"/>
      <c r="P84" s="2511"/>
      <c r="Q84" s="2506"/>
      <c r="R84" s="2485"/>
      <c r="S84" s="2485"/>
      <c r="T84" s="2485"/>
      <c r="U84" s="2485"/>
      <c r="V84" s="2485"/>
      <c r="W84" s="2485"/>
      <c r="X84" s="2485"/>
      <c r="Y84" s="2485"/>
      <c r="Z84" s="2485"/>
      <c r="AA84" s="2485"/>
      <c r="AB84" s="2485"/>
      <c r="AC84" s="2485"/>
    </row>
    <row r="85" spans="1:29" ht="14.4" thickBot="1">
      <c r="A85" s="366"/>
      <c r="B85" s="473"/>
      <c r="C85" s="474">
        <v>100</v>
      </c>
      <c r="D85" s="474">
        <f>C85-$K23</f>
        <v>98</v>
      </c>
      <c r="E85" s="474">
        <f>D85-$K23</f>
        <v>96</v>
      </c>
      <c r="F85" s="474">
        <f>E85-$K23</f>
        <v>94</v>
      </c>
      <c r="G85" s="474">
        <f>F85-$K23</f>
        <v>92</v>
      </c>
      <c r="H85" s="474"/>
      <c r="I85" s="474"/>
      <c r="J85" s="474"/>
      <c r="K85" s="474"/>
      <c r="L85" s="474"/>
      <c r="M85" s="475"/>
      <c r="N85" s="2520"/>
      <c r="O85" s="2520"/>
      <c r="P85" s="2511"/>
      <c r="Q85" s="2506"/>
      <c r="R85" s="2485"/>
      <c r="S85" s="2485"/>
      <c r="T85" s="2485"/>
      <c r="U85" s="2485"/>
      <c r="V85" s="2485"/>
      <c r="W85" s="2485"/>
      <c r="X85" s="2485"/>
      <c r="Y85" s="2485"/>
      <c r="Z85" s="2485"/>
      <c r="AA85" s="2485"/>
      <c r="AB85" s="2485"/>
      <c r="AC85" s="2485"/>
    </row>
    <row r="86" spans="1:29" s="101" customFormat="1" ht="15" thickTop="1">
      <c r="A86" s="369"/>
      <c r="B86" s="468" t="s">
        <v>1804</v>
      </c>
      <c r="C86" s="484"/>
      <c r="D86" s="484"/>
      <c r="E86" s="484"/>
      <c r="F86" s="484"/>
      <c r="G86" s="484"/>
      <c r="H86" s="484"/>
      <c r="I86" s="484"/>
      <c r="J86" s="484"/>
      <c r="K86" s="484"/>
      <c r="L86" s="509"/>
      <c r="M86" s="510"/>
      <c r="N86" s="2518"/>
      <c r="O86" s="2518"/>
      <c r="P86" s="2511"/>
      <c r="Q86" s="2506"/>
      <c r="R86" s="2438"/>
      <c r="S86" s="2438"/>
      <c r="T86" s="2438"/>
      <c r="U86" s="2438"/>
      <c r="V86" s="2438"/>
      <c r="W86" s="2438"/>
      <c r="X86" s="2438"/>
      <c r="Y86" s="2438"/>
      <c r="Z86" s="2438"/>
      <c r="AA86" s="2438"/>
      <c r="AB86" s="2438"/>
      <c r="AC86" s="2438"/>
    </row>
    <row r="87" spans="1:29" s="101" customFormat="1" ht="14.4" thickBot="1">
      <c r="A87" s="369"/>
      <c r="B87" s="473"/>
      <c r="C87" s="511">
        <v>100</v>
      </c>
      <c r="D87" s="474">
        <f t="shared" ref="D87:M87" si="20">C87-$K25</f>
        <v>98</v>
      </c>
      <c r="E87" s="474">
        <f t="shared" si="20"/>
        <v>96</v>
      </c>
      <c r="F87" s="474">
        <f t="shared" si="20"/>
        <v>94</v>
      </c>
      <c r="G87" s="474">
        <f t="shared" si="20"/>
        <v>92</v>
      </c>
      <c r="H87" s="474">
        <f t="shared" si="20"/>
        <v>90</v>
      </c>
      <c r="I87" s="474">
        <f t="shared" si="20"/>
        <v>88</v>
      </c>
      <c r="J87" s="474">
        <f t="shared" si="20"/>
        <v>86</v>
      </c>
      <c r="K87" s="474">
        <f t="shared" si="20"/>
        <v>84</v>
      </c>
      <c r="L87" s="474">
        <f t="shared" si="20"/>
        <v>82</v>
      </c>
      <c r="M87" s="474">
        <f t="shared" si="20"/>
        <v>80</v>
      </c>
      <c r="N87" s="2520"/>
      <c r="O87" s="2520"/>
      <c r="P87" s="2511"/>
      <c r="Q87" s="2506"/>
      <c r="R87" s="2438"/>
      <c r="S87" s="2438"/>
      <c r="T87" s="2438"/>
      <c r="U87" s="2438"/>
      <c r="V87" s="2438"/>
      <c r="W87" s="2438"/>
      <c r="X87" s="2438"/>
      <c r="Y87" s="2438"/>
      <c r="Z87" s="2438"/>
      <c r="AA87" s="2438"/>
      <c r="AB87" s="2438"/>
      <c r="AC87" s="2438"/>
    </row>
    <row r="88" spans="1:29" s="101" customFormat="1" ht="15" thickTop="1">
      <c r="A88" s="369"/>
      <c r="B88" s="468" t="str">
        <f>B26</f>
        <v>平面位置/可视性</v>
      </c>
      <c r="C88" s="3157" t="s">
        <v>3503</v>
      </c>
      <c r="D88" s="3157" t="s">
        <v>3502</v>
      </c>
      <c r="E88" s="484"/>
      <c r="F88" s="1779"/>
      <c r="G88" s="484"/>
      <c r="H88" s="484"/>
      <c r="I88" s="484"/>
      <c r="J88" s="484"/>
      <c r="K88" s="484"/>
      <c r="L88" s="484"/>
      <c r="M88" s="510"/>
      <c r="N88" s="2518"/>
      <c r="O88" s="2518"/>
      <c r="P88" s="2511"/>
      <c r="Q88" s="2506"/>
      <c r="R88" s="2438"/>
      <c r="S88" s="2438"/>
      <c r="T88" s="2438"/>
      <c r="U88" s="2438"/>
      <c r="V88" s="2438"/>
      <c r="W88" s="2438"/>
      <c r="X88" s="2438"/>
      <c r="Y88" s="2438"/>
      <c r="Z88" s="2438"/>
      <c r="AA88" s="2438"/>
      <c r="AB88" s="2438"/>
      <c r="AC88" s="2438"/>
    </row>
    <row r="89" spans="1:29" s="101" customFormat="1" ht="14.4" thickBot="1">
      <c r="A89" s="369"/>
      <c r="B89" s="473"/>
      <c r="C89" s="490">
        <v>100</v>
      </c>
      <c r="D89" s="466">
        <v>95</v>
      </c>
      <c r="E89" s="466"/>
      <c r="F89" s="466"/>
      <c r="G89" s="466"/>
      <c r="H89" s="466"/>
      <c r="I89" s="466"/>
      <c r="J89" s="466"/>
      <c r="K89" s="466"/>
      <c r="L89" s="466"/>
      <c r="M89" s="466"/>
      <c r="N89" s="2520"/>
      <c r="O89" s="2520"/>
      <c r="P89" s="2511"/>
      <c r="Q89" s="2506"/>
      <c r="R89" s="2438"/>
      <c r="S89" s="2438"/>
      <c r="T89" s="2438"/>
      <c r="U89" s="2438"/>
      <c r="V89" s="2438"/>
      <c r="W89" s="2438"/>
      <c r="X89" s="2438"/>
      <c r="Y89" s="2438"/>
      <c r="Z89" s="2438"/>
      <c r="AA89" s="2438"/>
      <c r="AB89" s="2438"/>
      <c r="AC89" s="2438"/>
    </row>
    <row r="90" spans="1:29" s="407" customFormat="1" ht="15" thickTop="1">
      <c r="A90" s="483"/>
      <c r="B90" s="468" t="str">
        <f>B27</f>
        <v>人流量</v>
      </c>
      <c r="C90" s="3157" t="s">
        <v>3542</v>
      </c>
      <c r="D90" s="3157" t="s">
        <v>3543</v>
      </c>
      <c r="E90" s="484"/>
      <c r="F90" s="484"/>
      <c r="G90" s="484"/>
      <c r="H90" s="485"/>
      <c r="I90" s="485"/>
      <c r="J90" s="485"/>
      <c r="K90" s="485"/>
      <c r="L90" s="486"/>
      <c r="M90" s="487"/>
      <c r="N90" s="2521"/>
      <c r="O90" s="2521"/>
      <c r="P90" s="2512"/>
      <c r="Q90" s="2513"/>
      <c r="R90" s="2491"/>
      <c r="S90" s="2491"/>
      <c r="T90" s="2491"/>
      <c r="U90" s="2491"/>
      <c r="V90" s="2491"/>
      <c r="W90" s="2491"/>
      <c r="X90" s="2491"/>
      <c r="Y90" s="2491"/>
      <c r="Z90" s="2491"/>
      <c r="AA90" s="2491"/>
      <c r="AB90" s="2491"/>
      <c r="AC90" s="2491"/>
    </row>
    <row r="91" spans="1:29" s="407" customFormat="1" ht="14.4" thickBot="1">
      <c r="A91" s="483"/>
      <c r="B91" s="473"/>
      <c r="C91" s="511">
        <v>100</v>
      </c>
      <c r="D91" s="474">
        <f>C91-$K27</f>
        <v>98</v>
      </c>
      <c r="E91" s="474">
        <f t="shared" ref="E91:M91" si="21">D91-$K27</f>
        <v>96</v>
      </c>
      <c r="F91" s="474">
        <f t="shared" si="21"/>
        <v>94</v>
      </c>
      <c r="G91" s="474">
        <f t="shared" si="21"/>
        <v>92</v>
      </c>
      <c r="H91" s="474">
        <f t="shared" si="21"/>
        <v>90</v>
      </c>
      <c r="I91" s="474">
        <f t="shared" si="21"/>
        <v>88</v>
      </c>
      <c r="J91" s="474">
        <f t="shared" si="21"/>
        <v>86</v>
      </c>
      <c r="K91" s="474">
        <f t="shared" si="21"/>
        <v>84</v>
      </c>
      <c r="L91" s="474">
        <f t="shared" si="21"/>
        <v>82</v>
      </c>
      <c r="M91" s="474">
        <f t="shared" si="21"/>
        <v>80</v>
      </c>
      <c r="N91" s="2521"/>
      <c r="O91" s="2521"/>
      <c r="P91" s="2512"/>
      <c r="Q91" s="2513"/>
      <c r="R91" s="2491"/>
      <c r="S91" s="2491"/>
      <c r="T91" s="2491"/>
      <c r="U91" s="2491"/>
      <c r="V91" s="2491"/>
      <c r="W91" s="2491"/>
      <c r="X91" s="2491"/>
      <c r="Y91" s="2491"/>
      <c r="Z91" s="2491"/>
      <c r="AA91" s="2491"/>
      <c r="AB91" s="2491"/>
      <c r="AC91" s="2491"/>
    </row>
    <row r="92" spans="1:29" ht="15" thickTop="1">
      <c r="A92" s="366"/>
      <c r="B92" s="468" t="str">
        <f>B28</f>
        <v>楼层</v>
      </c>
      <c r="C92" s="484" t="s">
        <v>3521</v>
      </c>
      <c r="D92" s="484" t="s">
        <v>3501</v>
      </c>
      <c r="E92" s="484" t="s">
        <v>3523</v>
      </c>
      <c r="F92" s="484"/>
      <c r="G92" s="484"/>
      <c r="H92" s="484"/>
      <c r="I92" s="484"/>
      <c r="J92" s="484"/>
      <c r="K92" s="484"/>
      <c r="L92" s="509"/>
      <c r="M92" s="510"/>
      <c r="N92" s="2519"/>
      <c r="O92" s="2519"/>
      <c r="P92" s="2511"/>
      <c r="Q92" s="2506"/>
      <c r="R92" s="2485"/>
      <c r="S92" s="2485"/>
      <c r="T92" s="2485"/>
      <c r="U92" s="2485"/>
      <c r="V92" s="2485"/>
      <c r="W92" s="2485"/>
      <c r="X92" s="2485"/>
      <c r="Y92" s="2485"/>
      <c r="Z92" s="2485"/>
      <c r="AA92" s="2485"/>
      <c r="AB92" s="2485"/>
      <c r="AC92" s="2485"/>
    </row>
    <row r="93" spans="1:29" ht="14.4" thickBot="1">
      <c r="A93" s="366"/>
      <c r="B93" s="473"/>
      <c r="C93" s="490">
        <v>100</v>
      </c>
      <c r="D93" s="466">
        <f>案例!C11</f>
        <v>153</v>
      </c>
      <c r="E93" s="466">
        <f>案例!C12</f>
        <v>118</v>
      </c>
      <c r="F93" s="466"/>
      <c r="G93" s="466"/>
      <c r="H93" s="466"/>
      <c r="I93" s="466"/>
      <c r="J93" s="466"/>
      <c r="K93" s="466"/>
      <c r="L93" s="466"/>
      <c r="M93" s="467"/>
      <c r="N93" s="2520"/>
      <c r="O93" s="2520"/>
      <c r="P93" s="2511"/>
      <c r="Q93" s="2506"/>
      <c r="R93" s="2485"/>
      <c r="S93" s="2485"/>
      <c r="T93" s="2485"/>
      <c r="U93" s="2485"/>
      <c r="V93" s="2485"/>
      <c r="W93" s="2485"/>
      <c r="X93" s="2485"/>
      <c r="Y93" s="2485"/>
      <c r="Z93" s="2485"/>
      <c r="AA93" s="2485"/>
      <c r="AB93" s="2485"/>
      <c r="AC93" s="2485"/>
    </row>
    <row r="94" spans="1:29" ht="14.4" thickTop="1">
      <c r="A94" s="366"/>
      <c r="B94" s="468">
        <f>B29</f>
        <v>111</v>
      </c>
      <c r="C94" s="512"/>
      <c r="D94" s="512"/>
      <c r="E94" s="512"/>
      <c r="F94" s="512"/>
      <c r="G94" s="512"/>
      <c r="H94" s="512"/>
      <c r="I94" s="512"/>
      <c r="J94" s="512"/>
      <c r="K94" s="513"/>
      <c r="L94" s="514"/>
      <c r="M94" s="515"/>
      <c r="N94" s="2519"/>
      <c r="O94" s="2519"/>
      <c r="P94" s="2511"/>
      <c r="Q94" s="2506"/>
      <c r="R94" s="2485"/>
      <c r="S94" s="2485"/>
      <c r="T94" s="2485"/>
      <c r="U94" s="2485"/>
      <c r="V94" s="2485"/>
      <c r="W94" s="2485"/>
      <c r="X94" s="2485"/>
      <c r="Y94" s="2485"/>
      <c r="Z94" s="2485"/>
      <c r="AA94" s="2485"/>
      <c r="AB94" s="2485"/>
      <c r="AC94" s="2485"/>
    </row>
    <row r="95" spans="1:29" ht="14.4" thickBot="1">
      <c r="A95" s="366"/>
      <c r="B95" s="473"/>
      <c r="C95" s="466"/>
      <c r="D95" s="466"/>
      <c r="E95" s="466"/>
      <c r="F95" s="466"/>
      <c r="G95" s="466"/>
      <c r="H95" s="466"/>
      <c r="I95" s="466"/>
      <c r="J95" s="466"/>
      <c r="K95" s="466"/>
      <c r="L95" s="466"/>
      <c r="M95" s="467"/>
      <c r="N95" s="2520"/>
      <c r="O95" s="2520"/>
      <c r="P95" s="2511"/>
      <c r="Q95" s="2506"/>
      <c r="R95" s="2485"/>
      <c r="S95" s="2485"/>
      <c r="T95" s="2485"/>
      <c r="U95" s="2485"/>
      <c r="V95" s="2485"/>
      <c r="W95" s="2485"/>
      <c r="X95" s="2485"/>
      <c r="Y95" s="2485"/>
      <c r="Z95" s="2485"/>
      <c r="AA95" s="2485"/>
      <c r="AB95" s="2485"/>
      <c r="AC95" s="2485"/>
    </row>
    <row r="96" spans="1:29" ht="14.4" thickTop="1">
      <c r="A96" s="366"/>
      <c r="B96" s="468">
        <f>B30</f>
        <v>111</v>
      </c>
      <c r="C96" s="484"/>
      <c r="D96" s="484"/>
      <c r="E96" s="484"/>
      <c r="F96" s="484"/>
      <c r="G96" s="512"/>
      <c r="H96" s="512"/>
      <c r="I96" s="512"/>
      <c r="J96" s="512"/>
      <c r="K96" s="513"/>
      <c r="L96" s="514"/>
      <c r="M96" s="515"/>
      <c r="N96" s="2519"/>
      <c r="O96" s="2519"/>
      <c r="P96" s="2511"/>
      <c r="Q96" s="2506"/>
      <c r="R96" s="2485"/>
      <c r="S96" s="2485"/>
      <c r="T96" s="2485"/>
      <c r="U96" s="2485"/>
      <c r="V96" s="2485"/>
      <c r="W96" s="2485"/>
      <c r="X96" s="2485"/>
      <c r="Y96" s="2485"/>
      <c r="Z96" s="2485"/>
      <c r="AA96" s="2485"/>
      <c r="AB96" s="2485"/>
      <c r="AC96" s="2485"/>
    </row>
    <row r="97" spans="1:29" ht="14.4" thickBot="1">
      <c r="A97" s="366"/>
      <c r="B97" s="473"/>
      <c r="C97" s="490"/>
      <c r="D97" s="466"/>
      <c r="E97" s="466"/>
      <c r="F97" s="466"/>
      <c r="G97" s="466"/>
      <c r="H97" s="466"/>
      <c r="I97" s="466"/>
      <c r="J97" s="466"/>
      <c r="K97" s="466"/>
      <c r="L97" s="466"/>
      <c r="M97" s="467"/>
      <c r="N97" s="2520"/>
      <c r="O97" s="2520"/>
      <c r="P97" s="2511"/>
      <c r="Q97" s="2506"/>
      <c r="R97" s="2485"/>
      <c r="S97" s="2485"/>
      <c r="T97" s="2485"/>
      <c r="U97" s="2485"/>
      <c r="V97" s="2485"/>
      <c r="W97" s="2485"/>
      <c r="X97" s="2485"/>
      <c r="Y97" s="2485"/>
      <c r="Z97" s="2485"/>
      <c r="AA97" s="2485"/>
      <c r="AB97" s="2485"/>
      <c r="AC97" s="2485"/>
    </row>
    <row r="98" spans="1:29" ht="14.4" thickTop="1">
      <c r="A98" s="366"/>
      <c r="B98" s="476">
        <f>B31</f>
        <v>111</v>
      </c>
      <c r="C98" s="484"/>
      <c r="D98" s="484"/>
      <c r="E98" s="484"/>
      <c r="F98" s="484"/>
      <c r="G98" s="516"/>
      <c r="H98" s="516"/>
      <c r="I98" s="516"/>
      <c r="J98" s="516"/>
      <c r="K98" s="517"/>
      <c r="L98" s="518"/>
      <c r="M98" s="519"/>
      <c r="N98" s="2519"/>
      <c r="O98" s="2519"/>
      <c r="P98" s="2511"/>
      <c r="Q98" s="2506"/>
      <c r="R98" s="2485"/>
      <c r="S98" s="2485"/>
      <c r="T98" s="2485"/>
      <c r="U98" s="2485"/>
      <c r="V98" s="2485"/>
      <c r="W98" s="2485"/>
      <c r="X98" s="2485"/>
      <c r="Y98" s="2485"/>
      <c r="Z98" s="2485"/>
      <c r="AA98" s="2485"/>
      <c r="AB98" s="2485"/>
      <c r="AC98" s="2485"/>
    </row>
    <row r="99" spans="1:29" ht="14.4" thickBot="1">
      <c r="A99" s="374"/>
      <c r="B99" s="499"/>
      <c r="C99" s="500"/>
      <c r="D99" s="500"/>
      <c r="E99" s="500"/>
      <c r="F99" s="500"/>
      <c r="G99" s="520"/>
      <c r="H99" s="520"/>
      <c r="I99" s="520"/>
      <c r="J99" s="520"/>
      <c r="K99" s="520"/>
      <c r="L99" s="520"/>
      <c r="M99" s="521"/>
      <c r="N99" s="2520"/>
      <c r="O99" s="2520"/>
      <c r="P99" s="2511"/>
      <c r="Q99" s="2506"/>
      <c r="R99" s="2485"/>
      <c r="S99" s="2485"/>
      <c r="T99" s="2485"/>
      <c r="U99" s="2485"/>
      <c r="V99" s="2485"/>
      <c r="W99" s="2485"/>
      <c r="X99" s="2485"/>
      <c r="Y99" s="2485"/>
      <c r="Z99" s="2485"/>
      <c r="AA99" s="2485"/>
      <c r="AB99" s="2485"/>
      <c r="AC99" s="2485"/>
    </row>
    <row r="100" spans="1:29" ht="28.8">
      <c r="A100" s="378" t="s">
        <v>1694</v>
      </c>
      <c r="B100" s="459" t="s">
        <v>1805</v>
      </c>
      <c r="C100" s="3156" t="s">
        <v>3547</v>
      </c>
      <c r="D100" s="3156" t="s">
        <v>3549</v>
      </c>
      <c r="E100" s="461"/>
      <c r="F100" s="461"/>
      <c r="G100" s="461"/>
      <c r="H100" s="461"/>
      <c r="I100" s="461"/>
      <c r="J100" s="461"/>
      <c r="K100" s="462"/>
      <c r="L100" s="463"/>
      <c r="M100" s="464"/>
      <c r="N100" s="2519"/>
      <c r="O100" s="2519"/>
      <c r="P100" s="2511"/>
      <c r="Q100" s="2506"/>
      <c r="R100" s="2485"/>
      <c r="S100" s="2485"/>
      <c r="T100" s="2485"/>
      <c r="U100" s="2485"/>
      <c r="V100" s="2485"/>
      <c r="W100" s="2485"/>
      <c r="X100" s="2485"/>
      <c r="Y100" s="2485"/>
      <c r="Z100" s="2485"/>
      <c r="AA100" s="2485"/>
      <c r="AB100" s="2485"/>
      <c r="AC100" s="2485"/>
    </row>
    <row r="101" spans="1:29" ht="14.4" thickBot="1">
      <c r="A101" s="366"/>
      <c r="B101" s="473"/>
      <c r="C101" s="474">
        <v>100</v>
      </c>
      <c r="D101" s="474">
        <f t="shared" ref="D101:M101" si="22">C101-$K32</f>
        <v>95</v>
      </c>
      <c r="E101" s="474">
        <f t="shared" si="22"/>
        <v>90</v>
      </c>
      <c r="F101" s="474">
        <f t="shared" si="22"/>
        <v>85</v>
      </c>
      <c r="G101" s="474">
        <f t="shared" si="22"/>
        <v>80</v>
      </c>
      <c r="H101" s="474">
        <f t="shared" si="22"/>
        <v>75</v>
      </c>
      <c r="I101" s="474">
        <f t="shared" si="22"/>
        <v>70</v>
      </c>
      <c r="J101" s="474">
        <f t="shared" si="22"/>
        <v>65</v>
      </c>
      <c r="K101" s="474">
        <f t="shared" si="22"/>
        <v>60</v>
      </c>
      <c r="L101" s="474">
        <f t="shared" si="22"/>
        <v>55</v>
      </c>
      <c r="M101" s="475">
        <f t="shared" si="22"/>
        <v>50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6"/>
      <c r="B102" s="468" t="s">
        <v>1737</v>
      </c>
      <c r="C102" s="508" t="str">
        <f>C103&amp;"(含)"&amp;"-"&amp;D103</f>
        <v>0(含)-100</v>
      </c>
      <c r="D102" s="508" t="str">
        <f t="shared" ref="D102:L102" si="23">D103&amp;"(含)"&amp;"-"&amp;E103</f>
        <v>100(含)-200</v>
      </c>
      <c r="E102" s="508" t="str">
        <f t="shared" si="23"/>
        <v>200(含)-300</v>
      </c>
      <c r="F102" s="508" t="str">
        <f t="shared" si="23"/>
        <v>300(含)-700</v>
      </c>
      <c r="G102" s="508" t="str">
        <f t="shared" si="23"/>
        <v>700(含)-</v>
      </c>
      <c r="H102" s="508" t="str">
        <f t="shared" si="23"/>
        <v>(含)-</v>
      </c>
      <c r="I102" s="508" t="str">
        <f t="shared" si="23"/>
        <v>(含)-</v>
      </c>
      <c r="J102" s="508" t="str">
        <f t="shared" si="23"/>
        <v>(含)-</v>
      </c>
      <c r="K102" s="508" t="str">
        <f t="shared" si="23"/>
        <v>(含)-</v>
      </c>
      <c r="L102" s="508" t="str">
        <f t="shared" si="23"/>
        <v>(含)-</v>
      </c>
      <c r="M102" s="546"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7" customFormat="1">
      <c r="A103" s="405"/>
      <c r="B103" s="522"/>
      <c r="C103" s="6">
        <v>0</v>
      </c>
      <c r="D103" s="6">
        <v>100</v>
      </c>
      <c r="E103" s="6">
        <v>200</v>
      </c>
      <c r="F103" s="6">
        <v>300</v>
      </c>
      <c r="G103" s="6">
        <v>700</v>
      </c>
      <c r="H103" s="6"/>
      <c r="I103" s="6"/>
      <c r="J103" s="523"/>
      <c r="K103" s="523"/>
      <c r="L103" s="524"/>
      <c r="M103" s="525"/>
      <c r="N103" s="2521"/>
      <c r="O103" s="2521"/>
      <c r="P103" s="2512"/>
      <c r="Q103" s="2513"/>
      <c r="R103" s="2491"/>
      <c r="S103" s="2491"/>
      <c r="T103" s="2491"/>
      <c r="U103" s="2491"/>
      <c r="V103" s="2491"/>
      <c r="W103" s="2491"/>
      <c r="X103" s="2491"/>
      <c r="Y103" s="2491"/>
      <c r="Z103" s="2491"/>
      <c r="AA103" s="2491"/>
      <c r="AB103" s="2491"/>
      <c r="AC103" s="2491"/>
    </row>
    <row r="104" spans="1:29" s="407" customFormat="1" ht="14.4" thickBot="1">
      <c r="A104" s="483"/>
      <c r="B104" s="473"/>
      <c r="C104" s="490">
        <v>100</v>
      </c>
      <c r="D104" s="466">
        <f>C104-2</f>
        <v>98</v>
      </c>
      <c r="E104" s="466">
        <f t="shared" ref="E104:G104" si="24">D104-2</f>
        <v>96</v>
      </c>
      <c r="F104" s="466">
        <f t="shared" si="24"/>
        <v>94</v>
      </c>
      <c r="G104" s="466">
        <f t="shared" si="24"/>
        <v>92</v>
      </c>
      <c r="H104" s="466"/>
      <c r="I104" s="466"/>
      <c r="J104" s="466"/>
      <c r="K104" s="466"/>
      <c r="L104" s="466"/>
      <c r="M104" s="467"/>
      <c r="N104" s="2520"/>
      <c r="O104" s="2520"/>
      <c r="P104" s="2512"/>
      <c r="Q104" s="2513"/>
      <c r="R104" s="2491"/>
      <c r="S104" s="2491"/>
      <c r="T104" s="2491"/>
      <c r="U104" s="2491"/>
      <c r="V104" s="2491"/>
      <c r="W104" s="2491"/>
      <c r="X104" s="2491"/>
      <c r="Y104" s="2491"/>
      <c r="Z104" s="2491"/>
      <c r="AA104" s="2491"/>
      <c r="AB104" s="2491"/>
      <c r="AC104" s="2491"/>
    </row>
    <row r="105" spans="1:29" ht="15" thickTop="1">
      <c r="A105" s="408"/>
      <c r="B105" s="468" t="s">
        <v>1738</v>
      </c>
      <c r="C105" s="3157" t="s">
        <v>3488</v>
      </c>
      <c r="D105" s="3157" t="s">
        <v>3490</v>
      </c>
      <c r="E105" s="512"/>
      <c r="F105" s="512"/>
      <c r="G105" s="512"/>
      <c r="H105" s="512"/>
      <c r="I105" s="512"/>
      <c r="J105" s="512"/>
      <c r="K105" s="513"/>
      <c r="L105" s="514"/>
      <c r="M105" s="515"/>
      <c r="N105" s="2519"/>
      <c r="O105" s="2519"/>
      <c r="P105" s="2511"/>
      <c r="Q105" s="2506"/>
      <c r="R105" s="2485"/>
      <c r="S105" s="2485"/>
      <c r="T105" s="2485"/>
      <c r="U105" s="2485"/>
      <c r="V105" s="2485"/>
      <c r="W105" s="2485"/>
      <c r="X105" s="2485"/>
      <c r="Y105" s="2485"/>
      <c r="Z105" s="2485"/>
      <c r="AA105" s="2485"/>
      <c r="AB105" s="2485"/>
      <c r="AC105" s="2485"/>
    </row>
    <row r="106" spans="1:29" ht="14.4" thickBot="1">
      <c r="A106" s="366"/>
      <c r="B106" s="473"/>
      <c r="C106" s="474">
        <v>100</v>
      </c>
      <c r="D106" s="474">
        <f t="shared" ref="D106:M106" si="25">C106-$K34</f>
        <v>98</v>
      </c>
      <c r="E106" s="474">
        <f t="shared" si="25"/>
        <v>96</v>
      </c>
      <c r="F106" s="474">
        <f t="shared" si="25"/>
        <v>94</v>
      </c>
      <c r="G106" s="474">
        <f t="shared" si="25"/>
        <v>92</v>
      </c>
      <c r="H106" s="474">
        <f t="shared" si="25"/>
        <v>90</v>
      </c>
      <c r="I106" s="474">
        <f t="shared" si="25"/>
        <v>88</v>
      </c>
      <c r="J106" s="474">
        <f t="shared" si="25"/>
        <v>86</v>
      </c>
      <c r="K106" s="474">
        <f t="shared" si="25"/>
        <v>84</v>
      </c>
      <c r="L106" s="474">
        <f t="shared" si="25"/>
        <v>82</v>
      </c>
      <c r="M106" s="475">
        <f t="shared" si="25"/>
        <v>80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8"/>
      <c r="B107" s="468" t="s">
        <v>1740</v>
      </c>
      <c r="C107" s="484"/>
      <c r="D107" s="484"/>
      <c r="E107" s="484"/>
      <c r="F107" s="512"/>
      <c r="G107" s="512"/>
      <c r="H107" s="512"/>
      <c r="I107" s="512"/>
      <c r="J107" s="512"/>
      <c r="K107" s="513"/>
      <c r="L107" s="514"/>
      <c r="M107" s="515"/>
      <c r="N107" s="2519"/>
      <c r="O107" s="2519"/>
      <c r="P107" s="2511"/>
      <c r="Q107" s="2506"/>
      <c r="R107" s="2485"/>
      <c r="S107" s="2485"/>
      <c r="T107" s="2485"/>
      <c r="U107" s="2485"/>
      <c r="V107" s="2485"/>
      <c r="W107" s="2485"/>
      <c r="X107" s="2485"/>
      <c r="Y107" s="2485"/>
      <c r="Z107" s="2485"/>
      <c r="AA107" s="2485"/>
      <c r="AB107" s="2485"/>
      <c r="AC107" s="2485"/>
    </row>
    <row r="108" spans="1:29" ht="14.4" thickBot="1">
      <c r="A108" s="366"/>
      <c r="B108" s="473"/>
      <c r="C108" s="474">
        <v>100</v>
      </c>
      <c r="D108" s="474">
        <f t="shared" ref="D108:M108" si="26">C108-$K35</f>
        <v>98</v>
      </c>
      <c r="E108" s="474">
        <f t="shared" si="26"/>
        <v>96</v>
      </c>
      <c r="F108" s="474">
        <f t="shared" si="26"/>
        <v>94</v>
      </c>
      <c r="G108" s="474">
        <f t="shared" si="26"/>
        <v>92</v>
      </c>
      <c r="H108" s="474">
        <f t="shared" si="26"/>
        <v>90</v>
      </c>
      <c r="I108" s="474">
        <f t="shared" si="26"/>
        <v>88</v>
      </c>
      <c r="J108" s="474">
        <f t="shared" si="26"/>
        <v>86</v>
      </c>
      <c r="K108" s="474">
        <f t="shared" si="26"/>
        <v>84</v>
      </c>
      <c r="L108" s="474">
        <f t="shared" si="26"/>
        <v>82</v>
      </c>
      <c r="M108" s="475">
        <f t="shared" si="26"/>
        <v>80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9"/>
      <c r="O109" s="2519"/>
      <c r="P109" s="2511"/>
      <c r="Q109" s="2506"/>
      <c r="R109" s="2485"/>
      <c r="S109" s="2485"/>
      <c r="T109" s="2485"/>
      <c r="U109" s="2485"/>
      <c r="V109" s="2485"/>
      <c r="W109" s="2485"/>
      <c r="X109" s="2485"/>
      <c r="Y109" s="2485"/>
      <c r="Z109" s="2485"/>
      <c r="AA109" s="2485"/>
      <c r="AB109" s="2485"/>
      <c r="AC109" s="2485"/>
    </row>
    <row r="110" spans="1:29">
      <c r="A110" s="408"/>
      <c r="B110" s="476"/>
      <c r="C110" s="529">
        <v>0.5</v>
      </c>
      <c r="D110" s="529">
        <v>0.6</v>
      </c>
      <c r="E110" s="529">
        <v>0.7</v>
      </c>
      <c r="F110" s="529">
        <v>0.8</v>
      </c>
      <c r="G110" s="529">
        <v>0.9</v>
      </c>
      <c r="H110" s="529">
        <v>1.0001</v>
      </c>
      <c r="I110" s="547"/>
      <c r="J110" s="547"/>
      <c r="K110" s="548"/>
      <c r="L110" s="549"/>
      <c r="M110" s="550"/>
      <c r="N110" s="2519"/>
      <c r="O110" s="2519"/>
      <c r="P110" s="2511"/>
      <c r="Q110" s="2506"/>
      <c r="R110" s="2485"/>
      <c r="S110" s="2485"/>
      <c r="T110" s="2485"/>
      <c r="U110" s="2485"/>
      <c r="V110" s="2485"/>
      <c r="W110" s="2485"/>
      <c r="X110" s="2485"/>
      <c r="Y110" s="2485"/>
      <c r="Z110" s="2485"/>
      <c r="AA110" s="2485"/>
      <c r="AB110" s="2485"/>
      <c r="AC110" s="2485"/>
    </row>
    <row r="111" spans="1:29" ht="14.4" thickBot="1">
      <c r="A111" s="366"/>
      <c r="B111" s="473"/>
      <c r="C111" s="511">
        <v>100</v>
      </c>
      <c r="D111" s="474">
        <f>C111+$K36</f>
        <v>102</v>
      </c>
      <c r="E111" s="474">
        <f t="shared" ref="E111:M111" si="27">D111+$K36</f>
        <v>104</v>
      </c>
      <c r="F111" s="474">
        <f t="shared" si="27"/>
        <v>106</v>
      </c>
      <c r="G111" s="474">
        <f t="shared" si="27"/>
        <v>108</v>
      </c>
      <c r="H111" s="474">
        <f t="shared" si="27"/>
        <v>110</v>
      </c>
      <c r="I111" s="474">
        <f t="shared" si="27"/>
        <v>112</v>
      </c>
      <c r="J111" s="474">
        <f t="shared" si="27"/>
        <v>114</v>
      </c>
      <c r="K111" s="474">
        <f t="shared" si="27"/>
        <v>116</v>
      </c>
      <c r="L111" s="474">
        <f t="shared" si="27"/>
        <v>118</v>
      </c>
      <c r="M111" s="474">
        <f t="shared" si="27"/>
        <v>120</v>
      </c>
      <c r="N111" s="2520"/>
      <c r="O111" s="2520"/>
      <c r="P111" s="2511"/>
      <c r="Q111" s="2506"/>
      <c r="R111" s="2485"/>
      <c r="S111" s="2485"/>
      <c r="T111" s="2485"/>
      <c r="U111" s="2485"/>
      <c r="V111" s="2485"/>
      <c r="W111" s="2485"/>
      <c r="X111" s="2485"/>
      <c r="Y111" s="2485"/>
      <c r="Z111" s="2485"/>
      <c r="AA111" s="2485"/>
      <c r="AB111" s="2485"/>
      <c r="AC111" s="2485"/>
    </row>
    <row r="112" spans="1:29" s="407" customFormat="1" ht="15" thickTop="1">
      <c r="A112" s="405"/>
      <c r="B112" s="468" t="s">
        <v>1742</v>
      </c>
      <c r="C112" s="3157" t="s">
        <v>3493</v>
      </c>
      <c r="D112" s="3157" t="s">
        <v>3494</v>
      </c>
      <c r="E112" s="3157" t="s">
        <v>3495</v>
      </c>
      <c r="F112" s="3157" t="s">
        <v>3496</v>
      </c>
      <c r="G112" s="484"/>
      <c r="H112" s="512"/>
      <c r="I112" s="512"/>
      <c r="J112" s="512"/>
      <c r="K112" s="513"/>
      <c r="L112" s="514"/>
      <c r="M112" s="515"/>
      <c r="N112" s="2521"/>
      <c r="O112" s="2521"/>
      <c r="P112" s="2512"/>
      <c r="Q112" s="2513"/>
      <c r="R112" s="2491"/>
      <c r="S112" s="2491"/>
      <c r="T112" s="2491"/>
      <c r="U112" s="2491"/>
      <c r="V112" s="2491"/>
      <c r="W112" s="2491"/>
      <c r="X112" s="2491"/>
      <c r="Y112" s="2491"/>
      <c r="Z112" s="2491"/>
      <c r="AA112" s="2491"/>
      <c r="AB112" s="2491"/>
      <c r="AC112" s="2491"/>
    </row>
    <row r="113" spans="1:29" s="407" customFormat="1" ht="14.4" thickBot="1">
      <c r="A113" s="483"/>
      <c r="B113" s="473"/>
      <c r="C113" s="474">
        <v>100</v>
      </c>
      <c r="D113" s="474">
        <f>C113-$K37</f>
        <v>100</v>
      </c>
      <c r="E113" s="474">
        <f t="shared" ref="E113:M113" si="28">D113-$K37</f>
        <v>100</v>
      </c>
      <c r="F113" s="474">
        <f t="shared" si="28"/>
        <v>100</v>
      </c>
      <c r="G113" s="474">
        <f t="shared" si="28"/>
        <v>100</v>
      </c>
      <c r="H113" s="474">
        <f t="shared" si="28"/>
        <v>100</v>
      </c>
      <c r="I113" s="474">
        <f t="shared" si="28"/>
        <v>100</v>
      </c>
      <c r="J113" s="474">
        <f t="shared" si="28"/>
        <v>100</v>
      </c>
      <c r="K113" s="474">
        <f t="shared" si="28"/>
        <v>100</v>
      </c>
      <c r="L113" s="474">
        <f t="shared" si="28"/>
        <v>100</v>
      </c>
      <c r="M113" s="474">
        <f t="shared" si="28"/>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8"/>
      <c r="B114" s="468" t="s">
        <v>1806</v>
      </c>
      <c r="C114" s="3157" t="s">
        <v>3497</v>
      </c>
      <c r="D114" s="3157" t="s">
        <v>3498</v>
      </c>
      <c r="E114" s="512"/>
      <c r="F114" s="512"/>
      <c r="G114" s="512"/>
      <c r="H114" s="512"/>
      <c r="I114" s="512"/>
      <c r="J114" s="512"/>
      <c r="K114" s="513"/>
      <c r="L114" s="514"/>
      <c r="M114" s="515"/>
      <c r="N114" s="2519"/>
      <c r="O114" s="2519"/>
      <c r="P114" s="2511"/>
      <c r="Q114" s="2506"/>
      <c r="R114" s="2485"/>
      <c r="S114" s="2485"/>
      <c r="T114" s="2485"/>
      <c r="U114" s="2485"/>
      <c r="V114" s="2485"/>
      <c r="W114" s="2485"/>
      <c r="X114" s="2485"/>
      <c r="Y114" s="2485"/>
      <c r="Z114" s="2485"/>
      <c r="AA114" s="2485"/>
      <c r="AB114" s="2485"/>
      <c r="AC114" s="2485"/>
    </row>
    <row r="115" spans="1:29" ht="14.4" thickBot="1">
      <c r="A115" s="366"/>
      <c r="B115" s="473"/>
      <c r="C115" s="474">
        <v>100</v>
      </c>
      <c r="D115" s="474">
        <f t="shared" ref="D115:M115" si="29">C115-$K38</f>
        <v>95</v>
      </c>
      <c r="E115" s="474">
        <f t="shared" si="29"/>
        <v>90</v>
      </c>
      <c r="F115" s="474">
        <f t="shared" si="29"/>
        <v>85</v>
      </c>
      <c r="G115" s="474">
        <f t="shared" si="29"/>
        <v>80</v>
      </c>
      <c r="H115" s="474">
        <f t="shared" si="29"/>
        <v>75</v>
      </c>
      <c r="I115" s="474">
        <f t="shared" si="29"/>
        <v>70</v>
      </c>
      <c r="J115" s="474">
        <f t="shared" si="29"/>
        <v>65</v>
      </c>
      <c r="K115" s="474">
        <f t="shared" si="29"/>
        <v>60</v>
      </c>
      <c r="L115" s="474">
        <f t="shared" si="29"/>
        <v>55</v>
      </c>
      <c r="M115" s="475">
        <f t="shared" si="29"/>
        <v>50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8"/>
      <c r="B116" s="468" t="s">
        <v>1807</v>
      </c>
      <c r="C116" s="484"/>
      <c r="D116" s="484"/>
      <c r="E116" s="484"/>
      <c r="F116" s="484"/>
      <c r="G116" s="484"/>
      <c r="H116" s="512"/>
      <c r="I116" s="512"/>
      <c r="J116" s="512"/>
      <c r="K116" s="513"/>
      <c r="L116" s="514"/>
      <c r="M116" s="515"/>
      <c r="N116" s="2519"/>
      <c r="O116" s="2519"/>
      <c r="P116" s="2511"/>
      <c r="Q116" s="2506"/>
      <c r="R116" s="2485"/>
      <c r="S116" s="2485"/>
      <c r="T116" s="2485"/>
      <c r="U116" s="2485"/>
      <c r="V116" s="2485"/>
      <c r="W116" s="2485"/>
      <c r="X116" s="2485"/>
      <c r="Y116" s="2485"/>
      <c r="Z116" s="2485"/>
      <c r="AA116" s="2485"/>
      <c r="AB116" s="2485"/>
      <c r="AC116" s="2485"/>
    </row>
    <row r="117" spans="1:29" ht="14.4" thickBot="1">
      <c r="A117" s="366"/>
      <c r="B117" s="473"/>
      <c r="C117" s="474">
        <v>100</v>
      </c>
      <c r="D117" s="474">
        <f>C117-$K39</f>
        <v>100</v>
      </c>
      <c r="E117" s="474">
        <f>D117-$K39</f>
        <v>100</v>
      </c>
      <c r="F117" s="474">
        <f>E117-$K39</f>
        <v>100</v>
      </c>
      <c r="G117" s="474">
        <f>F117-$K39</f>
        <v>100</v>
      </c>
      <c r="H117" s="474"/>
      <c r="I117" s="474"/>
      <c r="J117" s="474"/>
      <c r="K117" s="474"/>
      <c r="L117" s="474"/>
      <c r="M117" s="475"/>
      <c r="N117" s="2520"/>
      <c r="O117" s="2520"/>
      <c r="P117" s="2511"/>
      <c r="Q117" s="2506"/>
      <c r="R117" s="2485"/>
      <c r="S117" s="2485"/>
      <c r="T117" s="2485"/>
      <c r="U117" s="2485"/>
      <c r="V117" s="2485"/>
      <c r="W117" s="2485"/>
      <c r="X117" s="2485"/>
      <c r="Y117" s="2485"/>
      <c r="Z117" s="2485"/>
      <c r="AA117" s="2485"/>
      <c r="AB117" s="2485"/>
      <c r="AC117" s="2485"/>
    </row>
    <row r="118" spans="1:29" ht="15" thickTop="1">
      <c r="A118" s="408"/>
      <c r="B118" s="468" t="s">
        <v>1808</v>
      </c>
      <c r="C118" s="551"/>
      <c r="D118" s="551"/>
      <c r="E118" s="551"/>
      <c r="F118" s="551"/>
      <c r="G118" s="551"/>
      <c r="H118" s="485"/>
      <c r="I118" s="485"/>
      <c r="J118" s="485"/>
      <c r="K118" s="485"/>
      <c r="L118" s="486"/>
      <c r="M118" s="487"/>
      <c r="N118" s="2519"/>
      <c r="O118" s="2519"/>
      <c r="P118" s="2511"/>
      <c r="Q118" s="2506"/>
      <c r="R118" s="2485"/>
      <c r="S118" s="2485"/>
      <c r="T118" s="2485"/>
      <c r="U118" s="2485"/>
      <c r="V118" s="2485"/>
      <c r="W118" s="2485"/>
      <c r="X118" s="2485"/>
      <c r="Y118" s="2485"/>
      <c r="Z118" s="2485"/>
      <c r="AA118" s="2485"/>
      <c r="AB118" s="2485"/>
      <c r="AC118" s="2485"/>
    </row>
    <row r="119" spans="1:29" ht="14.4" thickBot="1">
      <c r="A119" s="366"/>
      <c r="B119" s="473"/>
      <c r="C119" s="490"/>
      <c r="D119" s="466"/>
      <c r="E119" s="466"/>
      <c r="F119" s="466"/>
      <c r="G119" s="466"/>
      <c r="H119" s="466"/>
      <c r="I119" s="466"/>
      <c r="J119" s="466"/>
      <c r="K119" s="466"/>
      <c r="L119" s="466"/>
      <c r="M119" s="467"/>
      <c r="N119" s="2520"/>
      <c r="O119" s="2520"/>
      <c r="P119" s="2511"/>
      <c r="Q119" s="2506"/>
      <c r="R119" s="2485"/>
      <c r="S119" s="2485"/>
      <c r="T119" s="2485"/>
      <c r="U119" s="2485"/>
      <c r="V119" s="2485"/>
      <c r="W119" s="2485"/>
      <c r="X119" s="2485"/>
      <c r="Y119" s="2485"/>
      <c r="Z119" s="2485"/>
      <c r="AA119" s="2485"/>
      <c r="AB119" s="2485"/>
      <c r="AC119" s="2485"/>
    </row>
    <row r="120" spans="1:29" s="407" customFormat="1" ht="15" thickTop="1">
      <c r="A120" s="405"/>
      <c r="B120" s="468" t="s">
        <v>1809</v>
      </c>
      <c r="C120" s="512"/>
      <c r="D120" s="512"/>
      <c r="E120" s="512"/>
      <c r="F120" s="512"/>
      <c r="G120" s="485"/>
      <c r="H120" s="485"/>
      <c r="I120" s="485"/>
      <c r="J120" s="485"/>
      <c r="K120" s="485"/>
      <c r="L120" s="486"/>
      <c r="M120" s="487"/>
      <c r="N120" s="2521"/>
      <c r="O120" s="2521"/>
      <c r="P120" s="2512"/>
      <c r="Q120" s="2513"/>
      <c r="R120" s="2491"/>
      <c r="S120" s="2491"/>
      <c r="T120" s="2491"/>
      <c r="U120" s="2491"/>
      <c r="V120" s="2491"/>
      <c r="W120" s="2491"/>
      <c r="X120" s="2491"/>
      <c r="Y120" s="2491"/>
      <c r="Z120" s="2491"/>
      <c r="AA120" s="2491"/>
      <c r="AB120" s="2491"/>
      <c r="AC120" s="2491"/>
    </row>
    <row r="121" spans="1:29" s="407" customFormat="1" ht="14.4"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8"/>
      <c r="B122" s="468" t="s">
        <v>1744</v>
      </c>
      <c r="C122" s="3157" t="s">
        <v>3426</v>
      </c>
      <c r="D122" s="3157" t="s">
        <v>3427</v>
      </c>
      <c r="E122" s="3157" t="s">
        <v>3428</v>
      </c>
      <c r="F122" s="3158" t="s">
        <v>3429</v>
      </c>
      <c r="G122" s="512"/>
      <c r="H122" s="512"/>
      <c r="I122" s="512"/>
      <c r="J122" s="512"/>
      <c r="K122" s="513"/>
      <c r="L122" s="514"/>
      <c r="M122" s="515"/>
      <c r="N122" s="2519"/>
      <c r="O122" s="2519"/>
      <c r="P122" s="2511"/>
      <c r="Q122" s="2506"/>
      <c r="R122" s="2485"/>
      <c r="S122" s="2485"/>
      <c r="T122" s="2485"/>
      <c r="U122" s="2485"/>
      <c r="V122" s="2485"/>
      <c r="W122" s="2485"/>
      <c r="X122" s="2485"/>
      <c r="Y122" s="2485"/>
      <c r="Z122" s="2485"/>
      <c r="AA122" s="2485"/>
      <c r="AB122" s="2485"/>
      <c r="AC122" s="2485"/>
    </row>
    <row r="123" spans="1:29" ht="14.4" thickBot="1">
      <c r="A123" s="366"/>
      <c r="B123" s="473"/>
      <c r="C123" s="474">
        <v>100</v>
      </c>
      <c r="D123" s="474">
        <f t="shared" ref="D123:M123" si="31">C123-$K42</f>
        <v>99</v>
      </c>
      <c r="E123" s="474">
        <f t="shared" si="31"/>
        <v>98</v>
      </c>
      <c r="F123" s="474">
        <f t="shared" si="31"/>
        <v>97</v>
      </c>
      <c r="G123" s="474">
        <f t="shared" si="31"/>
        <v>96</v>
      </c>
      <c r="H123" s="474">
        <f t="shared" si="31"/>
        <v>95</v>
      </c>
      <c r="I123" s="474">
        <f t="shared" si="31"/>
        <v>94</v>
      </c>
      <c r="J123" s="474">
        <f t="shared" si="31"/>
        <v>93</v>
      </c>
      <c r="K123" s="474">
        <f t="shared" si="31"/>
        <v>92</v>
      </c>
      <c r="L123" s="474">
        <f t="shared" si="31"/>
        <v>91</v>
      </c>
      <c r="M123" s="475">
        <f t="shared" si="31"/>
        <v>90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9"/>
      <c r="O124" s="2519"/>
      <c r="P124" s="2512"/>
      <c r="Q124" s="2506"/>
      <c r="R124" s="2485"/>
      <c r="S124" s="2485"/>
      <c r="T124" s="2485"/>
      <c r="U124" s="2485"/>
      <c r="V124" s="2485"/>
      <c r="W124" s="2485"/>
      <c r="X124" s="2485"/>
      <c r="Y124" s="2485"/>
      <c r="Z124" s="2485"/>
      <c r="AA124" s="2485"/>
      <c r="AB124" s="2485"/>
      <c r="AC124" s="2485"/>
    </row>
    <row r="125" spans="1:29" ht="14.4" thickBot="1">
      <c r="A125" s="366"/>
      <c r="B125" s="473"/>
      <c r="C125" s="474">
        <v>100</v>
      </c>
      <c r="D125" s="474">
        <f>C125-$K43</f>
        <v>98</v>
      </c>
      <c r="E125" s="474">
        <f>D125-$K43</f>
        <v>96</v>
      </c>
      <c r="F125" s="474">
        <f>E125-$K43</f>
        <v>94</v>
      </c>
      <c r="G125" s="474">
        <f>F125-$K43</f>
        <v>92</v>
      </c>
      <c r="H125" s="474"/>
      <c r="I125" s="474"/>
      <c r="J125" s="474"/>
      <c r="K125" s="474"/>
      <c r="L125" s="474"/>
      <c r="M125" s="475"/>
      <c r="N125" s="2520"/>
      <c r="O125" s="2520"/>
      <c r="P125" s="2511"/>
      <c r="Q125" s="2506"/>
      <c r="R125" s="2485"/>
      <c r="S125" s="2485"/>
      <c r="T125" s="2485"/>
      <c r="U125" s="2485"/>
      <c r="V125" s="2485"/>
      <c r="W125" s="2485"/>
      <c r="X125" s="2485"/>
      <c r="Y125" s="2485"/>
      <c r="Z125" s="2485"/>
      <c r="AA125" s="2485"/>
      <c r="AB125" s="2485"/>
      <c r="AC125" s="2485"/>
    </row>
    <row r="126" spans="1:29" s="407" customFormat="1" ht="14.4" thickTop="1">
      <c r="A126" s="405"/>
      <c r="B126" s="468">
        <f>B44</f>
        <v>111</v>
      </c>
      <c r="C126" s="484"/>
      <c r="D126" s="484"/>
      <c r="E126" s="484"/>
      <c r="F126" s="484"/>
      <c r="G126" s="484"/>
      <c r="H126" s="485"/>
      <c r="I126" s="485"/>
      <c r="J126" s="485"/>
      <c r="K126" s="485"/>
      <c r="L126" s="486"/>
      <c r="M126" s="487"/>
      <c r="N126" s="2521"/>
      <c r="O126" s="2521"/>
      <c r="P126" s="2512"/>
      <c r="Q126" s="2513"/>
      <c r="R126" s="2491"/>
      <c r="S126" s="2491"/>
      <c r="T126" s="2491"/>
      <c r="U126" s="2491"/>
      <c r="V126" s="2491"/>
      <c r="W126" s="2491"/>
      <c r="X126" s="2491"/>
      <c r="Y126" s="2491"/>
      <c r="Z126" s="2491"/>
      <c r="AA126" s="2491"/>
      <c r="AB126" s="2491"/>
      <c r="AC126" s="2491"/>
    </row>
    <row r="127" spans="1:29" s="407" customFormat="1" ht="14.4" thickBot="1">
      <c r="A127" s="483"/>
      <c r="B127" s="473"/>
      <c r="C127" s="490"/>
      <c r="D127" s="466"/>
      <c r="E127" s="466"/>
      <c r="F127" s="466"/>
      <c r="G127" s="490"/>
      <c r="H127" s="492"/>
      <c r="I127" s="492"/>
      <c r="J127" s="492"/>
      <c r="K127" s="492"/>
      <c r="L127" s="492"/>
      <c r="M127" s="493"/>
      <c r="N127" s="2521"/>
      <c r="O127" s="2521"/>
      <c r="P127" s="2512"/>
      <c r="Q127" s="2513"/>
      <c r="R127" s="2491"/>
      <c r="S127" s="2491"/>
      <c r="T127" s="2491"/>
      <c r="U127" s="2491"/>
      <c r="V127" s="2491"/>
      <c r="W127" s="2491"/>
      <c r="X127" s="2491"/>
      <c r="Y127" s="2491"/>
      <c r="Z127" s="2491"/>
      <c r="AA127" s="2491"/>
      <c r="AB127" s="2491"/>
      <c r="AC127" s="2491"/>
    </row>
    <row r="128" spans="1:29" ht="14.4" thickTop="1">
      <c r="A128" s="408"/>
      <c r="B128" s="468">
        <f>B45</f>
        <v>111</v>
      </c>
      <c r="C128" s="484"/>
      <c r="D128" s="484"/>
      <c r="E128" s="484"/>
      <c r="F128" s="484"/>
      <c r="G128" s="512"/>
      <c r="H128" s="512"/>
      <c r="I128" s="512"/>
      <c r="J128" s="512"/>
      <c r="K128" s="513"/>
      <c r="L128" s="514"/>
      <c r="M128" s="515"/>
      <c r="N128" s="2519"/>
      <c r="O128" s="2519"/>
      <c r="P128" s="2511"/>
      <c r="Q128" s="2506"/>
      <c r="R128" s="2485"/>
      <c r="S128" s="2485"/>
      <c r="T128" s="2485"/>
      <c r="U128" s="2485"/>
      <c r="V128" s="2485"/>
      <c r="W128" s="2485"/>
      <c r="X128" s="2485"/>
      <c r="Y128" s="2485"/>
      <c r="Z128" s="2485"/>
      <c r="AA128" s="2485"/>
      <c r="AB128" s="2485"/>
      <c r="AC128" s="2485"/>
    </row>
    <row r="129" spans="1:29" ht="14.4" thickBot="1">
      <c r="A129" s="366"/>
      <c r="B129" s="473"/>
      <c r="C129" s="490"/>
      <c r="D129" s="466"/>
      <c r="E129" s="466"/>
      <c r="F129" s="466"/>
      <c r="G129" s="466"/>
      <c r="H129" s="466"/>
      <c r="I129" s="466"/>
      <c r="J129" s="466"/>
      <c r="K129" s="466"/>
      <c r="L129" s="466"/>
      <c r="M129" s="467"/>
      <c r="N129" s="2520"/>
      <c r="O129" s="2520"/>
      <c r="P129" s="2511"/>
      <c r="Q129" s="2506"/>
      <c r="R129" s="2485"/>
      <c r="S129" s="2485"/>
      <c r="T129" s="2485"/>
      <c r="U129" s="2485"/>
      <c r="V129" s="2485"/>
      <c r="W129" s="2485"/>
      <c r="X129" s="2485"/>
      <c r="Y129" s="2485"/>
      <c r="Z129" s="2485"/>
      <c r="AA129" s="2485"/>
      <c r="AB129" s="2485"/>
      <c r="AC129" s="2485"/>
    </row>
    <row r="130" spans="1:29" ht="14.4" thickTop="1">
      <c r="A130" s="408"/>
      <c r="B130" s="476">
        <f>B46</f>
        <v>111</v>
      </c>
      <c r="C130" s="484"/>
      <c r="D130" s="484"/>
      <c r="E130" s="484"/>
      <c r="F130" s="484"/>
      <c r="G130" s="516"/>
      <c r="H130" s="516"/>
      <c r="I130" s="516"/>
      <c r="J130" s="516"/>
      <c r="K130" s="31"/>
      <c r="L130" s="456"/>
      <c r="M130" s="519"/>
      <c r="N130" s="2519"/>
      <c r="O130" s="2519"/>
      <c r="P130" s="2511"/>
      <c r="Q130" s="2506"/>
      <c r="R130" s="2485"/>
      <c r="S130" s="2485"/>
      <c r="T130" s="2485"/>
      <c r="U130" s="2485"/>
      <c r="V130" s="2485"/>
      <c r="W130" s="2485"/>
      <c r="X130" s="2485"/>
      <c r="Y130" s="2485"/>
      <c r="Z130" s="2485"/>
      <c r="AA130" s="2485"/>
      <c r="AB130" s="2485"/>
      <c r="AC130" s="2485"/>
    </row>
    <row r="131" spans="1:29" ht="14.4" thickBot="1">
      <c r="A131" s="374"/>
      <c r="B131" s="499"/>
      <c r="C131" s="500"/>
      <c r="D131" s="500"/>
      <c r="E131" s="500"/>
      <c r="F131" s="500"/>
      <c r="G131" s="520"/>
      <c r="H131" s="520"/>
      <c r="I131" s="520"/>
      <c r="J131" s="520"/>
      <c r="K131" s="520"/>
      <c r="L131" s="520"/>
      <c r="M131" s="521"/>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52" priority="16" stopIfTrue="1">
      <formula>$F$52="超过30%"</formula>
    </cfRule>
  </conditionalFormatting>
  <conditionalFormatting sqref="E53">
    <cfRule type="expression" dxfId="151" priority="15" stopIfTrue="1">
      <formula>$F$53="超过20%"</formula>
    </cfRule>
  </conditionalFormatting>
  <conditionalFormatting sqref="E54">
    <cfRule type="expression" dxfId="150" priority="14" stopIfTrue="1">
      <formula>$F$54="超过30%"</formula>
    </cfRule>
  </conditionalFormatting>
  <conditionalFormatting sqref="F7:F46 H7:H46 J7:J46">
    <cfRule type="cellIs" dxfId="149" priority="1" operator="notEqual">
      <formula>100</formula>
    </cfRule>
  </conditionalFormatting>
  <conditionalFormatting sqref="F48">
    <cfRule type="expression" dxfId="148" priority="4">
      <formula>$D$48="简单平均"</formula>
    </cfRule>
  </conditionalFormatting>
  <conditionalFormatting sqref="F52:F54 H52:H54">
    <cfRule type="containsText" dxfId="147" priority="17" stopIfTrue="1" operator="containsText" text="超过">
      <formula>NOT(ISERROR(SEARCH("超过",F52)))</formula>
    </cfRule>
  </conditionalFormatting>
  <conditionalFormatting sqref="G52">
    <cfRule type="expression" dxfId="146" priority="12" stopIfTrue="1">
      <formula>$H$52="超过30%"</formula>
    </cfRule>
  </conditionalFormatting>
  <conditionalFormatting sqref="G53">
    <cfRule type="expression" dxfId="145" priority="11" stopIfTrue="1">
      <formula>$H$53="超过20%"</formula>
    </cfRule>
  </conditionalFormatting>
  <conditionalFormatting sqref="G54">
    <cfRule type="expression" dxfId="144" priority="13" stopIfTrue="1">
      <formula>$H$54="超过30%"</formula>
    </cfRule>
  </conditionalFormatting>
  <conditionalFormatting sqref="H48">
    <cfRule type="expression" dxfId="143" priority="3">
      <formula>$D$48="简单平均"</formula>
    </cfRule>
  </conditionalFormatting>
  <conditionalFormatting sqref="I52">
    <cfRule type="expression" dxfId="142" priority="7" stopIfTrue="1">
      <formula>$J$52="超过30%"</formula>
    </cfRule>
  </conditionalFormatting>
  <conditionalFormatting sqref="I53">
    <cfRule type="expression" dxfId="141" priority="6" stopIfTrue="1">
      <formula>$J$53="超过20%"</formula>
    </cfRule>
  </conditionalFormatting>
  <conditionalFormatting sqref="I54">
    <cfRule type="expression" dxfId="140" priority="5" stopIfTrue="1">
      <formula>$J$54="超过30%"</formula>
    </cfRule>
  </conditionalFormatting>
  <conditionalFormatting sqref="J48">
    <cfRule type="expression" dxfId="139" priority="2">
      <formula>$D$48="简单平均"</formula>
    </cfRule>
  </conditionalFormatting>
  <conditionalFormatting sqref="J52:J54">
    <cfRule type="containsText" dxfId="138"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zoomScaleSheetLayoutView="70" workbookViewId="0">
      <selection activeCell="F23" sqref="F23"/>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t="s">
        <v>3407</v>
      </c>
      <c r="D1" s="1270" t="s">
        <v>43</v>
      </c>
      <c r="E1" s="1271" t="s">
        <v>678</v>
      </c>
      <c r="F1" s="998">
        <f ca="1">J53</f>
        <v>17</v>
      </c>
      <c r="G1" s="1285">
        <f>MATCH(C1,'数据-取费表'!A6:A16,0)+5</f>
        <v>6</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1">
        <f ca="1">ROUND(D2/10000,4)</f>
        <v>94.671499999999995</v>
      </c>
      <c r="C2" s="1288" t="s">
        <v>879</v>
      </c>
      <c r="D2" s="1374">
        <f ca="1">C40+J29+L46</f>
        <v>946715</v>
      </c>
      <c r="E2" s="1294" t="s">
        <v>880</v>
      </c>
      <c r="F2" s="1295"/>
      <c r="G2" s="2476"/>
      <c r="H2" s="2466"/>
      <c r="I2" s="2466"/>
      <c r="J2" s="2466"/>
      <c r="K2" s="2467"/>
      <c r="L2" s="2466"/>
      <c r="M2" s="2466"/>
    </row>
    <row r="3" spans="1:37" ht="18" customHeight="1" thickBot="1">
      <c r="A3" s="1296" t="s">
        <v>881</v>
      </c>
      <c r="B3" s="1297">
        <f ca="1">IF(ISERROR(D2/F43),0,ROUND(D2/F43,0))</f>
        <v>6056</v>
      </c>
      <c r="C3" s="1288" t="s">
        <v>882</v>
      </c>
      <c r="D3" s="1288"/>
      <c r="E3" s="1294"/>
      <c r="F3" s="1295"/>
      <c r="G3" s="2476"/>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77128</v>
      </c>
      <c r="D5" s="1272" t="s">
        <v>889</v>
      </c>
      <c r="E5" s="1007"/>
      <c r="F5" s="1008"/>
      <c r="G5" s="1291"/>
      <c r="H5" s="290">
        <v>1</v>
      </c>
      <c r="I5" s="291" t="s">
        <v>888</v>
      </c>
      <c r="J5" s="1006">
        <f ca="1">J6+J10+J12</f>
        <v>0</v>
      </c>
      <c r="K5" s="1272" t="s">
        <v>889</v>
      </c>
      <c r="L5" s="1007"/>
      <c r="M5" s="1008"/>
    </row>
    <row r="6" spans="1:37" ht="18" customHeight="1">
      <c r="A6" s="1005" t="s">
        <v>398</v>
      </c>
      <c r="B6" s="3286" t="s">
        <v>694</v>
      </c>
      <c r="C6" s="1010">
        <f ca="1">ROUND(F6*F8*F7*(1-F9),0)</f>
        <v>77032</v>
      </c>
      <c r="D6" s="146" t="s">
        <v>2106</v>
      </c>
      <c r="E6" s="293" t="s">
        <v>696</v>
      </c>
      <c r="F6" s="294">
        <f ca="1">INDIRECT("'数据-取费表'!u"&amp;$G$1)</f>
        <v>1.5</v>
      </c>
      <c r="G6" s="1291"/>
      <c r="H6" s="1005" t="s">
        <v>398</v>
      </c>
      <c r="I6" s="3286" t="s">
        <v>694</v>
      </c>
      <c r="J6" s="292">
        <f ca="1">ROUND(M6*M8*M7*(1-M9),0)</f>
        <v>0</v>
      </c>
      <c r="K6" s="1283" t="s">
        <v>2107</v>
      </c>
      <c r="L6" s="293" t="s">
        <v>696</v>
      </c>
      <c r="M6" s="294">
        <f ca="1">INDIRECT("'数据-取费表'!z"&amp;$G$1)</f>
        <v>0</v>
      </c>
    </row>
    <row r="7" spans="1:37" ht="18" customHeight="1">
      <c r="A7" s="1009"/>
      <c r="B7" s="3287"/>
      <c r="C7" s="1011"/>
      <c r="D7" s="298"/>
      <c r="E7" s="1012" t="s">
        <v>697</v>
      </c>
      <c r="F7" s="294">
        <f ca="1">IF(INDIRECT("'数据-取费表'!ah"&amp;$G$1)="",INDIRECT("'数据-取费表'!k"&amp;$G$1),INDIRECT("'数据-取费表'!ah"&amp;$G$1))</f>
        <v>156.33000000000001</v>
      </c>
      <c r="G7" s="1291"/>
      <c r="H7" s="295"/>
      <c r="I7" s="3287"/>
      <c r="J7" s="297"/>
      <c r="K7" s="298"/>
      <c r="L7" s="293" t="s">
        <v>697</v>
      </c>
      <c r="M7" s="294">
        <f ca="1">F7</f>
        <v>156.33000000000001</v>
      </c>
    </row>
    <row r="8" spans="1:37" ht="18" customHeight="1">
      <c r="A8" s="295"/>
      <c r="B8" s="3287"/>
      <c r="C8" s="297"/>
      <c r="D8" s="298"/>
      <c r="E8" s="293" t="s">
        <v>698</v>
      </c>
      <c r="F8" s="294">
        <f ca="1">INDIRECT("'数据-取费表'!ai"&amp;$G$1)</f>
        <v>365</v>
      </c>
      <c r="G8" s="1291"/>
      <c r="H8" s="295"/>
      <c r="I8" s="3287"/>
      <c r="J8" s="297"/>
      <c r="K8" s="298"/>
      <c r="L8" s="293" t="s">
        <v>698</v>
      </c>
      <c r="M8" s="294">
        <f ca="1">INDIRECT("'数据-取费表'!ai"&amp;$G$1)</f>
        <v>365</v>
      </c>
    </row>
    <row r="9" spans="1:37" ht="18" customHeight="1">
      <c r="A9" s="295"/>
      <c r="B9" s="3288"/>
      <c r="C9" s="297"/>
      <c r="D9" s="298"/>
      <c r="E9" s="293" t="s">
        <v>699</v>
      </c>
      <c r="F9" s="303">
        <f ca="1">INDIRECT("'数据-取费表'!w"&amp;$G$1)</f>
        <v>0.1</v>
      </c>
      <c r="G9" s="1291"/>
      <c r="H9" s="295"/>
      <c r="I9" s="3288"/>
      <c r="J9" s="297"/>
      <c r="K9" s="298"/>
      <c r="L9" s="304" t="s">
        <v>699</v>
      </c>
      <c r="M9" s="305">
        <f ca="1">INDIRECT("'数据-取费表'!ab"&amp;$G$1)</f>
        <v>0</v>
      </c>
    </row>
    <row r="10" spans="1:37" ht="18" customHeight="1">
      <c r="A10" s="1005" t="s">
        <v>402</v>
      </c>
      <c r="B10" s="1273" t="s">
        <v>700</v>
      </c>
      <c r="C10" s="307">
        <f ca="1">ROUND(IF(F10="押一",C6/12*F11,IF(F10="押二",C6/12*2*F11,IF(F10="押三",C6/12*3*F11,C11*F11))),0)</f>
        <v>96</v>
      </c>
      <c r="D10" s="149" t="s">
        <v>2116</v>
      </c>
      <c r="E10" s="304" t="s">
        <v>701</v>
      </c>
      <c r="F10" s="1052" t="s">
        <v>3416</v>
      </c>
      <c r="G10" s="1291"/>
      <c r="H10" s="1005" t="s">
        <v>402</v>
      </c>
      <c r="I10" s="1273" t="s">
        <v>700</v>
      </c>
      <c r="J10" s="292">
        <f ca="1">ROUND(IF(M10="押一",J6/12*M11,IF(M10="押二",J6/12*2*M11,IF(M10="押三",J6/12*3*M11,J11*M11))),0)</f>
        <v>0</v>
      </c>
      <c r="K10" s="1284" t="s">
        <v>2118</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451293</v>
      </c>
      <c r="D13" s="1017" t="s">
        <v>705</v>
      </c>
      <c r="E13" s="1017" t="s">
        <v>706</v>
      </c>
      <c r="F13" s="1018">
        <f ca="1">INDIRECT("'数据-取费表'!y"&amp;$G$1)</f>
        <v>0.7</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468990</v>
      </c>
      <c r="D14" s="1256" t="s">
        <v>708</v>
      </c>
      <c r="E14" s="1254"/>
      <c r="F14" s="310"/>
      <c r="G14" s="1291"/>
      <c r="H14" s="927" t="s">
        <v>398</v>
      </c>
      <c r="I14" s="293" t="s">
        <v>709</v>
      </c>
      <c r="J14" s="21">
        <f ca="1">C29</f>
        <v>644704</v>
      </c>
      <c r="K14" s="12"/>
      <c r="L14" s="758"/>
      <c r="M14" s="759"/>
    </row>
    <row r="15" spans="1:37" s="1303" customFormat="1" ht="18" customHeight="1" thickBot="1">
      <c r="A15" s="927" t="s">
        <v>399</v>
      </c>
      <c r="B15" s="293" t="s">
        <v>710</v>
      </c>
      <c r="C15" s="21">
        <f ca="1">ROUND(C14*F15,0)</f>
        <v>14070</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1289</v>
      </c>
      <c r="K16" s="1023" t="s">
        <v>715</v>
      </c>
      <c r="L16" s="1024"/>
      <c r="M16" s="1008"/>
    </row>
    <row r="17" spans="1:37" s="1303" customFormat="1" ht="18" customHeight="1">
      <c r="A17" s="927" t="s">
        <v>681</v>
      </c>
      <c r="B17" s="293" t="s">
        <v>716</v>
      </c>
      <c r="C17" s="21">
        <f ca="1">ROUND(F17*(F43+INDIRECT("'数据-取费表'!S"&amp;$G$1)),0)</f>
        <v>31266</v>
      </c>
      <c r="D17" s="293" t="s">
        <v>717</v>
      </c>
      <c r="E17" s="293" t="s">
        <v>718</v>
      </c>
      <c r="F17" s="23">
        <f>'数据-取费表'!B35</f>
        <v>200</v>
      </c>
      <c r="G17" s="1302"/>
      <c r="H17" s="927" t="s">
        <v>398</v>
      </c>
      <c r="I17" s="293"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9380</v>
      </c>
      <c r="D18" s="293" t="s">
        <v>711</v>
      </c>
      <c r="E18" s="293" t="s">
        <v>712</v>
      </c>
      <c r="F18" s="313">
        <f>'数据-取费表'!B36</f>
        <v>0.02</v>
      </c>
      <c r="G18" s="1302"/>
      <c r="H18" s="927" t="s">
        <v>397</v>
      </c>
      <c r="I18" s="293" t="s">
        <v>723</v>
      </c>
      <c r="J18" s="21">
        <f ca="1">ROUND(J6*M18/(1+'数据-取费表'!C42),0)</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523706</v>
      </c>
      <c r="D19" s="122" t="s">
        <v>726</v>
      </c>
      <c r="E19" s="1268"/>
      <c r="F19" s="23"/>
      <c r="G19" s="1291"/>
      <c r="H19" s="927" t="s">
        <v>399</v>
      </c>
      <c r="I19" s="293" t="s">
        <v>727</v>
      </c>
      <c r="J19" s="21">
        <f ca="1">IF(K19="按租金收入计税",ROUND(J6*M19/(1+'数据-取费表'!C42),0),ROUND(C29*M19*0.7,0))</f>
        <v>0</v>
      </c>
      <c r="K19" s="1277" t="s">
        <v>3334</v>
      </c>
      <c r="L19" s="293" t="s">
        <v>712</v>
      </c>
      <c r="M19" s="313">
        <f>IF(K19="按租金收入计税",'数据-取费表'!B51,'数据-取费表'!B50)</f>
        <v>0.12</v>
      </c>
    </row>
    <row r="20" spans="1:37" s="1303" customFormat="1" ht="18" customHeight="1">
      <c r="A20" s="927" t="s">
        <v>402</v>
      </c>
      <c r="B20" s="293" t="s">
        <v>728</v>
      </c>
      <c r="C20" s="21">
        <f ca="1">ROUND(C19*F20,0)</f>
        <v>10474</v>
      </c>
      <c r="D20" s="314" t="s">
        <v>729</v>
      </c>
      <c r="E20" s="293" t="s">
        <v>712</v>
      </c>
      <c r="F20" s="313">
        <f>'数据-取费表'!B37</f>
        <v>0.02</v>
      </c>
      <c r="G20" s="1302"/>
      <c r="H20" s="927" t="s">
        <v>680</v>
      </c>
      <c r="I20" s="146" t="s">
        <v>730</v>
      </c>
      <c r="J20" s="22">
        <f ca="1">ROUND(M20*M21,0)</f>
        <v>0</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8"/>
      <c r="F22" s="23"/>
      <c r="G22" s="1291"/>
      <c r="H22" s="927" t="s">
        <v>402</v>
      </c>
      <c r="I22" s="293" t="s">
        <v>738</v>
      </c>
      <c r="J22" s="21">
        <f ca="1">ROUND(J14*M22,0)</f>
        <v>1289</v>
      </c>
      <c r="K22" s="1255" t="s">
        <v>739</v>
      </c>
      <c r="L22" s="293" t="s">
        <v>712</v>
      </c>
      <c r="M22" s="319">
        <f ca="1">INDIRECT("'数据-取费表'!Ak"&amp;$G$1)</f>
        <v>2E-3</v>
      </c>
    </row>
    <row r="23" spans="1:37" s="1303" customFormat="1" ht="18" customHeight="1">
      <c r="A23" s="927" t="s">
        <v>397</v>
      </c>
      <c r="B23" s="293" t="s">
        <v>740</v>
      </c>
      <c r="C23" s="21">
        <f ca="1">IF('数据-取费表'!B22&lt;=1,ROUND(C19*F24*F23/2,0)+ROUND(C20*F24*F23/2,0),ROUND(C19*(POWER((1+F24),F23/2)-1),0)+ROUND(C20*(POWER((1+F24),F23/2)-1),0))</f>
        <v>8947</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f ca="1">ROUND(J13*M23,0)</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3.3500000000000002E-2</v>
      </c>
      <c r="G24" s="1302"/>
      <c r="H24" s="1025" t="s">
        <v>684</v>
      </c>
      <c r="I24" s="1026" t="s">
        <v>728</v>
      </c>
      <c r="J24" s="1027">
        <f ca="1">ROUND(J5*M24,0)</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-1289</v>
      </c>
      <c r="K25" s="1031" t="s">
        <v>753</v>
      </c>
      <c r="L25" s="1032"/>
      <c r="M25" s="1033"/>
    </row>
    <row r="26" spans="1:37" ht="18" customHeight="1">
      <c r="A26" s="927" t="s">
        <v>397</v>
      </c>
      <c r="B26" s="293" t="s">
        <v>754</v>
      </c>
      <c r="C26" s="21">
        <f ca="1">ROUND((C19+C20)*F26,0)</f>
        <v>53418</v>
      </c>
      <c r="D26" s="314" t="s">
        <v>755</v>
      </c>
      <c r="E26" s="304" t="s">
        <v>756</v>
      </c>
      <c r="F26" s="303">
        <f ca="1">INDIRECT("'数据-取费表'!q"&amp;$G$1)</f>
        <v>0.1</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2E-3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644704</v>
      </c>
      <c r="D29" s="1028"/>
      <c r="E29" s="1026"/>
      <c r="F29" s="1029"/>
      <c r="G29" s="1302"/>
      <c r="H29" s="324" t="s">
        <v>396</v>
      </c>
      <c r="I29" s="325" t="s">
        <v>768</v>
      </c>
      <c r="J29" s="326">
        <f ca="1">ROUND(J26/(1+F40)^F41,0)</f>
        <v>0</v>
      </c>
      <c r="K29" s="327" t="s">
        <v>769</v>
      </c>
      <c r="L29" s="328"/>
      <c r="M29" s="329">
        <f ca="1">INDIRECT("'数据-取费表'!k"&amp;$G$1)</f>
        <v>156.33000000000001</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7261</v>
      </c>
      <c r="D30" s="1023" t="s">
        <v>715</v>
      </c>
      <c r="E30" s="1024"/>
      <c r="F30" s="1008"/>
      <c r="G30" s="1291"/>
      <c r="H30" s="2468"/>
      <c r="I30" s="1304"/>
      <c r="J30" s="1305"/>
      <c r="K30" s="120"/>
      <c r="L30" s="2469"/>
      <c r="M30" s="2470"/>
    </row>
    <row r="31" spans="1:37" ht="18" customHeight="1">
      <c r="A31" s="927" t="s">
        <v>398</v>
      </c>
      <c r="B31" s="293" t="s">
        <v>719</v>
      </c>
      <c r="C31" s="2139">
        <f ca="1">ROUND(IF(AND(项目基本情况!B11="自然人",项目基本情况!B10="北京市"),C6*F31/(1+'数据-取费表'!C42),C32+C33+C34),0)</f>
        <v>5135</v>
      </c>
      <c r="D31" s="1256" t="s">
        <v>720</v>
      </c>
      <c r="E31" s="1255" t="s">
        <v>770</v>
      </c>
      <c r="F31" s="2138">
        <f ca="1">IF(项目基本情况!B11="企业","——",IF(M47="住宅",IF(F6*F7*F8/12/(1+'数据-取费表'!F30)&gt;100000,4%,2.5%),IF(F6*F7*F8/12/(1+'数据-取费表'!F30)&gt;100000,12%,7%)))</f>
        <v>7.0000000000000007E-2</v>
      </c>
      <c r="G31" s="1291"/>
      <c r="H31" s="2567" t="s">
        <v>2306</v>
      </c>
      <c r="I31" s="1304"/>
      <c r="J31" s="1305"/>
      <c r="K31" s="120"/>
      <c r="L31" s="2469"/>
      <c r="M31" s="2470"/>
    </row>
    <row r="32" spans="1:37" ht="18" customHeight="1">
      <c r="A32" s="927" t="s">
        <v>397</v>
      </c>
      <c r="B32" s="293" t="s">
        <v>723</v>
      </c>
      <c r="C32" s="21" t="str">
        <f>IF(项目基本情况!B11="自然人","——",ROUND(C6*F32/(1+'数据-取费表'!C42),0))</f>
        <v>——</v>
      </c>
      <c r="D32" s="1255" t="s">
        <v>724</v>
      </c>
      <c r="E32" s="293" t="s">
        <v>712</v>
      </c>
      <c r="F32" s="321">
        <f>'数据-取费表'!B41</f>
        <v>5.5000000000000007E-2</v>
      </c>
      <c r="G32" s="1291"/>
      <c r="H32" s="2468"/>
      <c r="I32" s="1304"/>
      <c r="J32" s="1305"/>
      <c r="K32" s="120"/>
      <c r="L32" s="2469"/>
      <c r="M32" s="2470"/>
    </row>
    <row r="33" spans="1:18" ht="18" customHeight="1">
      <c r="A33" s="927" t="s">
        <v>399</v>
      </c>
      <c r="B33" s="293" t="s">
        <v>727</v>
      </c>
      <c r="C33" s="21" t="str">
        <f ca="1">IF(项目基本情况!B11="自然人","——",IF(D33="按租金收入计税",ROUND(C6*F33/(1+'数据-取费表'!C42),0),IF(D33="按房产原值计税",ROUND(C29*F33*0.7,0),INDIRECT("'数据-取费表'!Aj"&amp;$G$1))))</f>
        <v>——</v>
      </c>
      <c r="D33" s="1277" t="s">
        <v>3334</v>
      </c>
      <c r="E33" s="293" t="s">
        <v>712</v>
      </c>
      <c r="F33" s="313">
        <f>IF(D33="按票据","——",IF(D33="按租金收入计税",'数据-取费表'!B51,'数据-取费表'!B50))</f>
        <v>0.12</v>
      </c>
      <c r="G33" s="1291"/>
      <c r="H33" s="2471"/>
      <c r="I33" s="1304"/>
      <c r="J33" s="1305"/>
      <c r="K33" s="2472"/>
      <c r="L33" s="2471"/>
      <c r="M33" s="2471"/>
    </row>
    <row r="34" spans="1:18" ht="18" customHeight="1">
      <c r="A34" s="1005" t="s">
        <v>680</v>
      </c>
      <c r="B34" s="146" t="s">
        <v>730</v>
      </c>
      <c r="C34" s="22" t="str">
        <f>IF(项目基本情况!B11="自然人","——",ROUND(F34*F35,0))</f>
        <v>——</v>
      </c>
      <c r="D34" s="315" t="s">
        <v>731</v>
      </c>
      <c r="E34" s="293" t="s">
        <v>732</v>
      </c>
      <c r="F34" s="316">
        <f>'数据-取费表'!B52</f>
        <v>1.5</v>
      </c>
      <c r="G34" s="1291"/>
      <c r="H34" s="2468"/>
      <c r="I34" s="1304"/>
      <c r="J34" s="1305"/>
      <c r="K34" s="2473"/>
      <c r="L34" s="2474"/>
      <c r="M34" s="2474"/>
    </row>
    <row r="35" spans="1:18" ht="18" customHeight="1">
      <c r="A35" s="1039"/>
      <c r="B35" s="1037"/>
      <c r="C35" s="26"/>
      <c r="D35" s="318"/>
      <c r="E35" s="293" t="s">
        <v>736</v>
      </c>
      <c r="F35" s="294">
        <f ca="1">INDIRECT("'数据-取费表'!r"&amp;$G$1)</f>
        <v>0</v>
      </c>
      <c r="G35" s="1291"/>
      <c r="H35" s="2468"/>
      <c r="I35" s="1304"/>
      <c r="J35" s="1305"/>
      <c r="K35" s="2472"/>
      <c r="L35" s="2471"/>
      <c r="M35" s="2471"/>
    </row>
    <row r="36" spans="1:18" ht="18" customHeight="1">
      <c r="A36" s="1038" t="s">
        <v>402</v>
      </c>
      <c r="B36" s="293" t="s">
        <v>738</v>
      </c>
      <c r="C36" s="21">
        <f ca="1">ROUND(C29*F36,0)</f>
        <v>1289</v>
      </c>
      <c r="D36" s="1255" t="s">
        <v>771</v>
      </c>
      <c r="E36" s="293" t="s">
        <v>712</v>
      </c>
      <c r="F36" s="319">
        <f ca="1">INDIRECT("'数据-取费表'!Ak"&amp;$G$1)</f>
        <v>2E-3</v>
      </c>
      <c r="G36" s="1291"/>
      <c r="H36" s="2471"/>
      <c r="I36" s="1304"/>
      <c r="J36" s="1305"/>
      <c r="K36" s="2329"/>
      <c r="L36" s="2471"/>
      <c r="M36" s="2471"/>
    </row>
    <row r="37" spans="1:18" ht="18" customHeight="1">
      <c r="A37" s="927" t="s">
        <v>437</v>
      </c>
      <c r="B37" s="293" t="s">
        <v>742</v>
      </c>
      <c r="C37" s="21">
        <f ca="1">ROUND(C13*F37,0)</f>
        <v>451</v>
      </c>
      <c r="D37" s="1255" t="s">
        <v>743</v>
      </c>
      <c r="E37" s="293" t="s">
        <v>744</v>
      </c>
      <c r="F37" s="320">
        <f ca="1">INDIRECT("'数据-取费表'!Al"&amp;$G$1)</f>
        <v>1E-3</v>
      </c>
      <c r="G37" s="1291"/>
      <c r="H37" s="2471"/>
      <c r="I37" s="1304"/>
      <c r="J37" s="1305"/>
      <c r="K37" s="2329"/>
      <c r="L37" s="2471"/>
      <c r="M37" s="2471"/>
    </row>
    <row r="38" spans="1:18" ht="18" customHeight="1" thickBot="1">
      <c r="A38" s="1025" t="s">
        <v>684</v>
      </c>
      <c r="B38" s="1026" t="s">
        <v>728</v>
      </c>
      <c r="C38" s="1027">
        <f ca="1">ROUND(C5*F38,0)</f>
        <v>386</v>
      </c>
      <c r="D38" s="1028" t="s">
        <v>748</v>
      </c>
      <c r="E38" s="1026" t="s">
        <v>744</v>
      </c>
      <c r="F38" s="1022">
        <f ca="1">INDIRECT("'数据-取费表'!Am"&amp;$G$1)</f>
        <v>5.0000000000000001E-3</v>
      </c>
      <c r="G38" s="1291"/>
      <c r="H38" s="2471"/>
      <c r="I38" s="1304"/>
      <c r="J38" s="1305"/>
      <c r="K38" s="2469"/>
      <c r="L38" s="2471"/>
      <c r="M38" s="2471"/>
    </row>
    <row r="39" spans="1:18" ht="24.6" customHeight="1" thickTop="1">
      <c r="A39" s="1015" t="s">
        <v>394</v>
      </c>
      <c r="B39" s="1030" t="s">
        <v>772</v>
      </c>
      <c r="C39" s="301">
        <f ca="1">C5-C30</f>
        <v>69867</v>
      </c>
      <c r="D39" s="1031" t="s">
        <v>773</v>
      </c>
      <c r="E39" s="1032"/>
      <c r="F39" s="1033"/>
      <c r="G39" s="1291"/>
      <c r="H39" s="2471"/>
      <c r="I39" s="1304"/>
      <c r="J39" s="1305"/>
      <c r="K39" s="2469"/>
      <c r="L39" s="2471"/>
      <c r="M39" s="2471"/>
    </row>
    <row r="40" spans="1:18" ht="18" customHeight="1">
      <c r="A40" s="290" t="s">
        <v>395</v>
      </c>
      <c r="B40" s="291" t="s">
        <v>774</v>
      </c>
      <c r="C40" s="292">
        <f ca="1">ROUND(C39*(1-((1+F42)/(1+F40))^F41)/(F40-F42),0)</f>
        <v>871297</v>
      </c>
      <c r="D40" s="315" t="s">
        <v>758</v>
      </c>
      <c r="E40" s="293" t="s">
        <v>759</v>
      </c>
      <c r="F40" s="303">
        <f ca="1">INDIRECT("'数据-取费表'!I"&amp;$G$1)</f>
        <v>5.5E-2</v>
      </c>
      <c r="G40" s="1291"/>
      <c r="H40" s="1365"/>
      <c r="I40" s="1304"/>
      <c r="J40" s="1305"/>
      <c r="K40" s="2469"/>
      <c r="L40" s="1365"/>
      <c r="M40" s="1365"/>
    </row>
    <row r="41" spans="1:18" ht="18" customHeight="1">
      <c r="A41" s="295"/>
      <c r="B41" s="296"/>
      <c r="C41" s="297"/>
      <c r="D41" s="322" t="s">
        <v>775</v>
      </c>
      <c r="E41" s="293" t="s">
        <v>763</v>
      </c>
      <c r="F41" s="323">
        <f ca="1">IF(INDIRECT("'数据-取费表'!af"&amp;$G$1)=0,INDIRECT("'数据-取费表'!ae"&amp;$G$1),INDIRECT("'数据-取费表'!af"&amp;$G$1))</f>
        <v>17</v>
      </c>
      <c r="G41" s="1291"/>
      <c r="H41" s="120">
        <f ca="1">C39/C5</f>
        <v>0.90585779483456075</v>
      </c>
      <c r="I41" s="1304"/>
      <c r="J41" s="1305"/>
      <c r="K41" s="2329"/>
      <c r="L41" s="120"/>
      <c r="M41" s="120"/>
    </row>
    <row r="42" spans="1:18" ht="18" customHeight="1">
      <c r="A42" s="299"/>
      <c r="B42" s="300"/>
      <c r="C42" s="301"/>
      <c r="D42" s="318"/>
      <c r="E42" s="293" t="s">
        <v>766</v>
      </c>
      <c r="F42" s="303">
        <f ca="1">INDIRECT("'数据-取费表'!v"&amp;$G$1)</f>
        <v>0.02</v>
      </c>
      <c r="G42" s="1291"/>
      <c r="H42" s="120"/>
      <c r="I42" s="1304"/>
      <c r="J42" s="1305"/>
      <c r="K42" s="2329"/>
      <c r="L42" s="120"/>
      <c r="M42" s="120"/>
    </row>
    <row r="43" spans="1:18" ht="18" customHeight="1" thickBot="1">
      <c r="A43" s="324" t="s">
        <v>396</v>
      </c>
      <c r="B43" s="325" t="s">
        <v>776</v>
      </c>
      <c r="C43" s="326">
        <f ca="1">ROUND(C40/F43,0)</f>
        <v>5573</v>
      </c>
      <c r="D43" s="327" t="s">
        <v>777</v>
      </c>
      <c r="E43" s="328" t="s">
        <v>778</v>
      </c>
      <c r="F43" s="329">
        <f ca="1">INDIRECT("'数据-取费表'!k"&amp;$G$1)</f>
        <v>156.33000000000001</v>
      </c>
      <c r="G43" s="1291"/>
      <c r="H43" s="120"/>
      <c r="I43" s="120"/>
      <c r="J43" s="120"/>
      <c r="K43" s="2329"/>
      <c r="L43" s="120"/>
      <c r="M43" s="120"/>
    </row>
    <row r="44" spans="1:18" s="1291" customFormat="1" ht="18" customHeight="1">
      <c r="A44" s="1306"/>
      <c r="B44" s="1306"/>
      <c r="C44" s="1307"/>
      <c r="D44" s="1306"/>
      <c r="E44" s="1306"/>
      <c r="F44" s="1306"/>
      <c r="K44" s="1308"/>
    </row>
    <row r="45" spans="1:18" s="1291" customFormat="1" ht="18" customHeight="1" thickBot="1">
      <c r="A45" s="3127" t="s">
        <v>3350</v>
      </c>
      <c r="B45" s="1306"/>
      <c r="C45" s="1375">
        <f ca="1">ROUND((C68-C40)/10000,4)</f>
        <v>-89.020099999999999</v>
      </c>
      <c r="D45" s="3128" t="s">
        <v>3351</v>
      </c>
      <c r="E45" s="1306"/>
      <c r="F45" s="1306"/>
      <c r="O45" s="1309" t="s">
        <v>808</v>
      </c>
      <c r="P45" s="1365"/>
      <c r="Q45" s="1365"/>
      <c r="R45" s="1365"/>
    </row>
    <row r="46" spans="1:18" s="1291" customFormat="1" ht="13.8" thickBot="1">
      <c r="A46" s="1310" t="s">
        <v>809</v>
      </c>
      <c r="C46" s="1311">
        <f ca="1">ROUND(C45,0)</f>
        <v>-89</v>
      </c>
      <c r="D46" s="1312" t="str">
        <f>C2</f>
        <v>万元</v>
      </c>
      <c r="I46" s="1313" t="s">
        <v>810</v>
      </c>
      <c r="J46" s="1314"/>
      <c r="K46" s="1315"/>
      <c r="L46" s="1316">
        <f ca="1">IF(M47="住宅",0,IF(L48&gt;J51,L60,J60))</f>
        <v>75418</v>
      </c>
      <c r="O46" s="1317" t="s">
        <v>811</v>
      </c>
      <c r="P46" s="1318" t="s">
        <v>812</v>
      </c>
      <c r="Q46" s="1319" t="s">
        <v>813</v>
      </c>
      <c r="R46" s="1319" t="s">
        <v>814</v>
      </c>
    </row>
    <row r="47" spans="1:18" s="1291" customFormat="1" ht="13.8" thickBot="1">
      <c r="A47" s="891" t="s">
        <v>687</v>
      </c>
      <c r="B47" s="923" t="s">
        <v>688</v>
      </c>
      <c r="C47" s="923" t="s">
        <v>689</v>
      </c>
      <c r="D47" s="923" t="s">
        <v>690</v>
      </c>
      <c r="E47" s="994" t="s">
        <v>691</v>
      </c>
      <c r="F47" s="995"/>
      <c r="G47" s="680"/>
      <c r="I47" s="1320" t="s">
        <v>815</v>
      </c>
      <c r="J47" s="1321" t="s">
        <v>3417</v>
      </c>
      <c r="K47" s="1322" t="s">
        <v>816</v>
      </c>
      <c r="L47" s="1323">
        <f ca="1">INDIRECT("'数据-取费表'!d"&amp;$G$1)</f>
        <v>40</v>
      </c>
      <c r="M47" s="1287" t="str">
        <f>IF(ISNUMBER(FIND("住宅",C1)),"住宅","非住宅")</f>
        <v>非住宅</v>
      </c>
      <c r="O47" s="1324" t="s">
        <v>403</v>
      </c>
      <c r="P47" s="1325" t="s">
        <v>817</v>
      </c>
      <c r="Q47" s="1326">
        <f ca="1">C40+J29</f>
        <v>871297</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t="s">
        <v>3418</v>
      </c>
      <c r="K48" s="1329" t="s">
        <v>820</v>
      </c>
      <c r="L48" s="1330">
        <f ca="1">INDIRECT("'数据-取费表'!f"&amp;$G$1)</f>
        <v>17</v>
      </c>
      <c r="O48" s="1324" t="s">
        <v>404</v>
      </c>
      <c r="P48" s="1325" t="s">
        <v>821</v>
      </c>
      <c r="Q48" s="1326">
        <f ca="1">J60</f>
        <v>75418</v>
      </c>
      <c r="R48" s="1326" t="s">
        <v>822</v>
      </c>
    </row>
    <row r="49" spans="1:18" s="1291" customFormat="1" ht="13.8" thickBot="1">
      <c r="A49" s="920" t="s">
        <v>439</v>
      </c>
      <c r="B49" s="1278" t="s">
        <v>779</v>
      </c>
      <c r="C49" s="1050">
        <f ca="1">ROUND(F49*F51*F50*(1-F52),0)</f>
        <v>0</v>
      </c>
      <c r="D49" s="991" t="s">
        <v>695</v>
      </c>
      <c r="E49" s="1279" t="s">
        <v>780</v>
      </c>
      <c r="F49" s="996"/>
      <c r="H49" s="681"/>
      <c r="I49" s="1327" t="s">
        <v>823</v>
      </c>
      <c r="J49" s="1331">
        <f>'数据-取费表'!N19</f>
        <v>2002</v>
      </c>
      <c r="K49" s="1329" t="s">
        <v>824</v>
      </c>
      <c r="L49" s="1332"/>
      <c r="O49" s="1333" t="s">
        <v>405</v>
      </c>
      <c r="P49" s="1325" t="s">
        <v>825</v>
      </c>
      <c r="Q49" s="1326">
        <f ca="1">C29</f>
        <v>644704</v>
      </c>
      <c r="R49" s="1326" t="s">
        <v>818</v>
      </c>
    </row>
    <row r="50" spans="1:18" s="1291" customFormat="1" ht="13.8" thickBot="1">
      <c r="A50" s="921"/>
      <c r="B50" s="924"/>
      <c r="C50" s="925"/>
      <c r="D50" s="898"/>
      <c r="E50" s="992" t="s">
        <v>697</v>
      </c>
      <c r="F50" s="993">
        <f ca="1">F7</f>
        <v>156.33000000000001</v>
      </c>
      <c r="H50" s="681"/>
      <c r="I50" s="1327" t="s">
        <v>826</v>
      </c>
      <c r="J50" s="1334">
        <f>SUMPRODUCT((I63:I65=J47)*(J62:L62=J48)*(J63:L65))</f>
        <v>50</v>
      </c>
      <c r="K50" s="1329" t="s">
        <v>827</v>
      </c>
      <c r="L50" s="1332"/>
      <c r="M50" s="1335"/>
      <c r="O50" s="1333" t="s">
        <v>406</v>
      </c>
      <c r="P50" s="1325" t="s">
        <v>828</v>
      </c>
      <c r="Q50" s="1336">
        <f ca="1">J58</f>
        <v>0.4</v>
      </c>
      <c r="R50" s="1326"/>
    </row>
    <row r="51" spans="1:18" s="1291" customFormat="1" ht="13.8" thickBot="1">
      <c r="A51" s="922"/>
      <c r="B51" s="924"/>
      <c r="C51" s="925"/>
      <c r="D51" s="898"/>
      <c r="E51" s="926" t="s">
        <v>698</v>
      </c>
      <c r="F51" s="294">
        <f ca="1">F8</f>
        <v>365</v>
      </c>
      <c r="I51" s="1337" t="s">
        <v>829</v>
      </c>
      <c r="J51" s="1330">
        <f>IF(J49="",J50,J49+J50-YEAR('数据-取费表'!B2))</f>
        <v>28</v>
      </c>
      <c r="K51" s="1338" t="s">
        <v>830</v>
      </c>
      <c r="L51" s="1339">
        <f ca="1">ROUND(-PV(INDIRECT("'数据-取费表'!h"&amp;$G$1),J51,(C39-C13*C76),0),0)</f>
        <v>570248</v>
      </c>
      <c r="M51" s="1340"/>
      <c r="O51" s="1333" t="s">
        <v>407</v>
      </c>
      <c r="P51" s="1325" t="s">
        <v>831</v>
      </c>
      <c r="Q51" s="1336">
        <f>J52</f>
        <v>7.4999999999999997E-2</v>
      </c>
      <c r="R51" s="1326"/>
    </row>
    <row r="52" spans="1:18" s="1291" customFormat="1" ht="13.8" thickBot="1">
      <c r="A52" s="922"/>
      <c r="B52" s="924"/>
      <c r="C52" s="925"/>
      <c r="D52" s="898"/>
      <c r="E52" s="926" t="s">
        <v>699</v>
      </c>
      <c r="F52" s="990"/>
      <c r="I52" s="1341" t="s">
        <v>832</v>
      </c>
      <c r="J52" s="1342">
        <v>7.4999999999999997E-2</v>
      </c>
      <c r="K52" s="1341" t="s">
        <v>833</v>
      </c>
      <c r="L52" s="1342"/>
      <c r="O52" s="1333" t="s">
        <v>408</v>
      </c>
      <c r="P52" s="1325" t="s">
        <v>834</v>
      </c>
      <c r="Q52" s="1326">
        <f ca="1">J53</f>
        <v>17</v>
      </c>
      <c r="R52" s="1326" t="s">
        <v>835</v>
      </c>
    </row>
    <row r="53" spans="1:18" s="1291" customFormat="1" ht="30.75" customHeight="1" thickBot="1">
      <c r="A53" s="1047" t="s">
        <v>440</v>
      </c>
      <c r="B53" s="314" t="s">
        <v>700</v>
      </c>
      <c r="C53" s="307">
        <f ca="1">ROUND(IF(F53="押一",C49/12*F11,IF(F53="押二",C49/12*2*F11,IF(F53="押三",C49/12*3*F11,C54*F11))),0)</f>
        <v>0</v>
      </c>
      <c r="D53" s="149" t="s">
        <v>2119</v>
      </c>
      <c r="E53" s="304" t="s">
        <v>701</v>
      </c>
      <c r="F53" s="1052"/>
      <c r="I53" s="1343" t="s">
        <v>836</v>
      </c>
      <c r="J53" s="2005">
        <f ca="1">IF(M47="住宅",IF(D1="——",MAX(J51,L48),MAX(J51,L48-'数据-取费表'!B24)),IF(D1="——",MIN(J51,L48),MIN(J51,L48-'数据-取费表'!B24)))</f>
        <v>17</v>
      </c>
      <c r="K53" s="3284" t="s">
        <v>837</v>
      </c>
      <c r="L53" s="3285"/>
      <c r="O53" s="1324" t="s">
        <v>409</v>
      </c>
      <c r="P53" s="1325" t="s">
        <v>838</v>
      </c>
      <c r="Q53" s="1326">
        <f ca="1">Q47+Q48</f>
        <v>946715</v>
      </c>
      <c r="R53" s="1326" t="s">
        <v>410</v>
      </c>
    </row>
    <row r="54" spans="1:18" s="1291" customFormat="1" ht="13.8"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f ca="1">ROUND(IF(J47="钢混",J57/J50,1-(1-2%)*(J50-J57)/J50),3)</f>
        <v>0.23599999999999999</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451293</v>
      </c>
      <c r="D56" s="1351"/>
      <c r="E56" s="1352"/>
      <c r="F56" s="1344"/>
      <c r="I56" s="1353" t="s">
        <v>842</v>
      </c>
      <c r="J56" s="1354" t="s">
        <v>3419</v>
      </c>
      <c r="K56" s="1327" t="s">
        <v>843</v>
      </c>
      <c r="L56" s="1330" t="str">
        <f ca="1">IF(L48&lt;J51,"——",L48-J51)</f>
        <v>——</v>
      </c>
      <c r="O56" s="1324" t="s">
        <v>403</v>
      </c>
      <c r="P56" s="1325" t="s">
        <v>817</v>
      </c>
      <c r="Q56" s="1326">
        <f ca="1">C40+J29</f>
        <v>871297</v>
      </c>
      <c r="R56" s="1326" t="s">
        <v>818</v>
      </c>
    </row>
    <row r="57" spans="1:18" s="1291" customFormat="1" ht="24.6" thickBot="1">
      <c r="A57" s="1355"/>
      <c r="B57" s="895" t="s">
        <v>767</v>
      </c>
      <c r="C57" s="229">
        <f ca="1">C29</f>
        <v>644704</v>
      </c>
      <c r="D57" s="1356"/>
      <c r="E57" s="1357"/>
      <c r="F57" s="1358"/>
      <c r="I57" s="1359" t="s">
        <v>844</v>
      </c>
      <c r="J57" s="1360">
        <f ca="1">IF(OR(M47="住宅",J51&lt;L48,J56="是"),"——",J51-L48)</f>
        <v>11</v>
      </c>
      <c r="K57" s="1327" t="s">
        <v>892</v>
      </c>
      <c r="L57" s="1330" t="str">
        <f ca="1">IF(L48&lt;J51,"——",IF(L55="比较法",L49,IF(L55="基准地价",L50,L51)))</f>
        <v>——</v>
      </c>
      <c r="O57" s="1324" t="s">
        <v>404</v>
      </c>
      <c r="P57" s="1325" t="s">
        <v>893</v>
      </c>
      <c r="Q57" s="1326">
        <f ca="1">L60</f>
        <v>0</v>
      </c>
      <c r="R57" s="1326" t="s">
        <v>894</v>
      </c>
    </row>
    <row r="58" spans="1:18" s="1291" customFormat="1" ht="24.6" thickBot="1">
      <c r="A58" s="306" t="s">
        <v>393</v>
      </c>
      <c r="B58" s="903" t="s">
        <v>714</v>
      </c>
      <c r="C58" s="307">
        <f ca="1">ROUND(C59+C64+C65+C66,0)</f>
        <v>1740</v>
      </c>
      <c r="D58" s="905" t="s">
        <v>715</v>
      </c>
      <c r="E58" s="906"/>
      <c r="F58" s="907"/>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f ca="1">IF(OR(M47="住宅",J51&lt;L48,J56="是"),"——",ROUND(C29*J58,0))</f>
        <v>257882</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t="str">
        <f>IF(项目基本情况!B11="自然人","——",ROUND(C48*F60/(1+'数据-取费表'!C42),0))</f>
        <v>——</v>
      </c>
      <c r="D60" s="909" t="s">
        <v>724</v>
      </c>
      <c r="E60" s="895" t="s">
        <v>712</v>
      </c>
      <c r="F60" s="321">
        <f t="shared" ref="F60:F66" si="0">F32</f>
        <v>5.5000000000000007E-2</v>
      </c>
      <c r="I60" s="1362" t="s">
        <v>853</v>
      </c>
      <c r="J60" s="1363">
        <f ca="1">IF(OR(M47="住宅",J51&lt;L48,J56="是"),"0",ROUND(J59/(1+J52)^J53,0))</f>
        <v>75418</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782</v>
      </c>
      <c r="C61" s="21" t="str">
        <f ca="1">IF(项目基本情况!B11="自然人","——",IF(D61="按租金收入计税",ROUND(C49*F61/(1+'数据-取费表'!C42),0),IF(D61="按房产原值计税",ROUND(C57*F61*0.7,0),INDIRECT("'数据-取费表'!Aj"&amp;$G$1))))</f>
        <v>——</v>
      </c>
      <c r="D61" s="1277" t="s">
        <v>3334</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t="str">
        <f>IF(项目基本情况!B11="自然人","——",ROUND(F62*F63,0))</f>
        <v>——</v>
      </c>
      <c r="D62" s="910" t="s">
        <v>786</v>
      </c>
      <c r="E62" s="895" t="s">
        <v>787</v>
      </c>
      <c r="F62" s="316">
        <f t="shared" si="0"/>
        <v>1.5</v>
      </c>
      <c r="I62" s="1366" t="s">
        <v>858</v>
      </c>
      <c r="J62" s="609" t="s">
        <v>859</v>
      </c>
      <c r="K62" s="609" t="s">
        <v>860</v>
      </c>
      <c r="L62" s="609" t="s">
        <v>861</v>
      </c>
      <c r="M62" s="1367" t="s">
        <v>862</v>
      </c>
      <c r="O62" s="1324" t="s">
        <v>409</v>
      </c>
      <c r="P62" s="1325" t="s">
        <v>863</v>
      </c>
      <c r="Q62" s="1326">
        <f ca="1">Q56+Q57</f>
        <v>871297</v>
      </c>
      <c r="R62" s="1326" t="s">
        <v>410</v>
      </c>
    </row>
    <row r="63" spans="1:18" s="1291" customFormat="1" ht="13.8"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ROUND(C57*F64,0)</f>
        <v>1289</v>
      </c>
      <c r="D64" s="909" t="s">
        <v>791</v>
      </c>
      <c r="E64" s="895" t="s">
        <v>783</v>
      </c>
      <c r="F64" s="319">
        <f t="shared" ca="1" si="0"/>
        <v>2E-3</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ROUND(C56*F65,0)</f>
        <v>451</v>
      </c>
      <c r="D65" s="909" t="s">
        <v>743</v>
      </c>
      <c r="E65" s="895" t="s">
        <v>744</v>
      </c>
      <c r="F65" s="320">
        <f t="shared" ca="1" si="0"/>
        <v>1E-3</v>
      </c>
      <c r="I65" s="1366" t="s">
        <v>867</v>
      </c>
      <c r="J65" s="609">
        <v>40</v>
      </c>
      <c r="K65" s="609">
        <v>30</v>
      </c>
      <c r="L65" s="609">
        <v>50</v>
      </c>
      <c r="M65" s="1368">
        <v>0.02</v>
      </c>
      <c r="O65" s="1324" t="s">
        <v>403</v>
      </c>
      <c r="P65" s="1325" t="s">
        <v>868</v>
      </c>
      <c r="Q65" s="1326">
        <f ca="1">C40+J29</f>
        <v>871297</v>
      </c>
      <c r="R65" s="1326" t="s">
        <v>818</v>
      </c>
    </row>
    <row r="66" spans="1:18" s="1291" customFormat="1" ht="16.2" thickBot="1">
      <c r="A66" s="927" t="s">
        <v>793</v>
      </c>
      <c r="B66" s="895" t="s">
        <v>728</v>
      </c>
      <c r="C66" s="21">
        <f ca="1">ROUND(C48*F66,0)</f>
        <v>0</v>
      </c>
      <c r="D66" s="909" t="s">
        <v>794</v>
      </c>
      <c r="E66" s="895" t="s">
        <v>712</v>
      </c>
      <c r="F66" s="303">
        <f t="shared" ca="1" si="0"/>
        <v>5.0000000000000001E-3</v>
      </c>
      <c r="O66" s="1324" t="s">
        <v>404</v>
      </c>
      <c r="P66" s="1325" t="s">
        <v>846</v>
      </c>
      <c r="Q66" s="1326">
        <f ca="1">L60</f>
        <v>0</v>
      </c>
      <c r="R66" s="1326" t="s">
        <v>869</v>
      </c>
    </row>
    <row r="67" spans="1:18" s="1291" customFormat="1" ht="24.6" thickBot="1">
      <c r="A67" s="902" t="s">
        <v>394</v>
      </c>
      <c r="B67" s="912" t="s">
        <v>752</v>
      </c>
      <c r="C67" s="307">
        <f ca="1">C48-C58</f>
        <v>-1740</v>
      </c>
      <c r="D67" s="908" t="s">
        <v>753</v>
      </c>
      <c r="E67" s="913"/>
      <c r="F67" s="914"/>
      <c r="O67" s="1333" t="s">
        <v>405</v>
      </c>
      <c r="P67" s="1325" t="s">
        <v>850</v>
      </c>
      <c r="Q67" s="1369">
        <f ca="1">L51</f>
        <v>570248</v>
      </c>
      <c r="R67" s="1326" t="s">
        <v>870</v>
      </c>
    </row>
    <row r="68" spans="1:18" s="1291" customFormat="1" ht="16.2" thickBot="1">
      <c r="A68" s="892" t="s">
        <v>395</v>
      </c>
      <c r="B68" s="893" t="s">
        <v>774</v>
      </c>
      <c r="C68" s="292">
        <f ca="1">ROUND(C67*(1-((1+F70)/(1+F68))^F69)/(F68-F70),0)</f>
        <v>-18904</v>
      </c>
      <c r="D68" s="910" t="s">
        <v>758</v>
      </c>
      <c r="E68" s="895" t="s">
        <v>759</v>
      </c>
      <c r="F68" s="303">
        <f ca="1">F40</f>
        <v>5.5E-2</v>
      </c>
      <c r="O68" s="1333" t="s">
        <v>406</v>
      </c>
      <c r="P68" s="1370" t="s">
        <v>871</v>
      </c>
      <c r="Q68" s="1326">
        <f ca="1">ROUND(Q69-Q70*Q71,0)</f>
        <v>38276</v>
      </c>
      <c r="R68" s="1326" t="s">
        <v>414</v>
      </c>
    </row>
    <row r="69" spans="1:18" s="1291" customFormat="1" ht="13.8" thickBot="1">
      <c r="A69" s="896"/>
      <c r="B69" s="897"/>
      <c r="C69" s="297"/>
      <c r="D69" s="915" t="s">
        <v>762</v>
      </c>
      <c r="E69" s="895" t="s">
        <v>763</v>
      </c>
      <c r="F69" s="323">
        <f ca="1">F41</f>
        <v>17</v>
      </c>
      <c r="O69" s="1333" t="s">
        <v>411</v>
      </c>
      <c r="P69" s="1370" t="s">
        <v>872</v>
      </c>
      <c r="Q69" s="1326">
        <f ca="1">C39</f>
        <v>69867</v>
      </c>
      <c r="R69" s="1326" t="s">
        <v>818</v>
      </c>
    </row>
    <row r="70" spans="1:18" s="1291" customFormat="1" ht="13.8" thickBot="1">
      <c r="A70" s="899"/>
      <c r="B70" s="900"/>
      <c r="C70" s="301"/>
      <c r="D70" s="911"/>
      <c r="E70" s="895" t="s">
        <v>766</v>
      </c>
      <c r="F70" s="990"/>
      <c r="O70" s="1333" t="s">
        <v>412</v>
      </c>
      <c r="P70" s="1370" t="s">
        <v>873</v>
      </c>
      <c r="Q70" s="1326">
        <f ca="1">C13</f>
        <v>451293</v>
      </c>
      <c r="R70" s="1326" t="s">
        <v>818</v>
      </c>
    </row>
    <row r="71" spans="1:18" s="1291" customFormat="1" ht="13.8" thickBot="1">
      <c r="A71" s="916" t="s">
        <v>396</v>
      </c>
      <c r="B71" s="917" t="s">
        <v>776</v>
      </c>
      <c r="C71" s="326">
        <f ca="1">ROUND(C68/F71,0)</f>
        <v>-121</v>
      </c>
      <c r="D71" s="918" t="s">
        <v>777</v>
      </c>
      <c r="E71" s="919" t="s">
        <v>778</v>
      </c>
      <c r="F71" s="329">
        <f ca="1">F43</f>
        <v>156.33000000000001</v>
      </c>
      <c r="O71" s="1333" t="s">
        <v>413</v>
      </c>
      <c r="P71" s="1370" t="s">
        <v>874</v>
      </c>
      <c r="Q71" s="1336">
        <f ca="1">C76</f>
        <v>7.0000000000000007E-2</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31591</v>
      </c>
      <c r="D75" s="1291"/>
      <c r="E75" s="1291"/>
      <c r="F75" s="1291"/>
      <c r="K75" s="1308"/>
      <c r="L75" s="1291"/>
      <c r="O75" s="1324" t="s">
        <v>409</v>
      </c>
      <c r="P75" s="1325" t="s">
        <v>838</v>
      </c>
      <c r="Q75" s="1326">
        <f ca="1">Q65+Q66</f>
        <v>871297</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0.54800000000000004</v>
      </c>
    </row>
    <row r="80" spans="1:18">
      <c r="B80" s="330" t="s">
        <v>800</v>
      </c>
      <c r="C80" s="265">
        <f ca="1">ROUND(C75/C39,3)</f>
        <v>0.45200000000000001</v>
      </c>
    </row>
    <row r="81" spans="2:3">
      <c r="B81" s="261" t="s">
        <v>801</v>
      </c>
      <c r="C81" s="229"/>
    </row>
    <row r="82" spans="2:3">
      <c r="B82" s="264" t="s">
        <v>802</v>
      </c>
      <c r="C82" s="266">
        <f ca="1">1-C83</f>
        <v>0.48199999999999998</v>
      </c>
    </row>
    <row r="83" spans="2:3">
      <c r="B83" s="264" t="s">
        <v>803</v>
      </c>
      <c r="C83" s="265">
        <f ca="1">ROUND(C13/C40,3)</f>
        <v>0.51800000000000002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7" priority="3">
      <formula>$F$10="自定义"</formula>
    </cfRule>
  </conditionalFormatting>
  <conditionalFormatting sqref="C54">
    <cfRule type="expression" dxfId="136" priority="1">
      <formula>$F$53="自定义"</formula>
    </cfRule>
  </conditionalFormatting>
  <conditionalFormatting sqref="I55 I60">
    <cfRule type="expression" dxfId="135" priority="5">
      <formula>$J$51&gt;$L$48</formula>
    </cfRule>
  </conditionalFormatting>
  <conditionalFormatting sqref="J11">
    <cfRule type="expression" dxfId="134" priority="2">
      <formula>$M$10="自定义"</formula>
    </cfRule>
  </conditionalFormatting>
  <conditionalFormatting sqref="K55 K60">
    <cfRule type="expression" dxfId="133" priority="4">
      <formula>$L$48&gt;$J$51</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估价范围判定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2" customHeight="1">
      <c r="A2" s="1292" t="s">
        <v>2315</v>
      </c>
      <c r="B2" s="2592" t="e">
        <f>IF(D2="——",C40,C40+E2)</f>
        <v>#DIV/0!</v>
      </c>
      <c r="C2" s="2593" t="s">
        <v>2316</v>
      </c>
      <c r="D2" s="3136" t="s">
        <v>3357</v>
      </c>
      <c r="E2" s="3137"/>
      <c r="F2" s="2595"/>
      <c r="G2" s="2596"/>
      <c r="H2" s="2597"/>
      <c r="I2" s="2598"/>
      <c r="J2" s="3435" t="s">
        <v>2317</v>
      </c>
      <c r="K2" s="3436"/>
      <c r="L2" s="2599" t="s">
        <v>2318</v>
      </c>
      <c r="M2" s="2599" t="s">
        <v>2319</v>
      </c>
      <c r="N2" s="2599" t="s">
        <v>2320</v>
      </c>
      <c r="O2" s="2599" t="s">
        <v>2321</v>
      </c>
      <c r="P2" s="2599" t="s">
        <v>2322</v>
      </c>
      <c r="Q2" s="2600" t="s">
        <v>2323</v>
      </c>
      <c r="R2" s="2601" t="s">
        <v>2324</v>
      </c>
      <c r="S2" s="2590"/>
      <c r="T2" s="2590"/>
      <c r="U2" s="2590"/>
      <c r="V2" s="2598"/>
    </row>
    <row r="3" spans="1:22" s="2602" customFormat="1" ht="13.2" customHeight="1">
      <c r="A3" s="2603" t="s">
        <v>2325</v>
      </c>
      <c r="B3" s="2604" t="e">
        <f>ROUND(B2*10000/B4,0)</f>
        <v>#DIV/0!</v>
      </c>
      <c r="C3" s="2593" t="s">
        <v>2326</v>
      </c>
      <c r="D3" s="2593"/>
      <c r="E3" s="2594"/>
      <c r="F3" s="2595"/>
      <c r="G3" s="2596"/>
      <c r="H3" s="2597"/>
      <c r="I3" s="2598"/>
      <c r="J3" s="3437" t="s">
        <v>2327</v>
      </c>
      <c r="K3" s="3438"/>
      <c r="L3" s="2605"/>
      <c r="M3" s="2605"/>
      <c r="N3" s="2605"/>
      <c r="O3" s="2605"/>
      <c r="P3" s="2605"/>
      <c r="Q3" s="2606"/>
      <c r="R3" s="2607">
        <f>SUM(L3:Q3)</f>
        <v>0</v>
      </c>
      <c r="S3" s="2590"/>
      <c r="T3" s="2590"/>
      <c r="U3" s="2590"/>
      <c r="V3" s="2598"/>
    </row>
    <row r="4" spans="1:22" s="2602" customFormat="1" ht="13.2" customHeight="1">
      <c r="A4" s="2608" t="s">
        <v>2328</v>
      </c>
      <c r="B4" s="2609"/>
      <c r="C4" s="2593"/>
      <c r="D4" s="2593"/>
      <c r="E4" s="2594"/>
      <c r="F4" s="2595"/>
      <c r="G4" s="2596"/>
      <c r="H4" s="2597"/>
      <c r="I4" s="2598"/>
      <c r="J4" s="3437" t="s">
        <v>2329</v>
      </c>
      <c r="K4" s="3438"/>
      <c r="L4" s="2610"/>
      <c r="M4" s="2610"/>
      <c r="N4" s="2610"/>
      <c r="O4" s="2610"/>
      <c r="P4" s="2610"/>
      <c r="Q4" s="2611"/>
      <c r="R4" s="2612">
        <f>SUM(L4:Q4)</f>
        <v>0</v>
      </c>
      <c r="S4" s="2590"/>
      <c r="T4" s="2590"/>
      <c r="U4" s="2590"/>
      <c r="V4" s="2598"/>
    </row>
    <row r="5" spans="1:22" s="2602" customFormat="1" ht="13.2"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2" customHeight="1" thickBot="1">
      <c r="A6" s="3443" t="s">
        <v>2333</v>
      </c>
      <c r="B6" s="3444"/>
      <c r="C6" s="3445"/>
      <c r="D6" s="2619"/>
      <c r="E6" s="2620"/>
      <c r="F6" s="2621"/>
      <c r="G6" s="2622"/>
      <c r="H6" s="2597"/>
      <c r="I6" s="2598"/>
      <c r="J6" s="3429">
        <v>1</v>
      </c>
      <c r="K6" s="3430"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2" customHeight="1">
      <c r="A7" s="2625" t="s">
        <v>2343</v>
      </c>
      <c r="B7" s="2626"/>
      <c r="C7" s="2627"/>
      <c r="D7" s="2628">
        <f>SUM(D9,D10,D11,D17,0)</f>
        <v>0</v>
      </c>
      <c r="E7" s="2629" t="e">
        <f>E9+E10+E11+E17</f>
        <v>#DIV/0!</v>
      </c>
      <c r="F7" s="2630"/>
      <c r="G7" s="2631"/>
      <c r="H7" s="2597"/>
      <c r="I7" s="2598"/>
      <c r="J7" s="3429"/>
      <c r="K7" s="3431"/>
      <c r="L7" s="2632" t="s">
        <v>2344</v>
      </c>
      <c r="M7" s="2633"/>
      <c r="N7" s="2609"/>
      <c r="O7" s="2634"/>
      <c r="P7" s="2634"/>
      <c r="Q7" s="2635">
        <v>365</v>
      </c>
      <c r="R7" s="2636">
        <f>ROUND(M7*N7*O7*P7*Q7/10000,0)</f>
        <v>0</v>
      </c>
      <c r="S7" s="2590"/>
      <c r="T7" s="2590" t="s">
        <v>2345</v>
      </c>
      <c r="U7" s="2590"/>
      <c r="V7" s="2598"/>
    </row>
    <row r="8" spans="1:22" s="2602" customFormat="1" ht="13.2" customHeight="1">
      <c r="A8" s="2637" t="s">
        <v>2346</v>
      </c>
      <c r="B8" s="3446" t="s">
        <v>2347</v>
      </c>
      <c r="C8" s="3447"/>
      <c r="D8" s="2638" t="s">
        <v>2348</v>
      </c>
      <c r="E8" s="2639" t="s">
        <v>2349</v>
      </c>
      <c r="F8" s="2640" t="s">
        <v>2350</v>
      </c>
      <c r="G8" s="2641"/>
      <c r="H8" s="2597"/>
      <c r="I8" s="2598"/>
      <c r="J8" s="3429"/>
      <c r="K8" s="3431"/>
      <c r="L8" s="2632" t="s">
        <v>2351</v>
      </c>
      <c r="M8" s="2633"/>
      <c r="N8" s="2609"/>
      <c r="O8" s="2634"/>
      <c r="P8" s="2634"/>
      <c r="Q8" s="2635">
        <v>365</v>
      </c>
      <c r="R8" s="2636">
        <f t="shared" ref="R8:R13" si="0">ROUND(M8*N8*O8*P8*Q8/10000,0)</f>
        <v>0</v>
      </c>
      <c r="S8" s="2590"/>
      <c r="T8" s="2590" t="s">
        <v>2352</v>
      </c>
      <c r="U8" s="2590"/>
      <c r="V8" s="2598"/>
    </row>
    <row r="9" spans="1:22" s="2602" customFormat="1" ht="13.2" customHeight="1">
      <c r="A9" s="2637">
        <v>1</v>
      </c>
      <c r="B9" s="3446" t="s">
        <v>2353</v>
      </c>
      <c r="C9" s="3447"/>
      <c r="D9" s="2638">
        <f>ROUND(D6*E9,0)</f>
        <v>0</v>
      </c>
      <c r="E9" s="2642"/>
      <c r="F9" s="2643" t="s">
        <v>2354</v>
      </c>
      <c r="G9" s="2622"/>
      <c r="H9" s="2597"/>
      <c r="I9" s="2598"/>
      <c r="J9" s="3429"/>
      <c r="K9" s="3431"/>
      <c r="L9" s="2632" t="s">
        <v>2355</v>
      </c>
      <c r="M9" s="2633"/>
      <c r="N9" s="2609"/>
      <c r="O9" s="2634"/>
      <c r="P9" s="2634"/>
      <c r="Q9" s="2635">
        <v>365</v>
      </c>
      <c r="R9" s="2636">
        <f t="shared" si="0"/>
        <v>0</v>
      </c>
      <c r="S9" s="2590"/>
      <c r="T9" s="2590"/>
      <c r="U9" s="2590"/>
      <c r="V9" s="2598"/>
    </row>
    <row r="10" spans="1:22" s="2602" customFormat="1" ht="13.2" customHeight="1">
      <c r="A10" s="2637">
        <v>2</v>
      </c>
      <c r="B10" s="3446" t="s">
        <v>2356</v>
      </c>
      <c r="C10" s="3447"/>
      <c r="D10" s="2638">
        <f>ROUND(D6*E10,0)</f>
        <v>0</v>
      </c>
      <c r="E10" s="2642"/>
      <c r="F10" s="2643" t="s">
        <v>2357</v>
      </c>
      <c r="G10" s="2622"/>
      <c r="H10" s="2597"/>
      <c r="I10" s="2598"/>
      <c r="J10" s="3429"/>
      <c r="K10" s="3431"/>
      <c r="L10" s="2632" t="s">
        <v>2358</v>
      </c>
      <c r="M10" s="2633"/>
      <c r="N10" s="2609"/>
      <c r="O10" s="2634"/>
      <c r="P10" s="2634"/>
      <c r="Q10" s="2635">
        <v>365</v>
      </c>
      <c r="R10" s="2636">
        <f t="shared" si="0"/>
        <v>0</v>
      </c>
      <c r="S10" s="2590"/>
      <c r="T10" s="2590"/>
      <c r="U10" s="2590"/>
      <c r="V10" s="2598"/>
    </row>
    <row r="11" spans="1:22" s="2602" customFormat="1" ht="13.2" customHeight="1">
      <c r="A11" s="2637">
        <v>3</v>
      </c>
      <c r="B11" s="3446" t="s">
        <v>2359</v>
      </c>
      <c r="C11" s="3447"/>
      <c r="D11" s="2638">
        <f>D12+D14+D15+D16</f>
        <v>0</v>
      </c>
      <c r="E11" s="2644" t="e">
        <f>D11/D6</f>
        <v>#DIV/0!</v>
      </c>
      <c r="F11" s="2640"/>
      <c r="G11" s="2641"/>
      <c r="H11" s="2597"/>
      <c r="I11" s="2598"/>
      <c r="J11" s="3429"/>
      <c r="K11" s="3431"/>
      <c r="L11" s="2632" t="s">
        <v>2360</v>
      </c>
      <c r="M11" s="2633"/>
      <c r="N11" s="2609"/>
      <c r="O11" s="2634"/>
      <c r="P11" s="2634"/>
      <c r="Q11" s="2635">
        <v>365</v>
      </c>
      <c r="R11" s="2636">
        <f t="shared" si="0"/>
        <v>0</v>
      </c>
      <c r="S11" s="2590"/>
      <c r="T11" s="2590"/>
      <c r="U11" s="2590"/>
      <c r="V11" s="2598"/>
    </row>
    <row r="12" spans="1:22" s="2602" customFormat="1" ht="13.2" customHeight="1">
      <c r="A12" s="2645" t="s">
        <v>2361</v>
      </c>
      <c r="B12" s="3439" t="s">
        <v>2362</v>
      </c>
      <c r="C12" s="3440"/>
      <c r="D12" s="2646">
        <f>ROUND(D13*1.2%*(1-30%),0)</f>
        <v>0</v>
      </c>
      <c r="E12" s="2647">
        <v>1.2E-2</v>
      </c>
      <c r="F12" s="2640" t="s">
        <v>2363</v>
      </c>
      <c r="G12" s="2641"/>
      <c r="H12" s="2597"/>
      <c r="I12" s="2598"/>
      <c r="J12" s="3429"/>
      <c r="K12" s="3431"/>
      <c r="L12" s="2632" t="s">
        <v>2364</v>
      </c>
      <c r="M12" s="2633"/>
      <c r="N12" s="2609"/>
      <c r="O12" s="2634"/>
      <c r="P12" s="2634"/>
      <c r="Q12" s="2635">
        <v>365</v>
      </c>
      <c r="R12" s="2636">
        <f t="shared" si="0"/>
        <v>0</v>
      </c>
      <c r="S12" s="2590"/>
      <c r="T12" s="2590"/>
      <c r="U12" s="2590"/>
      <c r="V12" s="2598"/>
    </row>
    <row r="13" spans="1:22" s="2602" customFormat="1" ht="13.2" customHeight="1">
      <c r="A13" s="2645"/>
      <c r="B13" s="2648"/>
      <c r="C13" s="2649" t="s">
        <v>2365</v>
      </c>
      <c r="D13" s="2650"/>
      <c r="E13" s="2651"/>
      <c r="F13" s="2640"/>
      <c r="G13" s="2641"/>
      <c r="H13" s="2597"/>
      <c r="I13" s="2598"/>
      <c r="J13" s="3429"/>
      <c r="K13" s="3431"/>
      <c r="L13" s="2632" t="s">
        <v>2366</v>
      </c>
      <c r="M13" s="2633"/>
      <c r="N13" s="2609"/>
      <c r="O13" s="2634"/>
      <c r="P13" s="2634"/>
      <c r="Q13" s="2635">
        <v>365</v>
      </c>
      <c r="R13" s="2636">
        <f t="shared" si="0"/>
        <v>0</v>
      </c>
      <c r="S13" s="2590"/>
      <c r="T13" s="2590"/>
      <c r="U13" s="2590"/>
      <c r="V13" s="2598"/>
    </row>
    <row r="14" spans="1:22" s="2602" customFormat="1" ht="13.2" customHeight="1">
      <c r="A14" s="2645" t="s">
        <v>2367</v>
      </c>
      <c r="B14" s="3439" t="s">
        <v>2368</v>
      </c>
      <c r="C14" s="3440"/>
      <c r="D14" s="2646">
        <f>ROUND(E14*B5/10000,0)</f>
        <v>0</v>
      </c>
      <c r="E14" s="2635"/>
      <c r="F14" s="2640" t="s">
        <v>2369</v>
      </c>
      <c r="G14" s="2641"/>
      <c r="H14" s="2597"/>
      <c r="I14" s="2598"/>
      <c r="J14" s="3429"/>
      <c r="K14" s="3432"/>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2371</v>
      </c>
      <c r="B15" s="3439" t="s">
        <v>2372</v>
      </c>
      <c r="C15" s="3440"/>
      <c r="D15" s="2646">
        <f>ROUND(D6*E15,0)</f>
        <v>0</v>
      </c>
      <c r="E15" s="2647">
        <v>5.5E-2</v>
      </c>
      <c r="F15" s="2640" t="s">
        <v>2373</v>
      </c>
      <c r="G15" s="2622"/>
      <c r="H15" s="2597"/>
      <c r="I15" s="2598"/>
      <c r="J15" s="3429">
        <v>2</v>
      </c>
      <c r="K15" s="3430"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2" customHeight="1">
      <c r="A16" s="2645" t="s">
        <v>2380</v>
      </c>
      <c r="B16" s="3439" t="s">
        <v>2381</v>
      </c>
      <c r="C16" s="3440"/>
      <c r="D16" s="2657">
        <f>D6*E16</f>
        <v>0</v>
      </c>
      <c r="E16" s="2658"/>
      <c r="F16" s="2643" t="s">
        <v>2382</v>
      </c>
      <c r="G16" s="2622"/>
      <c r="H16" s="2597"/>
      <c r="I16" s="2598"/>
      <c r="J16" s="3429"/>
      <c r="K16" s="3431"/>
      <c r="L16" s="2632" t="s">
        <v>2383</v>
      </c>
      <c r="M16" s="2633"/>
      <c r="N16" s="2633"/>
      <c r="O16" s="2634"/>
      <c r="P16" s="2635">
        <v>365</v>
      </c>
      <c r="Q16" s="2609"/>
      <c r="R16" s="2656">
        <f>ROUND(M16*N16*O16*P16/10000,0)</f>
        <v>0</v>
      </c>
      <c r="S16" s="2590"/>
      <c r="T16" s="2590"/>
      <c r="U16" s="2590"/>
      <c r="V16" s="2598"/>
    </row>
    <row r="17" spans="1:22" s="2602" customFormat="1" ht="13.2" customHeight="1" thickBot="1">
      <c r="A17" s="2659">
        <v>4</v>
      </c>
      <c r="B17" s="3441" t="s">
        <v>2384</v>
      </c>
      <c r="C17" s="3442"/>
      <c r="D17" s="2660">
        <f>ROUND(D6*E17,0)</f>
        <v>0</v>
      </c>
      <c r="E17" s="2661"/>
      <c r="F17" s="2662" t="s">
        <v>2385</v>
      </c>
      <c r="G17" s="2622"/>
      <c r="H17" s="2597"/>
      <c r="I17" s="2598"/>
      <c r="J17" s="3429"/>
      <c r="K17" s="3431"/>
      <c r="L17" s="2632" t="s">
        <v>2386</v>
      </c>
      <c r="M17" s="2633"/>
      <c r="N17" s="2633"/>
      <c r="O17" s="2634"/>
      <c r="P17" s="2635">
        <v>365</v>
      </c>
      <c r="Q17" s="2609"/>
      <c r="R17" s="2656">
        <f>ROUND(M17*N17*O17*P17/10000,0)</f>
        <v>0</v>
      </c>
      <c r="S17" s="2590"/>
      <c r="T17" s="2590"/>
      <c r="U17" s="2590"/>
      <c r="V17" s="2598"/>
    </row>
    <row r="18" spans="1:22" s="2602" customFormat="1" ht="13.2" customHeight="1" thickBot="1">
      <c r="A18" s="2625" t="s">
        <v>2387</v>
      </c>
      <c r="B18" s="2626"/>
      <c r="C18" s="2626"/>
      <c r="D18" s="2663">
        <f>ROUND(D6*E18,0)</f>
        <v>0</v>
      </c>
      <c r="E18" s="2664"/>
      <c r="F18" s="2665" t="s">
        <v>2388</v>
      </c>
      <c r="G18" s="2622"/>
      <c r="H18" s="2597"/>
      <c r="I18" s="2598"/>
      <c r="J18" s="3429"/>
      <c r="K18" s="3431"/>
      <c r="L18" s="2632" t="s">
        <v>2389</v>
      </c>
      <c r="M18" s="2633"/>
      <c r="N18" s="2633"/>
      <c r="O18" s="2634"/>
      <c r="P18" s="2635">
        <v>365</v>
      </c>
      <c r="Q18" s="2609"/>
      <c r="R18" s="2656">
        <f>ROUND(M18*N18*O18*P18/10000,0)</f>
        <v>0</v>
      </c>
      <c r="S18" s="2590"/>
      <c r="T18" s="2590"/>
      <c r="U18" s="2590"/>
      <c r="V18" s="2598"/>
    </row>
    <row r="19" spans="1:22" s="2602" customFormat="1" ht="13.2" customHeight="1" thickBot="1">
      <c r="A19" s="2666" t="s">
        <v>2390</v>
      </c>
      <c r="B19" s="2620"/>
      <c r="C19" s="2620"/>
      <c r="D19" s="2620"/>
      <c r="E19" s="2620"/>
      <c r="F19" s="2621"/>
      <c r="G19" s="2641"/>
      <c r="H19" s="2597"/>
      <c r="I19" s="2598"/>
      <c r="J19" s="3429"/>
      <c r="K19" s="3432"/>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429">
        <v>3</v>
      </c>
      <c r="K20" s="3430"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2" customHeight="1">
      <c r="A21" s="2625"/>
      <c r="B21" s="2626"/>
      <c r="C21" s="2671" t="s">
        <v>2399</v>
      </c>
      <c r="D21" s="2672" t="s">
        <v>2400</v>
      </c>
      <c r="E21" s="2673" t="s">
        <v>2401</v>
      </c>
      <c r="F21" s="2669"/>
      <c r="G21" s="2641"/>
      <c r="H21" s="2597"/>
      <c r="I21" s="2598"/>
      <c r="J21" s="3429"/>
      <c r="K21" s="3431"/>
      <c r="L21" s="2632" t="s">
        <v>2402</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2403</v>
      </c>
      <c r="D22" s="2676" t="s">
        <v>2404</v>
      </c>
      <c r="E22" s="2677" t="s">
        <v>2405</v>
      </c>
      <c r="F22" s="2669"/>
      <c r="G22" s="2590"/>
      <c r="H22" s="2597"/>
      <c r="I22" s="2598"/>
      <c r="J22" s="3429"/>
      <c r="K22" s="3431"/>
      <c r="L22" s="2632" t="s">
        <v>2406</v>
      </c>
      <c r="M22" s="2633"/>
      <c r="N22" s="2633"/>
      <c r="O22" s="2634"/>
      <c r="P22" s="2635">
        <v>365</v>
      </c>
      <c r="Q22" s="2609"/>
      <c r="R22" s="2674">
        <f>ROUND(M22*N22*O22*P22/10000,0)</f>
        <v>0</v>
      </c>
      <c r="S22" s="2590"/>
      <c r="T22" s="2590"/>
      <c r="U22" s="2590"/>
      <c r="V22" s="2598"/>
    </row>
    <row r="23" spans="1:22" s="2602" customFormat="1" ht="13.2" customHeight="1">
      <c r="A23" s="2678">
        <v>1</v>
      </c>
      <c r="B23" s="2679" t="s">
        <v>2407</v>
      </c>
      <c r="C23" s="2680">
        <f>D6</f>
        <v>0</v>
      </c>
      <c r="D23" s="2681">
        <f>C23*(1+D24)</f>
        <v>0</v>
      </c>
      <c r="E23" s="2682">
        <f>D23*(1+E24)</f>
        <v>0</v>
      </c>
      <c r="F23" s="2683"/>
      <c r="G23" s="2684"/>
      <c r="H23" s="2597"/>
      <c r="I23" s="2598"/>
      <c r="J23" s="3429"/>
      <c r="K23" s="3431"/>
      <c r="L23" s="2632" t="s">
        <v>2408</v>
      </c>
      <c r="M23" s="2633"/>
      <c r="N23" s="2633"/>
      <c r="O23" s="2634"/>
      <c r="P23" s="2635">
        <v>365</v>
      </c>
      <c r="Q23" s="2609"/>
      <c r="R23" s="2674">
        <f>ROUND(M23*N23*O23*P23/10000,0)</f>
        <v>0</v>
      </c>
      <c r="S23" s="2590"/>
      <c r="T23" s="2590"/>
      <c r="U23" s="2590"/>
      <c r="V23" s="2598"/>
    </row>
    <row r="24" spans="1:22" s="2602" customFormat="1" ht="13.2" customHeight="1">
      <c r="A24" s="2685"/>
      <c r="B24" s="2686" t="s">
        <v>2409</v>
      </c>
      <c r="C24" s="2687"/>
      <c r="D24" s="2688"/>
      <c r="E24" s="2689"/>
      <c r="F24" s="2690"/>
      <c r="G24" s="2684"/>
      <c r="H24" s="2597"/>
      <c r="I24" s="2598"/>
      <c r="J24" s="3429"/>
      <c r="K24" s="3432"/>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2" customHeight="1">
      <c r="A26" s="2678">
        <v>2</v>
      </c>
      <c r="B26" s="2679" t="s">
        <v>2411</v>
      </c>
      <c r="C26" s="2680">
        <f>D7</f>
        <v>0</v>
      </c>
      <c r="D26" s="2681">
        <f>D23*D27</f>
        <v>0</v>
      </c>
      <c r="E26" s="2682">
        <f>E23*E27</f>
        <v>0</v>
      </c>
      <c r="F26" s="2683"/>
      <c r="G26" s="2684"/>
      <c r="H26" s="2597"/>
      <c r="I26" s="2598"/>
      <c r="J26" s="3433">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2" customHeight="1">
      <c r="A27" s="2685"/>
      <c r="B27" s="2686" t="s">
        <v>2417</v>
      </c>
      <c r="C27" s="2703" t="e">
        <f>E7</f>
        <v>#DIV/0!</v>
      </c>
      <c r="D27" s="2688"/>
      <c r="E27" s="2689"/>
      <c r="F27" s="2690"/>
      <c r="G27" s="2684"/>
      <c r="H27" s="2704"/>
      <c r="I27" s="2696"/>
      <c r="J27" s="3434"/>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2"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2" customHeight="1">
      <c r="A32" s="2678">
        <v>4</v>
      </c>
      <c r="B32" s="2679" t="s">
        <v>2425</v>
      </c>
      <c r="C32" s="2680">
        <f>C23-C26-C29</f>
        <v>0</v>
      </c>
      <c r="D32" s="2681">
        <f>D23-D26-D29</f>
        <v>0</v>
      </c>
      <c r="E32" s="2682">
        <f>E23-E26-E29</f>
        <v>0</v>
      </c>
      <c r="F32" s="2683"/>
      <c r="G32" s="2590"/>
      <c r="H32" s="2597"/>
      <c r="I32" s="2598"/>
      <c r="J32" s="3435" t="s">
        <v>2317</v>
      </c>
      <c r="K32" s="3436"/>
      <c r="L32" s="2599" t="s">
        <v>2318</v>
      </c>
      <c r="M32" s="2599" t="s">
        <v>2319</v>
      </c>
      <c r="N32" s="2599" t="s">
        <v>2320</v>
      </c>
      <c r="O32" s="2599" t="s">
        <v>2321</v>
      </c>
      <c r="P32" s="2599" t="s">
        <v>2322</v>
      </c>
      <c r="Q32" s="2600" t="s">
        <v>2323</v>
      </c>
      <c r="R32" s="2719" t="s">
        <v>2324</v>
      </c>
      <c r="S32" s="2590"/>
      <c r="T32" s="2590"/>
      <c r="U32" s="2590"/>
      <c r="V32" s="2696"/>
    </row>
    <row r="33" spans="1:23" s="2602" customFormat="1" ht="13.2" customHeight="1">
      <c r="A33" s="2678"/>
      <c r="B33" s="2679"/>
      <c r="C33" s="2680"/>
      <c r="D33" s="2720"/>
      <c r="E33" s="2721"/>
      <c r="F33" s="2683"/>
      <c r="G33" s="2590"/>
      <c r="H33" s="2704"/>
      <c r="I33" s="2696"/>
      <c r="J33" s="3437" t="s">
        <v>2327</v>
      </c>
      <c r="K33" s="3438"/>
      <c r="L33" s="2605"/>
      <c r="M33" s="2605"/>
      <c r="N33" s="2605"/>
      <c r="O33" s="2605"/>
      <c r="P33" s="2605"/>
      <c r="Q33" s="2606"/>
      <c r="R33" s="2722">
        <f>SUM(L33:Q33)</f>
        <v>0</v>
      </c>
      <c r="S33" s="2590"/>
      <c r="T33" s="2590"/>
      <c r="U33" s="2590"/>
      <c r="V33" s="2598"/>
    </row>
    <row r="34" spans="1:23" s="2602" customFormat="1" ht="13.2" customHeight="1">
      <c r="A34" s="2678">
        <v>5</v>
      </c>
      <c r="B34" s="2679" t="s">
        <v>2426</v>
      </c>
      <c r="C34" s="2723"/>
      <c r="D34" s="2724"/>
      <c r="E34" s="2725"/>
      <c r="F34" s="2683"/>
      <c r="G34" s="2590"/>
      <c r="H34" s="2704"/>
      <c r="I34" s="2696"/>
      <c r="J34" s="3437" t="s">
        <v>2329</v>
      </c>
      <c r="K34" s="3438"/>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2" customHeight="1" thickBot="1">
      <c r="A36" s="2678">
        <v>7</v>
      </c>
      <c r="B36" s="2732" t="s">
        <v>2428</v>
      </c>
      <c r="C36" s="2733"/>
      <c r="D36" s="2734"/>
      <c r="E36" s="2735"/>
      <c r="F36" s="2736">
        <f>C36+D36+E36</f>
        <v>0</v>
      </c>
      <c r="G36" s="2590"/>
      <c r="H36" s="2597"/>
      <c r="I36" s="2598"/>
      <c r="J36" s="3429">
        <v>1</v>
      </c>
      <c r="K36" s="3430" t="s">
        <v>2429</v>
      </c>
      <c r="L36" s="2623"/>
      <c r="M36" s="2624"/>
      <c r="N36" s="2624"/>
      <c r="O36" s="2624"/>
      <c r="P36" s="2624"/>
      <c r="Q36" s="2624"/>
      <c r="R36" s="2607" t="s">
        <v>2341</v>
      </c>
      <c r="S36" s="2590"/>
      <c r="T36" s="2590" t="s">
        <v>2342</v>
      </c>
      <c r="U36" s="2590"/>
      <c r="V36" s="2598"/>
    </row>
    <row r="37" spans="1:23" s="2602" customFormat="1" ht="13.2" customHeight="1">
      <c r="A37" s="2678"/>
      <c r="B37" s="2679"/>
      <c r="C37" s="2679"/>
      <c r="D37" s="2679"/>
      <c r="E37" s="2679"/>
      <c r="F37" s="2683"/>
      <c r="G37" s="2590"/>
      <c r="H37" s="2597"/>
      <c r="I37" s="2598"/>
      <c r="J37" s="3429"/>
      <c r="K37" s="3431"/>
      <c r="L37" s="2632"/>
      <c r="M37" s="2633"/>
      <c r="N37" s="2609"/>
      <c r="O37" s="2634"/>
      <c r="P37" s="2634"/>
      <c r="Q37" s="2635"/>
      <c r="R37" s="2636"/>
      <c r="S37" s="2590"/>
      <c r="T37" s="2590" t="s">
        <v>2345</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429"/>
      <c r="K38" s="3431"/>
      <c r="L38" s="2632"/>
      <c r="M38" s="2633"/>
      <c r="N38" s="2609"/>
      <c r="O38" s="2634"/>
      <c r="P38" s="2634"/>
      <c r="Q38" s="2635"/>
      <c r="R38" s="2636"/>
      <c r="S38" s="2590"/>
      <c r="T38" s="2590" t="s">
        <v>2352</v>
      </c>
      <c r="U38" s="2590"/>
      <c r="V38" s="2598"/>
    </row>
    <row r="39" spans="1:23" s="2602" customFormat="1" ht="13.2" customHeight="1">
      <c r="A39" s="2678">
        <v>9</v>
      </c>
      <c r="B39" s="2679" t="s">
        <v>2430</v>
      </c>
      <c r="C39" s="2646" t="e">
        <f>C38</f>
        <v>#DIV/0!</v>
      </c>
      <c r="D39" s="2679">
        <f>D38/(1+D34)^C36</f>
        <v>0</v>
      </c>
      <c r="E39" s="2679">
        <f>E38/(1+E34)^(C36+D36)</f>
        <v>0</v>
      </c>
      <c r="F39" s="2683"/>
      <c r="G39" s="2598"/>
      <c r="H39" s="2597"/>
      <c r="I39" s="2598"/>
      <c r="J39" s="3429"/>
      <c r="K39" s="3431"/>
      <c r="L39" s="2632"/>
      <c r="M39" s="2633"/>
      <c r="N39" s="2609"/>
      <c r="O39" s="2634"/>
      <c r="P39" s="2634"/>
      <c r="Q39" s="2635"/>
      <c r="R39" s="2636"/>
      <c r="S39" s="2590"/>
      <c r="T39" s="2590"/>
      <c r="U39" s="2590"/>
      <c r="V39" s="2598"/>
    </row>
    <row r="40" spans="1:23" s="2602" customFormat="1" ht="13.2" customHeight="1">
      <c r="A40" s="2737">
        <v>10</v>
      </c>
      <c r="B40" s="2679" t="s">
        <v>2431</v>
      </c>
      <c r="C40" s="2738" t="e">
        <f>C39+D39+E39</f>
        <v>#DIV/0!</v>
      </c>
      <c r="D40" s="2739"/>
      <c r="E40" s="2739"/>
      <c r="F40" s="2740"/>
      <c r="G40" s="2590"/>
      <c r="H40" s="2597"/>
      <c r="I40" s="2598"/>
      <c r="J40" s="3429"/>
      <c r="K40" s="3432"/>
      <c r="L40" s="2652" t="s">
        <v>2370</v>
      </c>
      <c r="M40" s="2653"/>
      <c r="N40" s="2653"/>
      <c r="O40" s="2654"/>
      <c r="P40" s="2654"/>
      <c r="Q40" s="2655"/>
      <c r="R40" s="2601">
        <f>SUM(R37:R39)</f>
        <v>0</v>
      </c>
      <c r="S40" s="2590"/>
      <c r="T40" s="2590"/>
      <c r="U40" s="2590"/>
      <c r="V40" s="2598"/>
    </row>
    <row r="41" spans="1:23" s="2602" customFormat="1" ht="13.2"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2" customHeight="1">
      <c r="G42" s="2597"/>
      <c r="H42" s="2597"/>
      <c r="I42" s="2598"/>
      <c r="J42" s="3433">
        <v>3</v>
      </c>
      <c r="K42" s="2698" t="s">
        <v>2412</v>
      </c>
      <c r="L42" s="2699"/>
      <c r="M42" s="2700"/>
      <c r="N42" s="2701" t="s">
        <v>2413</v>
      </c>
      <c r="O42" s="2701" t="s">
        <v>2414</v>
      </c>
      <c r="P42" s="2702" t="s">
        <v>2415</v>
      </c>
      <c r="Q42" s="2702" t="s">
        <v>2416</v>
      </c>
      <c r="R42" s="2607" t="s">
        <v>2341</v>
      </c>
      <c r="S42" s="2641"/>
      <c r="T42" s="2641"/>
      <c r="U42" s="2590"/>
      <c r="V42" s="2598"/>
    </row>
    <row r="43" spans="1:23" ht="13.2" customHeight="1">
      <c r="A43" s="2602"/>
      <c r="B43" s="2602"/>
      <c r="C43" s="2602"/>
      <c r="D43" s="2602"/>
      <c r="E43" s="2602"/>
      <c r="F43" s="2602"/>
      <c r="I43" s="2585"/>
      <c r="J43" s="3434"/>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 type="list" allowBlank="1" showInputMessage="1" showErrorMessage="1" sqref="D2" xr:uid="{00000000-0002-0000-1B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4" t="s">
        <v>1658</v>
      </c>
      <c r="B1" s="1725"/>
      <c r="C1" s="1725"/>
      <c r="D1" s="1725"/>
      <c r="E1" s="1726"/>
      <c r="F1" s="2477"/>
      <c r="G1" s="458"/>
      <c r="H1" s="458"/>
      <c r="I1" s="458"/>
      <c r="J1" s="458"/>
      <c r="K1" s="458"/>
      <c r="L1" s="458"/>
      <c r="M1" s="458"/>
      <c r="N1" s="458"/>
      <c r="O1" s="458"/>
      <c r="P1" s="458"/>
      <c r="Q1" s="458"/>
      <c r="R1" s="458"/>
      <c r="S1" s="458"/>
    </row>
    <row r="2" spans="1:22" ht="15.6">
      <c r="A2" s="1727" t="s">
        <v>1462</v>
      </c>
      <c r="B2" s="810">
        <f ca="1">SUMIF(B6:B13,"&lt;&gt;#ref!",B6:B13)</f>
        <v>189.34299999999999</v>
      </c>
      <c r="C2" s="1728" t="s">
        <v>1651</v>
      </c>
      <c r="D2" s="1729" t="s">
        <v>1652</v>
      </c>
      <c r="E2" s="2391">
        <f>SUM(E6:E13)</f>
        <v>312.66000000000003</v>
      </c>
      <c r="F2" s="2477"/>
      <c r="G2" s="458"/>
      <c r="H2" s="458"/>
      <c r="I2" s="458"/>
      <c r="J2" s="458"/>
      <c r="K2" s="458"/>
      <c r="L2" s="458"/>
      <c r="M2" s="458"/>
      <c r="N2" s="458"/>
      <c r="O2" s="458"/>
      <c r="P2" s="458"/>
      <c r="Q2" s="458"/>
      <c r="R2" s="458"/>
      <c r="S2" s="458"/>
    </row>
    <row r="3" spans="1:22" ht="15.6">
      <c r="A3" s="1727" t="s">
        <v>686</v>
      </c>
      <c r="B3" s="2385">
        <f ca="1">ROUND(B2*10000/E2,0)</f>
        <v>6056</v>
      </c>
      <c r="C3" s="1728" t="s">
        <v>1659</v>
      </c>
      <c r="D3" s="2477"/>
      <c r="E3" s="2480"/>
      <c r="F3" s="2477"/>
      <c r="G3" s="458"/>
      <c r="H3" s="458"/>
      <c r="I3" s="458"/>
      <c r="J3" s="458"/>
      <c r="K3" s="458"/>
      <c r="L3" s="458"/>
      <c r="M3" s="458"/>
      <c r="N3" s="458"/>
      <c r="O3" s="458"/>
      <c r="P3" s="458"/>
      <c r="Q3" s="458"/>
      <c r="R3" s="458"/>
      <c r="S3" s="458"/>
    </row>
    <row r="4" spans="1:22" ht="15.6">
      <c r="A4" s="2481"/>
      <c r="B4" s="2477"/>
      <c r="C4" s="2477"/>
      <c r="D4" s="2477"/>
      <c r="E4" s="2480"/>
      <c r="F4" s="2477"/>
      <c r="G4" s="458"/>
      <c r="H4" s="458"/>
      <c r="I4" s="458"/>
      <c r="J4" s="458"/>
      <c r="K4" s="458"/>
      <c r="L4" s="458"/>
      <c r="M4" s="458"/>
      <c r="N4" s="458"/>
      <c r="O4" s="458"/>
      <c r="P4" s="458"/>
      <c r="Q4" s="458"/>
      <c r="R4" s="458"/>
      <c r="S4" s="458"/>
    </row>
    <row r="5" spans="1:22" ht="14.4">
      <c r="A5" s="2387" t="s">
        <v>1653</v>
      </c>
      <c r="B5" s="3448" t="s">
        <v>1654</v>
      </c>
      <c r="C5" s="3449"/>
      <c r="D5" s="2478"/>
      <c r="E5" s="1730" t="s">
        <v>1655</v>
      </c>
      <c r="F5" s="128" t="s">
        <v>1656</v>
      </c>
      <c r="G5" s="458"/>
      <c r="H5" s="458"/>
      <c r="I5" s="458"/>
      <c r="J5" s="458"/>
      <c r="K5" s="458"/>
      <c r="L5" s="458"/>
      <c r="M5" s="458"/>
      <c r="N5" s="458"/>
      <c r="O5" s="458"/>
      <c r="P5" s="458"/>
      <c r="Q5" s="458"/>
      <c r="R5" s="458"/>
      <c r="S5" s="458"/>
    </row>
    <row r="6" spans="1:22" ht="14.4">
      <c r="A6" s="2388" t="str">
        <f>'数据-取费表'!AN6</f>
        <v>收益法 (元)1号</v>
      </c>
      <c r="B6" s="2386">
        <f ca="1">IF(F6="是",'数据-取费表'!AO6,0)</f>
        <v>94.671499999999995</v>
      </c>
      <c r="C6" s="1728" t="s">
        <v>1651</v>
      </c>
      <c r="D6" s="2477"/>
      <c r="E6" s="2390">
        <f>IF(OR(A6=0,F6="否"),0,'数据-取费表'!K6+'数据-取费表'!S6)</f>
        <v>156.33000000000001</v>
      </c>
      <c r="F6" s="1731" t="s">
        <v>1657</v>
      </c>
      <c r="G6" s="458"/>
      <c r="H6" s="458"/>
      <c r="I6" s="458"/>
      <c r="J6" s="458"/>
      <c r="K6" s="458"/>
      <c r="L6" s="458"/>
      <c r="M6" s="458"/>
      <c r="N6" s="458"/>
      <c r="O6" s="458"/>
      <c r="P6" s="458"/>
      <c r="Q6" s="458"/>
      <c r="R6" s="458"/>
      <c r="S6" s="458"/>
    </row>
    <row r="7" spans="1:22" ht="14.4">
      <c r="A7" s="2388" t="str">
        <f>'数据-取费表'!AN7</f>
        <v>收益法 (元)2号</v>
      </c>
      <c r="B7" s="2386">
        <f ca="1">IF(F7="是",'数据-取费表'!AO7,0)</f>
        <v>94.671499999999995</v>
      </c>
      <c r="C7" s="1728" t="s">
        <v>1651</v>
      </c>
      <c r="D7" s="2477"/>
      <c r="E7" s="2390">
        <f>IF(OR(A7=0,F7="否"),0,'数据-取费表'!K7+'数据-取费表'!S7)</f>
        <v>156.33000000000001</v>
      </c>
      <c r="F7" s="1731" t="s">
        <v>1657</v>
      </c>
      <c r="G7" s="458"/>
      <c r="H7" s="458"/>
      <c r="I7" s="458"/>
      <c r="J7" s="458"/>
      <c r="K7" s="458"/>
      <c r="L7" s="458"/>
      <c r="M7" s="458"/>
      <c r="N7" s="458"/>
      <c r="O7" s="458"/>
      <c r="P7" s="458"/>
      <c r="Q7" s="458"/>
      <c r="R7" s="458"/>
      <c r="S7" s="458"/>
    </row>
    <row r="8" spans="1:22" ht="14.4">
      <c r="A8" s="2388">
        <f>'数据-取费表'!AN8</f>
        <v>0</v>
      </c>
      <c r="B8" s="2386" t="e">
        <f ca="1">IF(F8="是",'数据-取费表'!AO8,0)</f>
        <v>#REF!</v>
      </c>
      <c r="C8" s="1728" t="s">
        <v>1651</v>
      </c>
      <c r="D8" s="2477"/>
      <c r="E8" s="2390">
        <f>IF(OR(A8=0,F8="否"),0,'数据-取费表'!K8+'数据-取费表'!S8)</f>
        <v>0</v>
      </c>
      <c r="F8" s="1731" t="s">
        <v>1657</v>
      </c>
      <c r="G8" s="458"/>
      <c r="H8" s="458"/>
      <c r="I8" s="458"/>
      <c r="J8" s="458"/>
      <c r="K8" s="458"/>
      <c r="L8" s="458"/>
      <c r="M8" s="458"/>
      <c r="N8" s="458"/>
      <c r="O8" s="458"/>
      <c r="P8" s="458"/>
      <c r="Q8" s="458"/>
      <c r="R8" s="458"/>
      <c r="S8" s="458"/>
    </row>
    <row r="9" spans="1:22" ht="14.4">
      <c r="A9" s="2388">
        <f>'数据-取费表'!AN9</f>
        <v>0</v>
      </c>
      <c r="B9" s="2386" t="e">
        <f ca="1">IF(F9="是",'数据-取费表'!AO9,0)</f>
        <v>#REF!</v>
      </c>
      <c r="C9" s="1728" t="s">
        <v>1651</v>
      </c>
      <c r="D9" s="2477"/>
      <c r="E9" s="2390">
        <f>IF(OR(A9=0,F9="否"),0,'数据-取费表'!K9+'数据-取费表'!S9)</f>
        <v>0</v>
      </c>
      <c r="F9" s="1731" t="s">
        <v>1657</v>
      </c>
      <c r="G9" s="458"/>
      <c r="H9" s="458"/>
      <c r="I9" s="458"/>
      <c r="J9" s="458"/>
      <c r="K9" s="458"/>
      <c r="L9" s="458"/>
      <c r="M9" s="458"/>
      <c r="N9" s="458"/>
      <c r="O9" s="458"/>
      <c r="P9" s="458"/>
      <c r="Q9" s="458"/>
      <c r="R9" s="458"/>
      <c r="S9" s="458"/>
    </row>
    <row r="10" spans="1:22" ht="14.4">
      <c r="A10" s="2388">
        <f>'数据-取费表'!AN10</f>
        <v>0</v>
      </c>
      <c r="B10" s="2386" t="e">
        <f ca="1">IF(F10="是",'数据-取费表'!AO10,0)</f>
        <v>#REF!</v>
      </c>
      <c r="C10" s="1728" t="s">
        <v>1651</v>
      </c>
      <c r="D10" s="2477"/>
      <c r="E10" s="2390">
        <f>IF(OR(A10=0,F10="否"),0,'数据-取费表'!K10+'数据-取费表'!S10)</f>
        <v>0</v>
      </c>
      <c r="F10" s="1731" t="s">
        <v>1657</v>
      </c>
      <c r="G10" s="458"/>
      <c r="H10" s="458"/>
      <c r="I10" s="458"/>
      <c r="J10" s="458"/>
      <c r="K10" s="458"/>
      <c r="L10" s="458"/>
      <c r="M10" s="458"/>
      <c r="N10" s="458"/>
      <c r="O10" s="458"/>
      <c r="P10" s="458"/>
      <c r="Q10" s="458"/>
      <c r="R10" s="458"/>
      <c r="S10" s="458"/>
    </row>
    <row r="11" spans="1:22" ht="14.4">
      <c r="A11" s="2388">
        <f>'数据-取费表'!AN11</f>
        <v>0</v>
      </c>
      <c r="B11" s="2386" t="e">
        <f ca="1">IF(F11="是",'数据-取费表'!AO11,0)</f>
        <v>#REF!</v>
      </c>
      <c r="C11" s="1728" t="s">
        <v>1651</v>
      </c>
      <c r="D11" s="2477"/>
      <c r="E11" s="2390">
        <f>IF(OR(A11=0,F11="否"),0,'数据-取费表'!K11+'数据-取费表'!S11)</f>
        <v>0</v>
      </c>
      <c r="F11" s="1731" t="s">
        <v>1657</v>
      </c>
      <c r="G11" s="458"/>
      <c r="H11" s="458"/>
      <c r="I11" s="458"/>
      <c r="J11" s="458"/>
      <c r="K11" s="458"/>
      <c r="L11" s="458"/>
      <c r="M11" s="458"/>
      <c r="N11" s="458"/>
      <c r="O11" s="458"/>
      <c r="P11" s="458"/>
      <c r="Q11" s="458"/>
      <c r="R11" s="458"/>
      <c r="S11" s="458"/>
    </row>
    <row r="12" spans="1:22" ht="14.4">
      <c r="A12" s="2388">
        <f>'数据-取费表'!AN12</f>
        <v>0</v>
      </c>
      <c r="B12" s="2386" t="e">
        <f ca="1">IF(F12="是",'数据-取费表'!AO12,0)</f>
        <v>#REF!</v>
      </c>
      <c r="C12" s="1728" t="s">
        <v>1651</v>
      </c>
      <c r="D12" s="2477"/>
      <c r="E12" s="2390">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89">
        <f>'数据-取费表'!AN13</f>
        <v>0</v>
      </c>
      <c r="B13" s="2386" t="e">
        <f ca="1">IF(F13="是",'数据-取费表'!AO13,0)</f>
        <v>#REF!</v>
      </c>
      <c r="C13" s="1732" t="s">
        <v>1651</v>
      </c>
      <c r="D13" s="2479"/>
      <c r="E13" s="2390">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9" t="s">
        <v>898</v>
      </c>
    </row>
    <row r="3" spans="1:1" ht="17.399999999999999">
      <c r="A3" s="1380" t="str">
        <f>项目基本情况!B5&amp;"："</f>
        <v>：</v>
      </c>
    </row>
    <row r="4" spans="1:1" ht="34.799999999999997">
      <c r="A4" s="1381" t="str">
        <f>"受贵公司委托，我公司对"&amp;项目基本情况!S1&amp;"进行了预评估。"</f>
        <v>受贵公司委托，我公司对北京市延庆县燕水佳园14号楼1至2层1号、2号进行了预评估。</v>
      </c>
    </row>
    <row r="5" spans="1:1" ht="17.399999999999999">
      <c r="A5" s="1382" t="s">
        <v>899</v>
      </c>
    </row>
    <row r="6" spans="1:1" ht="17.399999999999999">
      <c r="A6" s="1383" t="s">
        <v>900</v>
      </c>
    </row>
    <row r="7" spans="1:1" ht="52.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估价对象为北京市延庆县燕水佳园14号楼1至2层1号、2号房地产，为1号郑亚军、2号卓莹莹所有。根据《国有土地使用证》[]，估价对象（分摊）出让国有建设用地使用权面积为0平方米，建筑面积为312.66平方米。</v>
      </c>
    </row>
    <row r="8" spans="1:1" ht="54.6">
      <c r="A8" s="1384" t="s">
        <v>901</v>
      </c>
    </row>
    <row r="9" spans="1:1" ht="17.399999999999999">
      <c r="A9" s="1383" t="s">
        <v>902</v>
      </c>
    </row>
    <row r="10" spans="1:1" ht="69.599999999999994">
      <c r="A10" s="1381" t="str">
        <f>"估价对象为"&amp;项目基本情况!S2&amp;IF(结果表1号!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延庆县燕水佳园14号楼1至2层1号、2号房地产,属1号郑亚军、2号卓莹莹开发建设的商业项目，该项目尚在开发建设中。根据《国有土地使用证》[]，估价对象（分摊）出让国有建设用地使用权面积为0平方米，规划建筑面积为312.66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7.399999999999999">
      <c r="A14" s="1380" t="s">
        <v>905</v>
      </c>
    </row>
    <row r="15" spans="1:1" ht="17.399999999999999">
      <c r="A15" s="1385" t="str">
        <f>TEXT(项目基本情况!D3,"yyyy年m月d日;;")&amp;IF(项目基本情况!D3=项目基本情况!B3,"（评估专业人员实地查勘之日）","")</f>
        <v>2024年9月27日（评估专业人员实地查勘之日）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27日，估价对象规划用途为商业，土地取得方式为出让，出让国有建设用地使用权剩余土地使用年限为17，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号!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号!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17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0" t="s">
        <v>896</v>
      </c>
    </row>
    <row r="24" spans="1:1" ht="17.399999999999999">
      <c r="A24" s="1386" t="str">
        <f>"本次评估采用的主估价方法为"&amp;结果表1号!K4&amp;"和"&amp;结果表1号!L4&amp;"。"</f>
        <v>本次评估采用的主估价方法为比较法和收益法。</v>
      </c>
    </row>
    <row r="25" spans="1:1" ht="17.399999999999999">
      <c r="A25" s="1386"/>
    </row>
    <row r="26" spans="1:1" ht="17.399999999999999">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1661</v>
      </c>
      <c r="C1" s="1154" t="s">
        <v>1662</v>
      </c>
      <c r="D1" s="1141"/>
      <c r="E1" s="3122"/>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3"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2"/>
      <c r="M2" s="2483"/>
      <c r="N2" s="2483"/>
      <c r="O2" s="2483"/>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312.66000000000003</v>
      </c>
      <c r="E3" s="853"/>
      <c r="F3" s="1742"/>
      <c r="G3" s="853"/>
      <c r="H3" s="853"/>
      <c r="I3" s="853"/>
      <c r="J3" s="853"/>
      <c r="K3" s="1739"/>
      <c r="L3" s="2482"/>
      <c r="M3" s="2483"/>
      <c r="N3" s="2483"/>
      <c r="O3" s="2483"/>
      <c r="P3" s="1740"/>
      <c r="Q3" s="1741"/>
      <c r="R3" s="1741"/>
      <c r="S3" s="1741"/>
      <c r="T3" s="1741"/>
      <c r="U3" s="1741"/>
      <c r="V3" s="1741"/>
      <c r="W3" s="1741"/>
      <c r="X3" s="1741"/>
      <c r="Y3" s="1741"/>
      <c r="Z3" s="1741"/>
      <c r="AA3" s="1741"/>
      <c r="AB3" s="1741"/>
      <c r="AC3" s="997"/>
    </row>
    <row r="4" spans="1:29" ht="14.4">
      <c r="A4" s="344" t="s">
        <v>1666</v>
      </c>
      <c r="B4" s="345"/>
      <c r="C4" s="3401" t="s">
        <v>1667</v>
      </c>
      <c r="D4" s="3402"/>
      <c r="E4" s="3403" t="s">
        <v>1668</v>
      </c>
      <c r="F4" s="3404"/>
      <c r="G4" s="3401" t="s">
        <v>1669</v>
      </c>
      <c r="H4" s="3402"/>
      <c r="I4" s="3401" t="s">
        <v>1670</v>
      </c>
      <c r="J4" s="3402"/>
      <c r="K4" s="1743" t="s">
        <v>1671</v>
      </c>
      <c r="L4" s="2484"/>
      <c r="M4" s="2485"/>
      <c r="N4" s="2485"/>
      <c r="O4" s="2485"/>
      <c r="P4" s="3405" t="s">
        <v>1672</v>
      </c>
      <c r="Q4" s="3406"/>
      <c r="R4" s="3411" t="s">
        <v>1668</v>
      </c>
      <c r="S4" s="3412"/>
      <c r="T4" s="3411" t="s">
        <v>1669</v>
      </c>
      <c r="U4" s="3412"/>
      <c r="V4" s="3384" t="s">
        <v>1670</v>
      </c>
      <c r="W4" s="3384"/>
      <c r="X4" s="1264"/>
      <c r="Y4" s="3411" t="s">
        <v>1672</v>
      </c>
      <c r="Z4" s="3412"/>
      <c r="AA4" s="3398" t="s">
        <v>1668</v>
      </c>
      <c r="AB4" s="3398" t="s">
        <v>1669</v>
      </c>
      <c r="AC4" s="3398" t="s">
        <v>1670</v>
      </c>
    </row>
    <row r="5" spans="1:29">
      <c r="A5" s="347"/>
      <c r="B5" s="348"/>
      <c r="C5" s="3419" t="s">
        <v>1673</v>
      </c>
      <c r="D5" s="3420"/>
      <c r="E5" s="3427" t="s">
        <v>1674</v>
      </c>
      <c r="F5" s="3428"/>
      <c r="G5" s="3419" t="s">
        <v>1675</v>
      </c>
      <c r="H5" s="3420"/>
      <c r="I5" s="3419" t="s">
        <v>1676</v>
      </c>
      <c r="J5" s="3420"/>
      <c r="K5" s="1744"/>
      <c r="L5" s="2484"/>
      <c r="M5" s="2485"/>
      <c r="N5" s="2485"/>
      <c r="O5" s="2485"/>
      <c r="P5" s="3407"/>
      <c r="Q5" s="3408"/>
      <c r="R5" s="3413"/>
      <c r="S5" s="3414"/>
      <c r="T5" s="3413"/>
      <c r="U5" s="3414"/>
      <c r="V5" s="3384"/>
      <c r="W5" s="3384"/>
      <c r="X5" s="1264"/>
      <c r="Y5" s="3413"/>
      <c r="Z5" s="3414"/>
      <c r="AA5" s="3399"/>
      <c r="AB5" s="3399"/>
      <c r="AC5" s="3399"/>
    </row>
    <row r="6" spans="1:29" ht="15" thickBot="1">
      <c r="A6" s="349"/>
      <c r="B6" s="350"/>
      <c r="C6" s="3417" t="s">
        <v>1677</v>
      </c>
      <c r="D6" s="3418"/>
      <c r="E6" s="3425" t="s">
        <v>1677</v>
      </c>
      <c r="F6" s="3426"/>
      <c r="G6" s="3417" t="s">
        <v>1677</v>
      </c>
      <c r="H6" s="3418"/>
      <c r="I6" s="3417" t="s">
        <v>1677</v>
      </c>
      <c r="J6" s="3418"/>
      <c r="K6" s="1744" t="s">
        <v>1678</v>
      </c>
      <c r="L6" s="2484"/>
      <c r="M6" s="2485"/>
      <c r="N6" s="2485"/>
      <c r="O6" s="2485"/>
      <c r="P6" s="3409"/>
      <c r="Q6" s="3410"/>
      <c r="R6" s="3413"/>
      <c r="S6" s="3414"/>
      <c r="T6" s="3415"/>
      <c r="U6" s="3416"/>
      <c r="V6" s="3384"/>
      <c r="W6" s="3384"/>
      <c r="X6" s="1264"/>
      <c r="Y6" s="3415"/>
      <c r="Z6" s="3416"/>
      <c r="AA6" s="3400"/>
      <c r="AB6" s="3400"/>
      <c r="AC6" s="3400"/>
    </row>
    <row r="7" spans="1:29" s="101" customFormat="1" ht="15" thickBot="1">
      <c r="A7" s="351" t="s">
        <v>1679</v>
      </c>
      <c r="B7" s="352"/>
      <c r="C7" s="353">
        <f>'数据-取费表'!B2</f>
        <v>45562</v>
      </c>
      <c r="D7" s="354">
        <v>100</v>
      </c>
      <c r="E7" s="355"/>
      <c r="F7" s="356">
        <f>SUMIF(58:58,YEAR(E7)&amp;"-"&amp;MONTH(E7),59:59)</f>
        <v>0</v>
      </c>
      <c r="G7" s="355"/>
      <c r="H7" s="354">
        <f>SUMIF(58:58,YEAR(G7)&amp;"-"&amp;MONTH(G7),59:59)</f>
        <v>0</v>
      </c>
      <c r="I7" s="355"/>
      <c r="J7" s="354">
        <f>SUMIF(58:58,YEAR(I7)&amp;"-"&amp;MONTH(I7),59:59)</f>
        <v>0</v>
      </c>
      <c r="K7" s="1745"/>
      <c r="L7" s="2486"/>
      <c r="M7" s="2438"/>
      <c r="N7" s="2438"/>
      <c r="O7" s="2438"/>
      <c r="P7" s="3421" t="s">
        <v>1680</v>
      </c>
      <c r="Q7" s="3423"/>
      <c r="R7" s="663" t="s">
        <v>20</v>
      </c>
      <c r="S7" s="664">
        <f t="shared" ref="S7:S15" si="0">F7</f>
        <v>0</v>
      </c>
      <c r="T7" s="663" t="s">
        <v>20</v>
      </c>
      <c r="U7" s="664">
        <f t="shared" ref="U7:U15" si="1">H7</f>
        <v>0</v>
      </c>
      <c r="V7" s="663" t="s">
        <v>20</v>
      </c>
      <c r="W7" s="664">
        <f t="shared" ref="W7:W15" si="2">J7</f>
        <v>0</v>
      </c>
      <c r="X7" s="665"/>
      <c r="Y7" s="3421" t="s">
        <v>1680</v>
      </c>
      <c r="Z7" s="3422"/>
      <c r="AA7" s="50" t="e">
        <f>D7/F7</f>
        <v>#DIV/0!</v>
      </c>
      <c r="AB7" s="50" t="e">
        <f>D7/H7</f>
        <v>#DIV/0!</v>
      </c>
      <c r="AC7" s="50" t="e">
        <f>D7/J7</f>
        <v>#DIV/0!</v>
      </c>
    </row>
    <row r="8" spans="1:29" s="101" customFormat="1" ht="1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6"/>
      <c r="M8" s="2438"/>
      <c r="N8" s="2438"/>
      <c r="O8" s="2438"/>
      <c r="P8" s="3421" t="s">
        <v>1683</v>
      </c>
      <c r="Q8" s="3422"/>
      <c r="R8" s="663" t="s">
        <v>20</v>
      </c>
      <c r="S8" s="664">
        <f t="shared" si="0"/>
        <v>100</v>
      </c>
      <c r="T8" s="663" t="s">
        <v>20</v>
      </c>
      <c r="U8" s="664">
        <f t="shared" si="1"/>
        <v>100</v>
      </c>
      <c r="V8" s="663" t="s">
        <v>20</v>
      </c>
      <c r="W8" s="664">
        <f t="shared" si="2"/>
        <v>100</v>
      </c>
      <c r="X8" s="665"/>
      <c r="Y8" s="3421" t="s">
        <v>1683</v>
      </c>
      <c r="Z8" s="3422"/>
      <c r="AA8" s="50">
        <f t="shared" ref="AA8:AA19" si="3">D8/F8</f>
        <v>1</v>
      </c>
      <c r="AB8" s="50">
        <f t="shared" ref="AB8:AB19" si="4">D8/H8</f>
        <v>1</v>
      </c>
      <c r="AC8" s="50">
        <f t="shared" ref="AC8:AC19" si="5">D8/J8</f>
        <v>1</v>
      </c>
    </row>
    <row r="9" spans="1:29" s="101" customFormat="1" ht="14.4">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5"/>
      <c r="L9" s="2486"/>
      <c r="M9" s="2438"/>
      <c r="N9" s="2438"/>
      <c r="O9" s="2438"/>
      <c r="P9" s="3397" t="s">
        <v>1686</v>
      </c>
      <c r="Q9" s="529" t="str">
        <f t="shared" ref="Q9:Q15" si="6">B9</f>
        <v>用途</v>
      </c>
      <c r="R9" s="663" t="s">
        <v>14</v>
      </c>
      <c r="S9" s="664">
        <f t="shared" si="0"/>
        <v>100</v>
      </c>
      <c r="T9" s="663" t="s">
        <v>14</v>
      </c>
      <c r="U9" s="664">
        <f t="shared" si="1"/>
        <v>100</v>
      </c>
      <c r="V9" s="663" t="s">
        <v>14</v>
      </c>
      <c r="W9" s="664">
        <f t="shared" si="2"/>
        <v>100</v>
      </c>
      <c r="X9" s="665"/>
      <c r="Y9" s="3290" t="s">
        <v>1687</v>
      </c>
      <c r="Z9" s="50" t="str">
        <f t="shared" ref="Z9:Z15" si="7">Q9</f>
        <v>用途</v>
      </c>
      <c r="AA9" s="50">
        <f t="shared" si="3"/>
        <v>1</v>
      </c>
      <c r="AB9" s="50">
        <f t="shared" si="4"/>
        <v>1</v>
      </c>
      <c r="AC9" s="50">
        <f t="shared" si="5"/>
        <v>1</v>
      </c>
    </row>
    <row r="10" spans="1:29" s="365" customFormat="1" ht="28.8">
      <c r="A10" s="362"/>
      <c r="B10" s="363" t="s">
        <v>1688</v>
      </c>
      <c r="C10" s="3130"/>
      <c r="D10" s="118">
        <v>100</v>
      </c>
      <c r="E10" s="3131"/>
      <c r="F10" s="363">
        <f>SUMIF(65:65,E10,66:66)-SUMIF(65:65,C10,66:66)+100</f>
        <v>100</v>
      </c>
      <c r="G10" s="3130"/>
      <c r="H10" s="118">
        <f>SUMIF(65:65,G10,66:66)-SUMIF(65:65,C10,66:66)+100</f>
        <v>100</v>
      </c>
      <c r="I10" s="3130"/>
      <c r="J10" s="118">
        <f>SUMIF(65:65,I10,66:66)-SUMIF(65:65,C10,66:66)+100</f>
        <v>100</v>
      </c>
      <c r="K10" s="1745"/>
      <c r="L10" s="2487"/>
      <c r="M10" s="2488"/>
      <c r="N10" s="2488"/>
      <c r="O10" s="2488"/>
      <c r="P10" s="3397"/>
      <c r="Q10" s="529" t="str">
        <f t="shared" si="6"/>
        <v>土地使用年限（年）</v>
      </c>
      <c r="R10" s="663" t="s">
        <v>14</v>
      </c>
      <c r="S10" s="664">
        <f t="shared" si="0"/>
        <v>100</v>
      </c>
      <c r="T10" s="663" t="s">
        <v>14</v>
      </c>
      <c r="U10" s="664">
        <f t="shared" si="1"/>
        <v>100</v>
      </c>
      <c r="V10" s="663" t="s">
        <v>14</v>
      </c>
      <c r="W10" s="664">
        <f t="shared" si="2"/>
        <v>100</v>
      </c>
      <c r="X10" s="665"/>
      <c r="Y10" s="3290"/>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9"/>
      <c r="M11" s="2485"/>
      <c r="N11" s="2485"/>
      <c r="O11" s="2485"/>
      <c r="P11" s="3397"/>
      <c r="Q11" s="529" t="str">
        <f t="shared" si="6"/>
        <v>容积率</v>
      </c>
      <c r="R11" s="663" t="s">
        <v>18</v>
      </c>
      <c r="S11" s="664" t="e">
        <f t="shared" si="0"/>
        <v>#N/A</v>
      </c>
      <c r="T11" s="663" t="s">
        <v>18</v>
      </c>
      <c r="U11" s="664" t="e">
        <f t="shared" si="1"/>
        <v>#N/A</v>
      </c>
      <c r="V11" s="663" t="s">
        <v>18</v>
      </c>
      <c r="W11" s="664" t="e">
        <f t="shared" si="2"/>
        <v>#N/A</v>
      </c>
      <c r="X11" s="665"/>
      <c r="Y11" s="3290"/>
      <c r="Z11" s="50" t="str">
        <f t="shared" si="7"/>
        <v>容积率</v>
      </c>
      <c r="AA11" s="50" t="e">
        <f t="shared" si="3"/>
        <v>#N/A</v>
      </c>
      <c r="AB11" s="50" t="e">
        <f t="shared" si="4"/>
        <v>#N/A</v>
      </c>
      <c r="AC11" s="50"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6"/>
      <c r="M12" s="2438"/>
      <c r="N12" s="2438"/>
      <c r="O12" s="2438"/>
      <c r="P12" s="3397"/>
      <c r="Q12" s="529">
        <f t="shared" si="6"/>
        <v>111</v>
      </c>
      <c r="R12" s="663" t="s">
        <v>18</v>
      </c>
      <c r="S12" s="664">
        <f t="shared" si="0"/>
        <v>100</v>
      </c>
      <c r="T12" s="663" t="s">
        <v>18</v>
      </c>
      <c r="U12" s="664">
        <f t="shared" si="1"/>
        <v>100</v>
      </c>
      <c r="V12" s="663" t="s">
        <v>18</v>
      </c>
      <c r="W12" s="664">
        <f t="shared" si="2"/>
        <v>100</v>
      </c>
      <c r="X12" s="665"/>
      <c r="Y12" s="3290"/>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90"/>
      <c r="M13" s="2485"/>
      <c r="N13" s="2485"/>
      <c r="O13" s="2485"/>
      <c r="P13" s="3397"/>
      <c r="Q13" s="529">
        <f t="shared" si="6"/>
        <v>111</v>
      </c>
      <c r="R13" s="663" t="s">
        <v>18</v>
      </c>
      <c r="S13" s="664">
        <f t="shared" si="0"/>
        <v>100</v>
      </c>
      <c r="T13" s="663" t="s">
        <v>18</v>
      </c>
      <c r="U13" s="664">
        <f t="shared" si="1"/>
        <v>100</v>
      </c>
      <c r="V13" s="663" t="s">
        <v>18</v>
      </c>
      <c r="W13" s="664">
        <f t="shared" si="2"/>
        <v>100</v>
      </c>
      <c r="X13" s="665"/>
      <c r="Y13" s="3290"/>
      <c r="Z13" s="50">
        <f t="shared" si="7"/>
        <v>111</v>
      </c>
      <c r="AA13" s="50">
        <f t="shared" si="3"/>
        <v>1</v>
      </c>
      <c r="AB13" s="50">
        <f t="shared" si="4"/>
        <v>1</v>
      </c>
      <c r="AC13" s="50">
        <f t="shared" si="5"/>
        <v>1</v>
      </c>
    </row>
    <row r="14" spans="1:29" ht="15.6"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90"/>
      <c r="M14" s="2485"/>
      <c r="N14" s="2485"/>
      <c r="O14" s="2485"/>
      <c r="P14" s="3397"/>
      <c r="Q14" s="529">
        <f t="shared" si="6"/>
        <v>111</v>
      </c>
      <c r="R14" s="663" t="s">
        <v>18</v>
      </c>
      <c r="S14" s="664">
        <f t="shared" si="0"/>
        <v>100</v>
      </c>
      <c r="T14" s="663" t="s">
        <v>18</v>
      </c>
      <c r="U14" s="664">
        <f t="shared" si="1"/>
        <v>100</v>
      </c>
      <c r="V14" s="663" t="s">
        <v>18</v>
      </c>
      <c r="W14" s="664">
        <f t="shared" si="2"/>
        <v>100</v>
      </c>
      <c r="X14" s="665"/>
      <c r="Y14" s="3290"/>
      <c r="Z14" s="50">
        <f t="shared" si="7"/>
        <v>111</v>
      </c>
      <c r="AA14" s="50">
        <f t="shared" si="3"/>
        <v>1</v>
      </c>
      <c r="AB14" s="50">
        <f t="shared" si="4"/>
        <v>1</v>
      </c>
      <c r="AC14" s="50">
        <f t="shared" si="5"/>
        <v>1</v>
      </c>
    </row>
    <row r="15" spans="1:29" ht="96.6">
      <c r="A15" s="378" t="s">
        <v>1690</v>
      </c>
      <c r="B15" s="58" t="s">
        <v>1257</v>
      </c>
      <c r="C15" s="1749"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c r="L15" s="2490"/>
      <c r="M15" s="2485"/>
      <c r="N15" s="2485"/>
      <c r="O15" s="2485"/>
      <c r="P15" s="3388" t="s">
        <v>1691</v>
      </c>
      <c r="Q15" s="1262" t="str">
        <f t="shared" si="6"/>
        <v>居住社区成熟度</v>
      </c>
      <c r="R15" s="666" t="s">
        <v>18</v>
      </c>
      <c r="S15" s="667">
        <f t="shared" si="0"/>
        <v>100</v>
      </c>
      <c r="T15" s="666" t="s">
        <v>18</v>
      </c>
      <c r="U15" s="667">
        <f t="shared" si="1"/>
        <v>100</v>
      </c>
      <c r="V15" s="666" t="s">
        <v>18</v>
      </c>
      <c r="W15" s="667">
        <f t="shared" si="2"/>
        <v>100</v>
      </c>
      <c r="X15" s="1264"/>
      <c r="Y15" s="3390"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90"/>
      <c r="M16" s="2485"/>
      <c r="N16" s="2485"/>
      <c r="O16" s="2485"/>
      <c r="P16" s="3389"/>
      <c r="Q16" s="1262"/>
      <c r="R16" s="666"/>
      <c r="S16" s="667"/>
      <c r="T16" s="666"/>
      <c r="U16" s="667"/>
      <c r="V16" s="666"/>
      <c r="W16" s="667"/>
      <c r="X16" s="1264"/>
      <c r="Y16" s="3391"/>
      <c r="Z16" s="1263"/>
      <c r="AA16" s="1263">
        <v>1</v>
      </c>
      <c r="AB16" s="1263">
        <v>1</v>
      </c>
      <c r="AC16" s="1263">
        <v>1</v>
      </c>
    </row>
    <row r="17" spans="1:29" ht="124.2">
      <c r="A17" s="366"/>
      <c r="B17" s="389" t="s">
        <v>1259</v>
      </c>
      <c r="C17" s="1753" t="str">
        <f>估价对象房地状况!C6</f>
        <v>估价对象临城市主干道--妫川路，周边有Y9路、919路、920路公交车，门口可停车，停车便捷程度较好，综合评价交通便捷度一般</v>
      </c>
      <c r="D17" s="388">
        <v>100</v>
      </c>
      <c r="E17" s="392"/>
      <c r="F17" s="388">
        <f>SUMIF(78:78,E18,79:79)-SUMIF(78:78,C18,79:79)+100</f>
        <v>100</v>
      </c>
      <c r="G17" s="390"/>
      <c r="H17" s="393">
        <f>SUMIF(78:78,G18,79:79)-SUMIF(78:78,C18,79:79)+100</f>
        <v>100</v>
      </c>
      <c r="I17" s="390"/>
      <c r="J17" s="393">
        <f>SUMIF(78:78,I18,79:79)-SUMIF(78:78,C18,79:79)+100</f>
        <v>100</v>
      </c>
      <c r="K17" s="383"/>
      <c r="L17" s="2490"/>
      <c r="M17" s="2485"/>
      <c r="N17" s="2485"/>
      <c r="O17" s="2485"/>
      <c r="P17" s="3389"/>
      <c r="Q17" s="1262" t="str">
        <f>B17</f>
        <v>交通便捷度</v>
      </c>
      <c r="R17" s="666" t="s">
        <v>18</v>
      </c>
      <c r="S17" s="667">
        <f>F17</f>
        <v>100</v>
      </c>
      <c r="T17" s="666" t="s">
        <v>18</v>
      </c>
      <c r="U17" s="667">
        <f>H17</f>
        <v>100</v>
      </c>
      <c r="V17" s="666" t="s">
        <v>18</v>
      </c>
      <c r="W17" s="667">
        <f>J17</f>
        <v>100</v>
      </c>
      <c r="X17" s="1264"/>
      <c r="Y17" s="3391"/>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90"/>
      <c r="M18" s="2485"/>
      <c r="N18" s="2485"/>
      <c r="O18" s="2485"/>
      <c r="P18" s="3389"/>
      <c r="Q18" s="1262"/>
      <c r="R18" s="666"/>
      <c r="S18" s="667"/>
      <c r="T18" s="666"/>
      <c r="U18" s="667"/>
      <c r="V18" s="666"/>
      <c r="W18" s="667"/>
      <c r="X18" s="1264"/>
      <c r="Y18" s="3391"/>
      <c r="Z18" s="1263"/>
      <c r="AA18" s="1263">
        <v>1</v>
      </c>
      <c r="AB18" s="1263">
        <v>1</v>
      </c>
      <c r="AC18" s="1263">
        <v>1</v>
      </c>
    </row>
    <row r="19" spans="1:29" ht="165.6">
      <c r="A19" s="366"/>
      <c r="B19" s="389" t="s">
        <v>1258</v>
      </c>
      <c r="C19" s="1753" t="str">
        <f>估价对象房地状况!C7</f>
        <v>估价对象所在区域公共配套设施齐备情况：农业银行、农业发展银行、中国银行，司家营小学、北京市延庆区第二中学，国润家园社区卫生服务站、北京中医医院延庆医院，百尚购物中心</v>
      </c>
      <c r="D19" s="393">
        <v>100</v>
      </c>
      <c r="E19" s="397"/>
      <c r="F19" s="393">
        <f>SUMIF(80:80,E20,81:81)-SUMIF(80:80,C20,81:81)+100</f>
        <v>100</v>
      </c>
      <c r="G19" s="395"/>
      <c r="H19" s="388">
        <f>SUMIF(80:80,G20,81:81)-SUMIF(80:80,C20,81:81)+100</f>
        <v>100</v>
      </c>
      <c r="I19" s="395"/>
      <c r="J19" s="388">
        <f>SUMIF(80:80,I20,81:81)-SUMIF(80:80,C20,81:81)+100</f>
        <v>100</v>
      </c>
      <c r="K19" s="383"/>
      <c r="L19" s="2490"/>
      <c r="M19" s="2485"/>
      <c r="N19" s="2485"/>
      <c r="O19" s="2485"/>
      <c r="P19" s="3389"/>
      <c r="Q19" s="1262" t="str">
        <f>B19</f>
        <v>公共配套设施</v>
      </c>
      <c r="R19" s="666" t="s">
        <v>18</v>
      </c>
      <c r="S19" s="667">
        <f>F19</f>
        <v>100</v>
      </c>
      <c r="T19" s="666" t="s">
        <v>18</v>
      </c>
      <c r="U19" s="667">
        <f>H19</f>
        <v>100</v>
      </c>
      <c r="V19" s="666" t="s">
        <v>18</v>
      </c>
      <c r="W19" s="667">
        <f>J19</f>
        <v>100</v>
      </c>
      <c r="X19" s="1264"/>
      <c r="Y19" s="3391"/>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90"/>
      <c r="M20" s="2485"/>
      <c r="N20" s="2485"/>
      <c r="O20" s="2485"/>
      <c r="P20" s="3389"/>
      <c r="Q20" s="1262"/>
      <c r="R20" s="666"/>
      <c r="S20" s="667"/>
      <c r="T20" s="666"/>
      <c r="U20" s="667"/>
      <c r="V20" s="666"/>
      <c r="W20" s="667"/>
      <c r="X20" s="1264"/>
      <c r="Y20" s="3391"/>
      <c r="Z20" s="1263"/>
      <c r="AA20" s="1263">
        <v>1</v>
      </c>
      <c r="AB20" s="1263">
        <v>1</v>
      </c>
      <c r="AC20" s="1263">
        <v>1</v>
      </c>
    </row>
    <row r="21" spans="1:29" ht="27.6">
      <c r="A21" s="366"/>
      <c r="B21" s="585" t="s">
        <v>1260</v>
      </c>
      <c r="C21" s="1753"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c r="L21" s="2490"/>
      <c r="M21" s="2485"/>
      <c r="N21" s="2485"/>
      <c r="O21" s="2485"/>
      <c r="P21" s="3389"/>
      <c r="Q21" s="1262" t="str">
        <f>B21</f>
        <v>基础设施水平</v>
      </c>
      <c r="R21" s="666" t="s">
        <v>14</v>
      </c>
      <c r="S21" s="667">
        <f>F21</f>
        <v>100</v>
      </c>
      <c r="T21" s="666" t="s">
        <v>14</v>
      </c>
      <c r="U21" s="667">
        <f>H21</f>
        <v>100</v>
      </c>
      <c r="V21" s="666" t="s">
        <v>14</v>
      </c>
      <c r="W21" s="667">
        <f>J21</f>
        <v>100</v>
      </c>
      <c r="X21" s="1264"/>
      <c r="Y21" s="3391"/>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90"/>
      <c r="M22" s="2485"/>
      <c r="N22" s="2485"/>
      <c r="O22" s="2485"/>
      <c r="P22" s="3389"/>
      <c r="Q22" s="1262"/>
      <c r="R22" s="666"/>
      <c r="S22" s="667"/>
      <c r="T22" s="666"/>
      <c r="U22" s="667"/>
      <c r="V22" s="666"/>
      <c r="W22" s="667"/>
      <c r="X22" s="1264"/>
      <c r="Y22" s="3391"/>
      <c r="Z22" s="1263"/>
      <c r="AA22" s="1263">
        <v>1</v>
      </c>
      <c r="AB22" s="1263">
        <v>1</v>
      </c>
      <c r="AC22" s="1263">
        <v>1</v>
      </c>
    </row>
    <row r="23" spans="1:29" ht="151.80000000000001">
      <c r="A23" s="366"/>
      <c r="B23" s="389" t="s">
        <v>1261</v>
      </c>
      <c r="C23" s="1753" t="str">
        <f>估价对象房地状况!C9</f>
        <v>区域自然环境：迎宾公园、百泉公园、夏都公园、北京延庆世界地质公园；人文环境：延庆区职业学院、妫川宝塔、延庆地质博物馆、水生野生博物馆；综合评价环境状况较好</v>
      </c>
      <c r="D23" s="388">
        <v>100</v>
      </c>
      <c r="E23" s="392"/>
      <c r="F23" s="388">
        <f>SUMIF(84:84,E24,85:85)-SUMIF(84:84,C24,85:85)+100</f>
        <v>100</v>
      </c>
      <c r="G23" s="390"/>
      <c r="H23" s="388">
        <f>SUMIF(84:84,G24,85:85)-SUMIF(84:84,C24,85:85)+100</f>
        <v>100</v>
      </c>
      <c r="I23" s="390"/>
      <c r="J23" s="388">
        <f>SUMIF(84:84,I24,85:85)-SUMIF(84:84,C24,85:85)+100</f>
        <v>100</v>
      </c>
      <c r="K23" s="383"/>
      <c r="L23" s="2490"/>
      <c r="M23" s="2485"/>
      <c r="N23" s="2485"/>
      <c r="O23" s="2485"/>
      <c r="P23" s="3389"/>
      <c r="Q23" s="1262" t="str">
        <f>B23</f>
        <v>自然及人文环境</v>
      </c>
      <c r="R23" s="666" t="s">
        <v>18</v>
      </c>
      <c r="S23" s="667">
        <f>F23</f>
        <v>100</v>
      </c>
      <c r="T23" s="666" t="s">
        <v>18</v>
      </c>
      <c r="U23" s="667">
        <f>H23</f>
        <v>100</v>
      </c>
      <c r="V23" s="666" t="s">
        <v>18</v>
      </c>
      <c r="W23" s="667">
        <f>J23</f>
        <v>100</v>
      </c>
      <c r="X23" s="1264"/>
      <c r="Y23" s="3391"/>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90"/>
      <c r="M24" s="2485"/>
      <c r="N24" s="2485"/>
      <c r="O24" s="2485"/>
      <c r="P24" s="3389"/>
      <c r="Q24" s="1262"/>
      <c r="R24" s="666"/>
      <c r="S24" s="667"/>
      <c r="T24" s="666"/>
      <c r="U24" s="667"/>
      <c r="V24" s="666"/>
      <c r="W24" s="667"/>
      <c r="X24" s="1264"/>
      <c r="Y24" s="3391"/>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90"/>
      <c r="M25" s="2485"/>
      <c r="N25" s="2485"/>
      <c r="O25" s="2485"/>
      <c r="P25" s="3389"/>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91"/>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90"/>
      <c r="M26" s="2485"/>
      <c r="N26" s="2485"/>
      <c r="O26" s="2485"/>
      <c r="P26" s="3389"/>
      <c r="Q26" s="1262" t="str">
        <f t="shared" si="11"/>
        <v>朝向</v>
      </c>
      <c r="R26" s="666" t="s">
        <v>18</v>
      </c>
      <c r="S26" s="667">
        <f t="shared" si="12"/>
        <v>100</v>
      </c>
      <c r="T26" s="666" t="s">
        <v>18</v>
      </c>
      <c r="U26" s="667">
        <f t="shared" si="13"/>
        <v>100</v>
      </c>
      <c r="V26" s="666" t="s">
        <v>18</v>
      </c>
      <c r="W26" s="667">
        <f t="shared" si="14"/>
        <v>100</v>
      </c>
      <c r="X26" s="1264"/>
      <c r="Y26" s="3391"/>
      <c r="Z26" s="1263" t="str">
        <f>Q26</f>
        <v>朝向</v>
      </c>
      <c r="AA26" s="1263">
        <f t="shared" si="15"/>
        <v>1</v>
      </c>
      <c r="AB26" s="1263">
        <f t="shared" si="16"/>
        <v>1</v>
      </c>
      <c r="AC26" s="1263">
        <f t="shared" si="17"/>
        <v>1</v>
      </c>
    </row>
    <row r="27" spans="1:29" s="101"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6"/>
      <c r="M27" s="2438"/>
      <c r="N27" s="2438"/>
      <c r="O27" s="2438"/>
      <c r="P27" s="3389"/>
      <c r="Q27" s="529">
        <f t="shared" si="11"/>
        <v>111</v>
      </c>
      <c r="R27" s="663" t="s">
        <v>18</v>
      </c>
      <c r="S27" s="664">
        <f t="shared" si="12"/>
        <v>100</v>
      </c>
      <c r="T27" s="663" t="s">
        <v>18</v>
      </c>
      <c r="U27" s="664">
        <f t="shared" si="13"/>
        <v>100</v>
      </c>
      <c r="V27" s="663" t="s">
        <v>18</v>
      </c>
      <c r="W27" s="664">
        <f t="shared" si="14"/>
        <v>100</v>
      </c>
      <c r="X27" s="665"/>
      <c r="Y27" s="3391"/>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90"/>
      <c r="M28" s="2485"/>
      <c r="N28" s="2485"/>
      <c r="O28" s="2485"/>
      <c r="P28" s="3389"/>
      <c r="Q28" s="1262">
        <f t="shared" si="11"/>
        <v>111</v>
      </c>
      <c r="R28" s="666" t="s">
        <v>18</v>
      </c>
      <c r="S28" s="667">
        <f t="shared" si="12"/>
        <v>100</v>
      </c>
      <c r="T28" s="666" t="s">
        <v>18</v>
      </c>
      <c r="U28" s="667">
        <f t="shared" si="13"/>
        <v>100</v>
      </c>
      <c r="V28" s="666" t="s">
        <v>18</v>
      </c>
      <c r="W28" s="667">
        <f t="shared" si="14"/>
        <v>100</v>
      </c>
      <c r="X28" s="1264"/>
      <c r="Y28" s="3391"/>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90"/>
      <c r="M29" s="2485"/>
      <c r="N29" s="2485"/>
      <c r="O29" s="2485"/>
      <c r="P29" s="3389"/>
      <c r="Q29" s="1262">
        <f t="shared" si="11"/>
        <v>111</v>
      </c>
      <c r="R29" s="666" t="s">
        <v>18</v>
      </c>
      <c r="S29" s="667">
        <f t="shared" si="12"/>
        <v>100</v>
      </c>
      <c r="T29" s="666" t="s">
        <v>18</v>
      </c>
      <c r="U29" s="667">
        <f t="shared" si="13"/>
        <v>100</v>
      </c>
      <c r="V29" s="666" t="s">
        <v>18</v>
      </c>
      <c r="W29" s="667">
        <f t="shared" si="14"/>
        <v>100</v>
      </c>
      <c r="X29" s="1264"/>
      <c r="Y29" s="3391"/>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90"/>
      <c r="M30" s="2485"/>
      <c r="N30" s="2485"/>
      <c r="O30" s="2485"/>
      <c r="P30" s="3389"/>
      <c r="Q30" s="1262">
        <f t="shared" si="11"/>
        <v>111</v>
      </c>
      <c r="R30" s="666" t="s">
        <v>18</v>
      </c>
      <c r="S30" s="667">
        <f t="shared" si="12"/>
        <v>100</v>
      </c>
      <c r="T30" s="666" t="s">
        <v>18</v>
      </c>
      <c r="U30" s="667">
        <f t="shared" si="13"/>
        <v>100</v>
      </c>
      <c r="V30" s="666" t="s">
        <v>18</v>
      </c>
      <c r="W30" s="667">
        <f t="shared" si="14"/>
        <v>100</v>
      </c>
      <c r="X30" s="1264"/>
      <c r="Y30" s="3391"/>
      <c r="Z30" s="1263">
        <f t="shared" si="18"/>
        <v>111</v>
      </c>
      <c r="AA30" s="1263">
        <f t="shared" si="15"/>
        <v>1</v>
      </c>
      <c r="AB30" s="1263">
        <f t="shared" si="16"/>
        <v>1</v>
      </c>
      <c r="AC30" s="1263">
        <f t="shared" si="17"/>
        <v>1</v>
      </c>
    </row>
    <row r="31" spans="1:29" ht="15.6"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90"/>
      <c r="M31" s="2485"/>
      <c r="N31" s="2485"/>
      <c r="O31" s="2485"/>
      <c r="P31" s="3389"/>
      <c r="Q31" s="1262">
        <f t="shared" si="11"/>
        <v>111</v>
      </c>
      <c r="R31" s="666" t="s">
        <v>18</v>
      </c>
      <c r="S31" s="667">
        <f t="shared" si="12"/>
        <v>100</v>
      </c>
      <c r="T31" s="666" t="s">
        <v>18</v>
      </c>
      <c r="U31" s="667">
        <f t="shared" si="13"/>
        <v>100</v>
      </c>
      <c r="V31" s="666" t="s">
        <v>18</v>
      </c>
      <c r="W31" s="667">
        <f t="shared" si="14"/>
        <v>100</v>
      </c>
      <c r="X31" s="1264"/>
      <c r="Y31" s="3391"/>
      <c r="Z31" s="1263">
        <f t="shared" si="18"/>
        <v>111</v>
      </c>
      <c r="AA31" s="1263">
        <f t="shared" si="15"/>
        <v>1</v>
      </c>
      <c r="AB31" s="1263">
        <f t="shared" si="16"/>
        <v>1</v>
      </c>
      <c r="AC31" s="1263">
        <f t="shared" si="17"/>
        <v>1</v>
      </c>
    </row>
    <row r="32" spans="1:29" ht="15">
      <c r="A32" s="378" t="s">
        <v>1694</v>
      </c>
      <c r="B32" s="60"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90"/>
      <c r="M32" s="2485"/>
      <c r="N32" s="2485"/>
      <c r="O32" s="2485"/>
      <c r="P32" s="3392" t="s">
        <v>1696</v>
      </c>
      <c r="Q32" s="1262" t="str">
        <f t="shared" si="11"/>
        <v>建筑类型</v>
      </c>
      <c r="R32" s="666" t="s">
        <v>18</v>
      </c>
      <c r="S32" s="667">
        <f t="shared" si="12"/>
        <v>100</v>
      </c>
      <c r="T32" s="666" t="s">
        <v>18</v>
      </c>
      <c r="U32" s="667">
        <f t="shared" si="13"/>
        <v>100</v>
      </c>
      <c r="V32" s="666" t="s">
        <v>18</v>
      </c>
      <c r="W32" s="667">
        <f t="shared" si="14"/>
        <v>100</v>
      </c>
      <c r="X32" s="1264"/>
      <c r="Y32" s="3395"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89"/>
      <c r="M33" s="2491"/>
      <c r="N33" s="2491"/>
      <c r="O33" s="2491"/>
      <c r="P33" s="3393"/>
      <c r="Q33" s="530" t="str">
        <f t="shared" si="11"/>
        <v>项目建筑规模</v>
      </c>
      <c r="R33" s="668" t="s">
        <v>18</v>
      </c>
      <c r="S33" s="669" t="e">
        <f t="shared" si="12"/>
        <v>#N/A</v>
      </c>
      <c r="T33" s="668" t="s">
        <v>18</v>
      </c>
      <c r="U33" s="669" t="e">
        <f t="shared" si="13"/>
        <v>#N/A</v>
      </c>
      <c r="V33" s="668" t="s">
        <v>18</v>
      </c>
      <c r="W33" s="669" t="e">
        <f t="shared" si="14"/>
        <v>#N/A</v>
      </c>
      <c r="X33" s="670"/>
      <c r="Y33" s="3395"/>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90"/>
      <c r="M34" s="2485"/>
      <c r="N34" s="2485"/>
      <c r="O34" s="2485"/>
      <c r="P34" s="3393"/>
      <c r="Q34" s="1262" t="str">
        <f t="shared" si="11"/>
        <v>建筑结构</v>
      </c>
      <c r="R34" s="666" t="s">
        <v>18</v>
      </c>
      <c r="S34" s="667">
        <f t="shared" si="12"/>
        <v>100</v>
      </c>
      <c r="T34" s="666" t="s">
        <v>18</v>
      </c>
      <c r="U34" s="667">
        <f t="shared" si="13"/>
        <v>100</v>
      </c>
      <c r="V34" s="666" t="s">
        <v>18</v>
      </c>
      <c r="W34" s="667">
        <f t="shared" si="14"/>
        <v>100</v>
      </c>
      <c r="X34" s="1264"/>
      <c r="Y34" s="3395"/>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90"/>
      <c r="M35" s="2485"/>
      <c r="N35" s="2485"/>
      <c r="O35" s="2485"/>
      <c r="P35" s="3393"/>
      <c r="Q35" s="1262" t="str">
        <f t="shared" si="11"/>
        <v>建筑品质</v>
      </c>
      <c r="R35" s="666" t="s">
        <v>18</v>
      </c>
      <c r="S35" s="667">
        <f t="shared" si="12"/>
        <v>100</v>
      </c>
      <c r="T35" s="666" t="s">
        <v>18</v>
      </c>
      <c r="U35" s="667">
        <f t="shared" si="13"/>
        <v>100</v>
      </c>
      <c r="V35" s="666" t="s">
        <v>18</v>
      </c>
      <c r="W35" s="667">
        <f t="shared" si="14"/>
        <v>100</v>
      </c>
      <c r="X35" s="1264"/>
      <c r="Y35" s="3395"/>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90"/>
      <c r="M36" s="2485"/>
      <c r="N36" s="2485"/>
      <c r="O36" s="2485"/>
      <c r="P36" s="3393"/>
      <c r="Q36" s="1262" t="str">
        <f t="shared" si="11"/>
        <v>公共部分装修</v>
      </c>
      <c r="R36" s="666" t="s">
        <v>18</v>
      </c>
      <c r="S36" s="667">
        <f t="shared" si="12"/>
        <v>100</v>
      </c>
      <c r="T36" s="666" t="s">
        <v>18</v>
      </c>
      <c r="U36" s="667">
        <f t="shared" si="13"/>
        <v>100</v>
      </c>
      <c r="V36" s="666" t="s">
        <v>18</v>
      </c>
      <c r="W36" s="667">
        <f t="shared" si="14"/>
        <v>100</v>
      </c>
      <c r="X36" s="1264"/>
      <c r="Y36" s="3395"/>
      <c r="Z36" s="1263" t="str">
        <f t="shared" si="18"/>
        <v>公共部分装修</v>
      </c>
      <c r="AA36" s="1263">
        <f t="shared" si="15"/>
        <v>1</v>
      </c>
      <c r="AB36" s="1263">
        <f t="shared" si="16"/>
        <v>1</v>
      </c>
      <c r="AC36" s="1263">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6"/>
      <c r="M37" s="2438"/>
      <c r="N37" s="2438"/>
      <c r="O37" s="2438"/>
      <c r="P37" s="3393"/>
      <c r="Q37" s="529" t="str">
        <f t="shared" si="11"/>
        <v>成新度</v>
      </c>
      <c r="R37" s="663" t="s">
        <v>18</v>
      </c>
      <c r="S37" s="664" t="e">
        <f t="shared" si="12"/>
        <v>#N/A</v>
      </c>
      <c r="T37" s="663" t="s">
        <v>18</v>
      </c>
      <c r="U37" s="664" t="e">
        <f t="shared" si="13"/>
        <v>#N/A</v>
      </c>
      <c r="V37" s="663" t="s">
        <v>18</v>
      </c>
      <c r="W37" s="664" t="e">
        <f t="shared" si="14"/>
        <v>#N/A</v>
      </c>
      <c r="X37" s="665"/>
      <c r="Y37" s="3395"/>
      <c r="Z37" s="50" t="str">
        <f t="shared" si="18"/>
        <v>成新度</v>
      </c>
      <c r="AA37" s="50" t="e">
        <f t="shared" si="15"/>
        <v>#N/A</v>
      </c>
      <c r="AB37" s="50" t="e">
        <f t="shared" si="16"/>
        <v>#N/A</v>
      </c>
      <c r="AC37" s="50"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90"/>
      <c r="M38" s="2485"/>
      <c r="N38" s="2485"/>
      <c r="O38" s="2485"/>
      <c r="P38" s="3393" t="s">
        <v>1696</v>
      </c>
      <c r="Q38" s="1262" t="str">
        <f t="shared" si="11"/>
        <v>物业管理</v>
      </c>
      <c r="R38" s="666" t="s">
        <v>18</v>
      </c>
      <c r="S38" s="667">
        <f t="shared" si="12"/>
        <v>100</v>
      </c>
      <c r="T38" s="666" t="s">
        <v>18</v>
      </c>
      <c r="U38" s="667">
        <f t="shared" si="13"/>
        <v>100</v>
      </c>
      <c r="V38" s="666" t="s">
        <v>18</v>
      </c>
      <c r="W38" s="667">
        <f t="shared" si="14"/>
        <v>100</v>
      </c>
      <c r="X38" s="1264"/>
      <c r="Y38" s="3395"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90"/>
      <c r="M39" s="2485"/>
      <c r="N39" s="2485"/>
      <c r="O39" s="2485"/>
      <c r="P39" s="3393"/>
      <c r="Q39" s="1262" t="str">
        <f t="shared" si="11"/>
        <v>市政基础设施</v>
      </c>
      <c r="R39" s="666" t="s">
        <v>18</v>
      </c>
      <c r="S39" s="667">
        <f t="shared" si="12"/>
        <v>100</v>
      </c>
      <c r="T39" s="666" t="s">
        <v>18</v>
      </c>
      <c r="U39" s="667">
        <f t="shared" si="13"/>
        <v>100</v>
      </c>
      <c r="V39" s="666" t="s">
        <v>18</v>
      </c>
      <c r="W39" s="667">
        <f t="shared" si="14"/>
        <v>100</v>
      </c>
      <c r="X39" s="1264"/>
      <c r="Y39" s="3395"/>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90"/>
      <c r="M40" s="2485"/>
      <c r="N40" s="2485"/>
      <c r="O40" s="2485"/>
      <c r="P40" s="3393"/>
      <c r="Q40" s="1262" t="str">
        <f t="shared" si="11"/>
        <v>房型</v>
      </c>
      <c r="R40" s="666" t="s">
        <v>18</v>
      </c>
      <c r="S40" s="667">
        <f t="shared" si="12"/>
        <v>100</v>
      </c>
      <c r="T40" s="666" t="s">
        <v>18</v>
      </c>
      <c r="U40" s="667">
        <f t="shared" si="13"/>
        <v>100</v>
      </c>
      <c r="V40" s="666" t="s">
        <v>18</v>
      </c>
      <c r="W40" s="667">
        <f t="shared" si="14"/>
        <v>100</v>
      </c>
      <c r="X40" s="1264"/>
      <c r="Y40" s="3395"/>
      <c r="Z40" s="1263" t="str">
        <f t="shared" si="18"/>
        <v>房型</v>
      </c>
      <c r="AA40" s="1263">
        <f t="shared" si="15"/>
        <v>1</v>
      </c>
      <c r="AB40" s="1263">
        <f t="shared" si="16"/>
        <v>1</v>
      </c>
      <c r="AC40" s="1263">
        <f t="shared" si="17"/>
        <v>1</v>
      </c>
    </row>
    <row r="41" spans="1:29" s="407" customFormat="1" ht="28.8">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89"/>
      <c r="M41" s="2491"/>
      <c r="N41" s="2491"/>
      <c r="O41" s="2491"/>
      <c r="P41" s="3393"/>
      <c r="Q41" s="530" t="str">
        <f t="shared" si="11"/>
        <v>单套/主力户型建筑面积</v>
      </c>
      <c r="R41" s="668" t="s">
        <v>18</v>
      </c>
      <c r="S41" s="669">
        <f t="shared" si="12"/>
        <v>100</v>
      </c>
      <c r="T41" s="668" t="s">
        <v>18</v>
      </c>
      <c r="U41" s="669">
        <f t="shared" si="13"/>
        <v>100</v>
      </c>
      <c r="V41" s="668" t="s">
        <v>18</v>
      </c>
      <c r="W41" s="669">
        <f t="shared" si="14"/>
        <v>100</v>
      </c>
      <c r="X41" s="670"/>
      <c r="Y41" s="3395"/>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90"/>
      <c r="M42" s="2485"/>
      <c r="N42" s="2485"/>
      <c r="O42" s="2485"/>
      <c r="P42" s="3393"/>
      <c r="Q42" s="1262" t="str">
        <f t="shared" si="11"/>
        <v>内部装修</v>
      </c>
      <c r="R42" s="666" t="s">
        <v>18</v>
      </c>
      <c r="S42" s="667">
        <f t="shared" si="12"/>
        <v>100</v>
      </c>
      <c r="T42" s="666" t="s">
        <v>18</v>
      </c>
      <c r="U42" s="667">
        <f t="shared" si="13"/>
        <v>100</v>
      </c>
      <c r="V42" s="666" t="s">
        <v>18</v>
      </c>
      <c r="W42" s="667">
        <f t="shared" si="14"/>
        <v>100</v>
      </c>
      <c r="X42" s="1264"/>
      <c r="Y42" s="3395"/>
      <c r="Z42" s="1263" t="str">
        <f t="shared" si="18"/>
        <v>内部装修</v>
      </c>
      <c r="AA42" s="1263">
        <f t="shared" si="15"/>
        <v>1</v>
      </c>
      <c r="AB42" s="1263">
        <f t="shared" si="16"/>
        <v>1</v>
      </c>
      <c r="AC42" s="1263">
        <f t="shared" si="17"/>
        <v>1</v>
      </c>
    </row>
    <row r="43" spans="1:29" ht="28.8">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90"/>
      <c r="M43" s="2485"/>
      <c r="N43" s="2485"/>
      <c r="O43" s="2485"/>
      <c r="P43" s="3393"/>
      <c r="Q43" s="1262" t="str">
        <f t="shared" si="11"/>
        <v>内部装修维护情况</v>
      </c>
      <c r="R43" s="666" t="s">
        <v>18</v>
      </c>
      <c r="S43" s="667">
        <f t="shared" si="12"/>
        <v>100</v>
      </c>
      <c r="T43" s="666" t="s">
        <v>18</v>
      </c>
      <c r="U43" s="667">
        <f t="shared" si="13"/>
        <v>100</v>
      </c>
      <c r="V43" s="666" t="s">
        <v>18</v>
      </c>
      <c r="W43" s="667">
        <f t="shared" si="14"/>
        <v>100</v>
      </c>
      <c r="X43" s="1264"/>
      <c r="Y43" s="3395"/>
      <c r="Z43" s="1263" t="str">
        <f t="shared" si="18"/>
        <v>内部装修维护情况</v>
      </c>
      <c r="AA43" s="1263">
        <f t="shared" si="15"/>
        <v>1</v>
      </c>
      <c r="AB43" s="1263">
        <f t="shared" si="16"/>
        <v>1</v>
      </c>
      <c r="AC43" s="1263">
        <f t="shared" si="17"/>
        <v>1</v>
      </c>
    </row>
    <row r="44" spans="1:29" s="101"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6"/>
      <c r="M44" s="2438"/>
      <c r="N44" s="2438"/>
      <c r="O44" s="2438"/>
      <c r="P44" s="3393"/>
      <c r="Q44" s="529">
        <f t="shared" si="11"/>
        <v>111</v>
      </c>
      <c r="R44" s="663" t="s">
        <v>18</v>
      </c>
      <c r="S44" s="664">
        <f t="shared" si="12"/>
        <v>100</v>
      </c>
      <c r="T44" s="663" t="s">
        <v>18</v>
      </c>
      <c r="U44" s="664">
        <f t="shared" si="13"/>
        <v>100</v>
      </c>
      <c r="V44" s="663" t="s">
        <v>18</v>
      </c>
      <c r="W44" s="664">
        <f t="shared" si="14"/>
        <v>100</v>
      </c>
      <c r="X44" s="665"/>
      <c r="Y44" s="3395"/>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90"/>
      <c r="M45" s="2485"/>
      <c r="N45" s="2485"/>
      <c r="O45" s="2485"/>
      <c r="P45" s="3393"/>
      <c r="Q45" s="1262">
        <f t="shared" si="11"/>
        <v>111</v>
      </c>
      <c r="R45" s="666" t="s">
        <v>18</v>
      </c>
      <c r="S45" s="667">
        <f t="shared" si="12"/>
        <v>100</v>
      </c>
      <c r="T45" s="666" t="s">
        <v>18</v>
      </c>
      <c r="U45" s="667">
        <f t="shared" si="13"/>
        <v>100</v>
      </c>
      <c r="V45" s="666" t="s">
        <v>18</v>
      </c>
      <c r="W45" s="667">
        <f t="shared" si="14"/>
        <v>100</v>
      </c>
      <c r="X45" s="1264"/>
      <c r="Y45" s="3395"/>
      <c r="Z45" s="1263">
        <f t="shared" si="18"/>
        <v>111</v>
      </c>
      <c r="AA45" s="1263">
        <f t="shared" si="15"/>
        <v>1</v>
      </c>
      <c r="AB45" s="1263">
        <f t="shared" si="16"/>
        <v>1</v>
      </c>
      <c r="AC45" s="1263">
        <f t="shared" si="17"/>
        <v>1</v>
      </c>
    </row>
    <row r="46" spans="1:29" ht="15.6"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90"/>
      <c r="M46" s="2485"/>
      <c r="N46" s="2485"/>
      <c r="O46" s="2485"/>
      <c r="P46" s="3394"/>
      <c r="Q46" s="1262">
        <f t="shared" si="11"/>
        <v>111</v>
      </c>
      <c r="R46" s="666" t="s">
        <v>17</v>
      </c>
      <c r="S46" s="667">
        <f t="shared" si="12"/>
        <v>100</v>
      </c>
      <c r="T46" s="666" t="s">
        <v>17</v>
      </c>
      <c r="U46" s="667">
        <f t="shared" si="13"/>
        <v>100</v>
      </c>
      <c r="V46" s="666" t="s">
        <v>17</v>
      </c>
      <c r="W46" s="667">
        <f t="shared" si="14"/>
        <v>100</v>
      </c>
      <c r="X46" s="1264"/>
      <c r="Y46" s="3396"/>
      <c r="Z46" s="1263">
        <f t="shared" si="18"/>
        <v>111</v>
      </c>
      <c r="AA46" s="1263">
        <f t="shared" si="15"/>
        <v>1</v>
      </c>
      <c r="AB46" s="1263">
        <f t="shared" si="16"/>
        <v>1</v>
      </c>
      <c r="AC46" s="1263">
        <f t="shared" si="17"/>
        <v>1</v>
      </c>
    </row>
    <row r="47" spans="1:29" ht="14.4">
      <c r="A47" s="415" t="s">
        <v>1708</v>
      </c>
      <c r="B47" s="416"/>
      <c r="C47" s="1080" t="s">
        <v>16</v>
      </c>
      <c r="D47" s="417"/>
      <c r="E47" s="418"/>
      <c r="F47" s="419"/>
      <c r="G47" s="420"/>
      <c r="H47" s="421"/>
      <c r="I47" s="418"/>
      <c r="J47" s="421"/>
      <c r="K47" s="1766"/>
      <c r="L47" s="2492"/>
      <c r="M47" s="2485"/>
      <c r="N47" s="2485"/>
      <c r="O47" s="2485"/>
      <c r="P47" s="3383" t="str">
        <f>A47</f>
        <v>成交单价（元/平方米）</v>
      </c>
      <c r="Q47" s="3383"/>
      <c r="R47" s="3384">
        <f>E47</f>
        <v>0</v>
      </c>
      <c r="S47" s="3384"/>
      <c r="T47" s="3384">
        <f>G47</f>
        <v>0</v>
      </c>
      <c r="U47" s="3384"/>
      <c r="V47" s="3384">
        <f>I47</f>
        <v>0</v>
      </c>
      <c r="W47" s="3384"/>
      <c r="X47" s="384"/>
      <c r="Y47" s="672"/>
      <c r="Z47" s="384"/>
      <c r="AA47" s="384"/>
      <c r="AB47" s="384"/>
      <c r="AC47" s="384"/>
    </row>
    <row r="48" spans="1:29" ht="15" thickBot="1">
      <c r="A48" s="422" t="s">
        <v>1709</v>
      </c>
      <c r="B48" s="423"/>
      <c r="C48" s="1081" t="e">
        <f>R49</f>
        <v>#DIV/0!</v>
      </c>
      <c r="D48" s="2140" t="s">
        <v>2138</v>
      </c>
      <c r="E48" s="1082" t="e">
        <f>R48</f>
        <v>#DIV/0!</v>
      </c>
      <c r="F48" s="2141"/>
      <c r="G48" s="1081" t="e">
        <f>T48</f>
        <v>#DIV/0!</v>
      </c>
      <c r="H48" s="2141"/>
      <c r="I48" s="1082" t="e">
        <f>V48</f>
        <v>#DIV/0!</v>
      </c>
      <c r="J48" s="2141"/>
      <c r="K48" s="2142">
        <f>F48+H48+J48</f>
        <v>0</v>
      </c>
      <c r="L48" s="2492"/>
      <c r="M48" s="2485"/>
      <c r="N48" s="2485"/>
      <c r="O48" s="2485"/>
      <c r="P48" s="3383" t="str">
        <f>A48</f>
        <v>比较价值（元/平方米）</v>
      </c>
      <c r="Q48" s="3383"/>
      <c r="R48" s="3384" t="e">
        <f>IF(F1="售价",ROUND(PRODUCT(R47,AA7:AA46),0),ROUND(PRODUCT(R47,AA7:AA46),1))</f>
        <v>#DIV/0!</v>
      </c>
      <c r="S48" s="3384"/>
      <c r="T48" s="3384" t="e">
        <f>IF(F1="售价",ROUND(PRODUCT(T47,AB7:AB46),0),ROUND(PRODUCT(T47,AB7:AB46),1))</f>
        <v>#DIV/0!</v>
      </c>
      <c r="U48" s="3384"/>
      <c r="V48" s="3384" t="e">
        <f>IF(F1="售价",ROUND(PRODUCT(V47,AC7:AC46),0),ROUND(PRODUCT(V47,AC7:AC46),1))</f>
        <v>#DIV/0!</v>
      </c>
      <c r="W48" s="3384"/>
      <c r="X48" s="384"/>
      <c r="Y48" s="384"/>
      <c r="Z48" s="384"/>
      <c r="AA48" s="384"/>
      <c r="AB48" s="384"/>
      <c r="AC48" s="384"/>
    </row>
    <row r="49" spans="1:29" ht="15" thickBot="1">
      <c r="A49" s="426" t="s">
        <v>1710</v>
      </c>
      <c r="B49" s="427"/>
      <c r="C49" s="1083" t="e">
        <f>R49</f>
        <v>#DIV/0!</v>
      </c>
      <c r="D49" s="350"/>
      <c r="E49" s="350"/>
      <c r="F49" s="350"/>
      <c r="G49" s="350"/>
      <c r="H49" s="350"/>
      <c r="I49" s="350"/>
      <c r="J49" s="350"/>
      <c r="K49" s="1767"/>
      <c r="L49" s="2492"/>
      <c r="M49" s="2485"/>
      <c r="N49" s="2485"/>
      <c r="O49" s="2485"/>
      <c r="P49" s="3385" t="str">
        <f>A49</f>
        <v>估价对象XX用房的比较价值（楼面单价，元/平方米）</v>
      </c>
      <c r="Q49" s="3386"/>
      <c r="R49" s="3387" t="e">
        <f>IF(F1="售价",ROUND(IF(D48="简单平均",AVERAGE(R48:V48),R48*F48+T48*H48+V48*J48),0),ROUND(IF(D48="简单平均",AVERAGE(R48:V48),R48*F48+T48*H48+V48*J48),1))</f>
        <v>#DIV/0!</v>
      </c>
      <c r="S49" s="3387"/>
      <c r="T49" s="3387"/>
      <c r="U49" s="3387"/>
      <c r="V49" s="3387"/>
      <c r="W49" s="3387"/>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7"/>
      <c r="L52" s="2493"/>
      <c r="M52" s="2485"/>
      <c r="N52" s="2485"/>
      <c r="O52" s="2485"/>
    </row>
    <row r="53" spans="1:29" ht="13.5" customHeight="1">
      <c r="A53" s="2485"/>
      <c r="B53" s="2485"/>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7"/>
      <c r="L53" s="2493"/>
      <c r="M53" s="2485"/>
      <c r="N53" s="2485"/>
      <c r="O53" s="2485"/>
    </row>
    <row r="54" spans="1:29" s="436" customFormat="1" ht="13.5" customHeight="1">
      <c r="A54" s="2495"/>
      <c r="B54" s="2495"/>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0"/>
      <c r="L54" s="2494"/>
      <c r="M54" s="2495"/>
      <c r="N54" s="2495"/>
      <c r="O54" s="2495"/>
      <c r="P54" s="1769"/>
    </row>
    <row r="55" spans="1:29" s="436" customFormat="1">
      <c r="A55" s="2495"/>
      <c r="B55" s="2498"/>
      <c r="C55" s="2499"/>
      <c r="D55" s="2495"/>
      <c r="E55" s="2495"/>
      <c r="F55" s="2495"/>
      <c r="G55" s="2495"/>
      <c r="H55" s="2495"/>
      <c r="I55" s="2495"/>
      <c r="J55" s="2495"/>
      <c r="K55" s="2500"/>
      <c r="L55" s="2494"/>
      <c r="M55" s="2495"/>
      <c r="N55" s="2495"/>
      <c r="O55" s="2495"/>
      <c r="P55" s="1769"/>
    </row>
    <row r="56" spans="1:29">
      <c r="A56" s="2485"/>
      <c r="B56" s="2498"/>
      <c r="C56" s="2499"/>
      <c r="D56" s="2485"/>
      <c r="E56" s="2485"/>
      <c r="F56" s="2485"/>
      <c r="G56" s="2485"/>
      <c r="H56" s="2485"/>
      <c r="I56" s="2485"/>
      <c r="J56" s="2485"/>
      <c r="K56" s="2497"/>
      <c r="L56" s="2493"/>
      <c r="M56" s="2485"/>
      <c r="N56" s="2485"/>
      <c r="O56" s="2485"/>
    </row>
    <row r="57" spans="1:29" ht="22.2" thickBot="1">
      <c r="A57" s="657" t="s">
        <v>1714</v>
      </c>
      <c r="B57" s="384"/>
      <c r="C57" s="658"/>
      <c r="D57" s="658"/>
      <c r="E57" s="658"/>
      <c r="F57" s="659"/>
      <c r="G57" s="659"/>
      <c r="H57" s="658"/>
      <c r="I57" s="658"/>
      <c r="J57" s="658"/>
      <c r="K57" s="886"/>
      <c r="L57" s="887"/>
      <c r="M57" s="885"/>
      <c r="N57" s="885"/>
      <c r="O57" s="885"/>
      <c r="P57" s="1770"/>
      <c r="Q57" s="438"/>
    </row>
    <row r="58" spans="1:29" s="441" customFormat="1" ht="14.4">
      <c r="A58" s="439" t="s">
        <v>1715</v>
      </c>
      <c r="B58" s="440"/>
      <c r="C58" s="1104" t="str">
        <f>YEAR(C7)&amp;"-"&amp;MONTH(C7)</f>
        <v>2024-9</v>
      </c>
      <c r="D58" s="1103">
        <f>EDATE(C58,-1)</f>
        <v>45505</v>
      </c>
      <c r="E58" s="1103">
        <f>EDATE(D58,-1)</f>
        <v>45474</v>
      </c>
      <c r="F58" s="1103">
        <f t="shared" ref="F58:O58" si="19">EDATE(E58,-1)</f>
        <v>45444</v>
      </c>
      <c r="G58" s="1103">
        <f t="shared" si="19"/>
        <v>45413</v>
      </c>
      <c r="H58" s="1103">
        <f t="shared" si="19"/>
        <v>45383</v>
      </c>
      <c r="I58" s="1103">
        <f t="shared" si="19"/>
        <v>45352</v>
      </c>
      <c r="J58" s="1103">
        <f t="shared" si="19"/>
        <v>45323</v>
      </c>
      <c r="K58" s="1103">
        <f t="shared" si="19"/>
        <v>45292</v>
      </c>
      <c r="L58" s="1103">
        <f t="shared" si="19"/>
        <v>45261</v>
      </c>
      <c r="M58" s="1103">
        <f t="shared" si="19"/>
        <v>45231</v>
      </c>
      <c r="N58" s="1103">
        <f t="shared" si="19"/>
        <v>45200</v>
      </c>
      <c r="O58" s="1103">
        <f t="shared" si="19"/>
        <v>45170</v>
      </c>
      <c r="P58" s="1099"/>
    </row>
    <row r="59" spans="1:29" s="101" customFormat="1">
      <c r="A59" s="442"/>
      <c r="B59" s="1771"/>
      <c r="C59" s="1101">
        <v>100</v>
      </c>
      <c r="D59" s="444"/>
      <c r="E59" s="445"/>
      <c r="F59" s="445"/>
      <c r="G59" s="445"/>
      <c r="H59" s="445"/>
      <c r="I59" s="445"/>
      <c r="J59" s="445"/>
      <c r="K59" s="445"/>
      <c r="L59" s="445"/>
      <c r="M59" s="446"/>
      <c r="N59" s="445"/>
      <c r="O59" s="446"/>
      <c r="P59" s="1772"/>
    </row>
    <row r="60" spans="1:29" s="101" customFormat="1" ht="15" thickBot="1">
      <c r="A60" s="448" t="s">
        <v>1716</v>
      </c>
      <c r="B60" s="449"/>
      <c r="C60" s="450"/>
      <c r="D60" s="451"/>
      <c r="E60" s="451"/>
      <c r="F60" s="451"/>
      <c r="G60" s="451"/>
      <c r="H60" s="451"/>
      <c r="I60" s="451"/>
      <c r="J60" s="451"/>
      <c r="K60" s="451"/>
      <c r="L60" s="451"/>
      <c r="M60" s="452"/>
      <c r="N60" s="451"/>
      <c r="O60" s="452"/>
      <c r="P60" s="1772"/>
      <c r="Q60" s="438"/>
    </row>
    <row r="61" spans="1:29" s="101" customFormat="1" ht="14.4">
      <c r="A61" s="454" t="s">
        <v>1717</v>
      </c>
      <c r="B61" s="443"/>
      <c r="C61" s="455" t="s">
        <v>1718</v>
      </c>
      <c r="D61" s="31"/>
      <c r="E61" s="31"/>
      <c r="F61" s="31"/>
      <c r="G61" s="31"/>
      <c r="H61" s="31"/>
      <c r="I61" s="31"/>
      <c r="J61" s="31"/>
      <c r="K61" s="31"/>
      <c r="L61" s="456"/>
      <c r="M61" s="457"/>
      <c r="N61" s="877"/>
      <c r="O61" s="877"/>
      <c r="P61" s="1773"/>
      <c r="Q61" s="438"/>
    </row>
    <row r="62" spans="1:29" s="101" customFormat="1" ht="14.4" thickBot="1">
      <c r="A62" s="454"/>
      <c r="B62" s="443"/>
      <c r="C62" s="444">
        <v>100</v>
      </c>
      <c r="D62" s="445"/>
      <c r="E62" s="445"/>
      <c r="F62" s="445"/>
      <c r="G62" s="445"/>
      <c r="H62" s="445"/>
      <c r="I62" s="445"/>
      <c r="J62" s="445"/>
      <c r="K62" s="445"/>
      <c r="L62" s="445"/>
      <c r="M62" s="447"/>
      <c r="N62" s="877"/>
      <c r="O62" s="877"/>
      <c r="P62" s="1772"/>
      <c r="Q62" s="438"/>
    </row>
    <row r="63" spans="1:29" ht="14.4">
      <c r="A63" s="378" t="s">
        <v>1719</v>
      </c>
      <c r="B63" s="459" t="s">
        <v>1685</v>
      </c>
      <c r="C63" s="460">
        <f>C9</f>
        <v>0</v>
      </c>
      <c r="D63" s="461"/>
      <c r="E63" s="461"/>
      <c r="F63" s="461"/>
      <c r="G63" s="461"/>
      <c r="H63" s="461"/>
      <c r="I63" s="461"/>
      <c r="J63" s="461"/>
      <c r="K63" s="462"/>
      <c r="L63" s="463"/>
      <c r="M63" s="464"/>
      <c r="N63" s="878"/>
      <c r="O63" s="878"/>
      <c r="P63" s="1774"/>
      <c r="Q63" s="438"/>
    </row>
    <row r="64" spans="1:29" ht="14.4" thickBot="1">
      <c r="A64" s="366"/>
      <c r="B64" s="465"/>
      <c r="C64" s="466">
        <v>100</v>
      </c>
      <c r="D64" s="466"/>
      <c r="E64" s="466"/>
      <c r="F64" s="466"/>
      <c r="G64" s="466"/>
      <c r="H64" s="466"/>
      <c r="I64" s="466"/>
      <c r="J64" s="466"/>
      <c r="K64" s="466"/>
      <c r="L64" s="466"/>
      <c r="M64" s="467"/>
      <c r="N64" s="879"/>
      <c r="O64" s="879"/>
      <c r="P64" s="1774"/>
      <c r="Q64" s="438"/>
    </row>
    <row r="65" spans="1:17" ht="29.4" thickTop="1">
      <c r="A65" s="366"/>
      <c r="B65" s="468" t="s">
        <v>1688</v>
      </c>
      <c r="C65" s="512"/>
      <c r="D65" s="512"/>
      <c r="E65" s="512"/>
      <c r="F65" s="512"/>
      <c r="G65" s="512"/>
      <c r="H65" s="512"/>
      <c r="I65" s="512"/>
      <c r="J65" s="512"/>
      <c r="K65" s="512"/>
      <c r="L65" s="512"/>
      <c r="M65" s="512"/>
      <c r="N65" s="879"/>
      <c r="O65" s="879"/>
      <c r="P65" s="1774"/>
      <c r="Q65" s="438"/>
    </row>
    <row r="66" spans="1:17" ht="14.4" thickBot="1">
      <c r="A66" s="366"/>
      <c r="B66" s="473"/>
      <c r="C66" s="466"/>
      <c r="D66" s="466"/>
      <c r="E66" s="466"/>
      <c r="F66" s="466"/>
      <c r="G66" s="466"/>
      <c r="H66" s="466"/>
      <c r="I66" s="466"/>
      <c r="J66" s="466"/>
      <c r="K66" s="466"/>
      <c r="L66" s="466"/>
      <c r="M66" s="467"/>
      <c r="N66" s="879"/>
      <c r="O66" s="879"/>
      <c r="P66" s="1774"/>
      <c r="Q66" s="438"/>
    </row>
    <row r="67" spans="1:17" ht="1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c r="A68" s="366"/>
      <c r="B68" s="478"/>
      <c r="C68" s="479"/>
      <c r="D68" s="479"/>
      <c r="E68" s="479"/>
      <c r="F68" s="479"/>
      <c r="G68" s="479"/>
      <c r="H68" s="479"/>
      <c r="I68" s="479"/>
      <c r="J68" s="479"/>
      <c r="K68" s="480"/>
      <c r="L68" s="481"/>
      <c r="M68" s="482"/>
      <c r="N68" s="878"/>
      <c r="O68" s="878"/>
      <c r="P68" s="1774"/>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4.4" thickTop="1">
      <c r="A70" s="483"/>
      <c r="B70" s="468">
        <f>B12</f>
        <v>111</v>
      </c>
      <c r="C70" s="484"/>
      <c r="D70" s="484"/>
      <c r="E70" s="484"/>
      <c r="F70" s="484"/>
      <c r="G70" s="484"/>
      <c r="H70" s="485"/>
      <c r="I70" s="485"/>
      <c r="J70" s="485"/>
      <c r="K70" s="485"/>
      <c r="L70" s="486"/>
      <c r="M70" s="487"/>
      <c r="N70" s="880"/>
      <c r="O70" s="880"/>
      <c r="P70" s="1775"/>
      <c r="Q70" s="489"/>
    </row>
    <row r="71" spans="1:17" s="407" customFormat="1" ht="14.4" thickBot="1">
      <c r="A71" s="483"/>
      <c r="B71" s="473"/>
      <c r="C71" s="490"/>
      <c r="D71" s="466"/>
      <c r="E71" s="466"/>
      <c r="F71" s="466"/>
      <c r="G71" s="466"/>
      <c r="H71" s="466"/>
      <c r="I71" s="466"/>
      <c r="J71" s="466"/>
      <c r="K71" s="466"/>
      <c r="L71" s="466"/>
      <c r="M71" s="467"/>
      <c r="N71" s="879"/>
      <c r="O71" s="879"/>
      <c r="P71" s="1775"/>
      <c r="Q71" s="489"/>
    </row>
    <row r="72" spans="1:17" s="407" customFormat="1" ht="14.4" thickTop="1">
      <c r="A72" s="483"/>
      <c r="B72" s="468">
        <f>B13</f>
        <v>111</v>
      </c>
      <c r="C72" s="484"/>
      <c r="D72" s="484"/>
      <c r="E72" s="484"/>
      <c r="F72" s="484"/>
      <c r="G72" s="484"/>
      <c r="H72" s="485"/>
      <c r="I72" s="485"/>
      <c r="J72" s="485"/>
      <c r="K72" s="485"/>
      <c r="L72" s="486"/>
      <c r="M72" s="487"/>
      <c r="N72" s="880"/>
      <c r="O72" s="880"/>
      <c r="P72" s="1776"/>
      <c r="Q72" s="491"/>
    </row>
    <row r="73" spans="1:17" s="407" customFormat="1" ht="14.4" thickBot="1">
      <c r="A73" s="483"/>
      <c r="B73" s="473"/>
      <c r="C73" s="490"/>
      <c r="D73" s="490"/>
      <c r="E73" s="490"/>
      <c r="F73" s="490"/>
      <c r="G73" s="490"/>
      <c r="H73" s="492"/>
      <c r="I73" s="492"/>
      <c r="J73" s="492"/>
      <c r="K73" s="492"/>
      <c r="L73" s="492"/>
      <c r="M73" s="493"/>
      <c r="N73" s="880"/>
      <c r="O73" s="880"/>
      <c r="P73" s="1775"/>
      <c r="Q73" s="489"/>
    </row>
    <row r="74" spans="1:17" s="407" customFormat="1" ht="14.4" thickTop="1">
      <c r="A74" s="483"/>
      <c r="B74" s="476">
        <f>B14</f>
        <v>111</v>
      </c>
      <c r="C74" s="484"/>
      <c r="D74" s="484"/>
      <c r="E74" s="484"/>
      <c r="F74" s="484"/>
      <c r="G74" s="31"/>
      <c r="H74" s="494"/>
      <c r="I74" s="494"/>
      <c r="J74" s="494"/>
      <c r="K74" s="494"/>
      <c r="L74" s="495"/>
      <c r="M74" s="496"/>
      <c r="N74" s="880"/>
      <c r="O74" s="880"/>
      <c r="P74" s="1777"/>
      <c r="Q74" s="489"/>
    </row>
    <row r="75" spans="1:17" s="407" customFormat="1" ht="14.4" thickBot="1">
      <c r="A75" s="498"/>
      <c r="B75" s="499"/>
      <c r="C75" s="500"/>
      <c r="D75" s="500"/>
      <c r="E75" s="500"/>
      <c r="F75" s="500"/>
      <c r="G75" s="500"/>
      <c r="H75" s="501"/>
      <c r="I75" s="501"/>
      <c r="J75" s="501"/>
      <c r="K75" s="501"/>
      <c r="L75" s="501"/>
      <c r="M75" s="502"/>
      <c r="N75" s="880"/>
      <c r="O75" s="880"/>
      <c r="P75" s="1775"/>
      <c r="Q75" s="489"/>
    </row>
    <row r="76" spans="1:17" ht="14.4">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4.4"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4.4"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4.4"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4.4"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4.4"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1" customFormat="1" ht="15" thickTop="1">
      <c r="A86" s="369"/>
      <c r="B86" s="468" t="s">
        <v>1734</v>
      </c>
      <c r="C86" s="484"/>
      <c r="D86" s="484"/>
      <c r="E86" s="484"/>
      <c r="F86" s="484"/>
      <c r="G86" s="484"/>
      <c r="H86" s="484"/>
      <c r="I86" s="484"/>
      <c r="J86" s="484"/>
      <c r="K86" s="484"/>
      <c r="L86" s="509"/>
      <c r="M86" s="510"/>
      <c r="N86" s="877"/>
      <c r="O86" s="877"/>
      <c r="P86" s="1774"/>
      <c r="Q86" s="438"/>
    </row>
    <row r="87" spans="1:17" s="101"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1" customFormat="1" ht="15" thickTop="1">
      <c r="A88" s="369"/>
      <c r="B88" s="468" t="s">
        <v>1735</v>
      </c>
      <c r="C88" s="484"/>
      <c r="D88" s="484"/>
      <c r="E88" s="484"/>
      <c r="F88" s="1779"/>
      <c r="G88" s="484"/>
      <c r="H88" s="484"/>
      <c r="I88" s="484"/>
      <c r="J88" s="484"/>
      <c r="K88" s="484"/>
      <c r="L88" s="484"/>
      <c r="M88" s="510"/>
      <c r="N88" s="877"/>
      <c r="O88" s="877"/>
      <c r="P88" s="1774"/>
      <c r="Q88" s="438"/>
    </row>
    <row r="89" spans="1:17" s="101" customFormat="1" ht="14.4"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4.4" thickTop="1">
      <c r="A90" s="483"/>
      <c r="B90" s="468">
        <f>B27</f>
        <v>111</v>
      </c>
      <c r="C90" s="484"/>
      <c r="D90" s="484"/>
      <c r="E90" s="484"/>
      <c r="F90" s="484"/>
      <c r="G90" s="484"/>
      <c r="H90" s="485"/>
      <c r="I90" s="485"/>
      <c r="J90" s="485"/>
      <c r="K90" s="485"/>
      <c r="L90" s="486"/>
      <c r="M90" s="487"/>
      <c r="N90" s="880"/>
      <c r="O90" s="880"/>
      <c r="P90" s="1775"/>
      <c r="Q90" s="489"/>
    </row>
    <row r="91" spans="1:17" s="407" customFormat="1" ht="14.4" thickBot="1">
      <c r="A91" s="483"/>
      <c r="B91" s="473"/>
      <c r="C91" s="490"/>
      <c r="D91" s="490"/>
      <c r="E91" s="490"/>
      <c r="F91" s="490"/>
      <c r="G91" s="490"/>
      <c r="H91" s="492"/>
      <c r="I91" s="492"/>
      <c r="J91" s="492"/>
      <c r="K91" s="492"/>
      <c r="L91" s="492"/>
      <c r="M91" s="493"/>
      <c r="N91" s="880"/>
      <c r="O91" s="880"/>
      <c r="P91" s="1775"/>
      <c r="Q91" s="489"/>
    </row>
    <row r="92" spans="1:17" ht="14.4" thickTop="1">
      <c r="A92" s="366"/>
      <c r="B92" s="468">
        <f>B28</f>
        <v>111</v>
      </c>
      <c r="C92" s="484"/>
      <c r="D92" s="484"/>
      <c r="E92" s="484"/>
      <c r="F92" s="484"/>
      <c r="G92" s="512"/>
      <c r="H92" s="512"/>
      <c r="I92" s="512"/>
      <c r="J92" s="512"/>
      <c r="K92" s="513"/>
      <c r="L92" s="514"/>
      <c r="M92" s="515"/>
      <c r="N92" s="878"/>
      <c r="O92" s="878"/>
      <c r="P92" s="1774"/>
      <c r="Q92" s="438"/>
    </row>
    <row r="93" spans="1:17" ht="14.4" thickBot="1">
      <c r="A93" s="366"/>
      <c r="B93" s="473"/>
      <c r="C93" s="490"/>
      <c r="D93" s="466"/>
      <c r="E93" s="466"/>
      <c r="F93" s="466"/>
      <c r="G93" s="466"/>
      <c r="H93" s="466"/>
      <c r="I93" s="466"/>
      <c r="J93" s="466"/>
      <c r="K93" s="466"/>
      <c r="L93" s="466"/>
      <c r="M93" s="467"/>
      <c r="N93" s="879"/>
      <c r="O93" s="879"/>
      <c r="P93" s="1774"/>
      <c r="Q93" s="438"/>
    </row>
    <row r="94" spans="1:17" ht="14.4" thickTop="1">
      <c r="A94" s="366"/>
      <c r="B94" s="468">
        <f>B29</f>
        <v>111</v>
      </c>
      <c r="C94" s="484"/>
      <c r="D94" s="484"/>
      <c r="E94" s="484"/>
      <c r="F94" s="484"/>
      <c r="G94" s="512"/>
      <c r="H94" s="512"/>
      <c r="I94" s="512"/>
      <c r="J94" s="512"/>
      <c r="K94" s="513"/>
      <c r="L94" s="514"/>
      <c r="M94" s="515"/>
      <c r="N94" s="878"/>
      <c r="O94" s="878"/>
      <c r="P94" s="1774"/>
      <c r="Q94" s="438"/>
    </row>
    <row r="95" spans="1:17" ht="14.4" thickBot="1">
      <c r="A95" s="366"/>
      <c r="B95" s="473"/>
      <c r="C95" s="490"/>
      <c r="D95" s="490"/>
      <c r="E95" s="490"/>
      <c r="F95" s="490"/>
      <c r="G95" s="466"/>
      <c r="H95" s="466"/>
      <c r="I95" s="466"/>
      <c r="J95" s="466"/>
      <c r="K95" s="466"/>
      <c r="L95" s="466"/>
      <c r="M95" s="467"/>
      <c r="N95" s="879"/>
      <c r="O95" s="879"/>
      <c r="P95" s="1774"/>
      <c r="Q95" s="438"/>
    </row>
    <row r="96" spans="1:17" ht="14.4" thickTop="1">
      <c r="A96" s="366"/>
      <c r="B96" s="468">
        <f>B30</f>
        <v>111</v>
      </c>
      <c r="C96" s="484"/>
      <c r="D96" s="484"/>
      <c r="E96" s="484"/>
      <c r="F96" s="484"/>
      <c r="G96" s="512"/>
      <c r="H96" s="512"/>
      <c r="I96" s="512"/>
      <c r="J96" s="512"/>
      <c r="K96" s="513"/>
      <c r="L96" s="514"/>
      <c r="M96" s="515"/>
      <c r="N96" s="878"/>
      <c r="O96" s="878"/>
      <c r="P96" s="1774"/>
      <c r="Q96" s="438"/>
    </row>
    <row r="97" spans="1:17" ht="14.4" thickBot="1">
      <c r="A97" s="366"/>
      <c r="B97" s="473"/>
      <c r="C97" s="500"/>
      <c r="D97" s="500"/>
      <c r="E97" s="500"/>
      <c r="F97" s="500"/>
      <c r="G97" s="466"/>
      <c r="H97" s="466"/>
      <c r="I97" s="466"/>
      <c r="J97" s="466"/>
      <c r="K97" s="466"/>
      <c r="L97" s="466"/>
      <c r="M97" s="467"/>
      <c r="N97" s="879"/>
      <c r="O97" s="879"/>
      <c r="P97" s="1774"/>
      <c r="Q97" s="438"/>
    </row>
    <row r="98" spans="1:17" ht="14.4" thickTop="1">
      <c r="A98" s="366"/>
      <c r="B98" s="476">
        <f>B31</f>
        <v>111</v>
      </c>
      <c r="C98" s="516"/>
      <c r="D98" s="516"/>
      <c r="E98" s="516"/>
      <c r="F98" s="516"/>
      <c r="G98" s="516"/>
      <c r="H98" s="516"/>
      <c r="I98" s="516"/>
      <c r="J98" s="516"/>
      <c r="K98" s="517"/>
      <c r="L98" s="518"/>
      <c r="M98" s="519"/>
      <c r="N98" s="878"/>
      <c r="O98" s="878"/>
      <c r="P98" s="1774"/>
      <c r="Q98" s="438"/>
    </row>
    <row r="99" spans="1:17" ht="14.4" thickBot="1">
      <c r="A99" s="374"/>
      <c r="B99" s="499"/>
      <c r="C99" s="520"/>
      <c r="D99" s="520"/>
      <c r="E99" s="520"/>
      <c r="F99" s="520"/>
      <c r="G99" s="520"/>
      <c r="H99" s="520"/>
      <c r="I99" s="520"/>
      <c r="J99" s="520"/>
      <c r="K99" s="520"/>
      <c r="L99" s="520"/>
      <c r="M99" s="521"/>
      <c r="N99" s="879"/>
      <c r="O99" s="879"/>
      <c r="P99" s="1774"/>
      <c r="Q99" s="438"/>
    </row>
    <row r="100" spans="1:17" ht="14.4">
      <c r="A100" s="378" t="s">
        <v>1694</v>
      </c>
      <c r="B100" s="459" t="s">
        <v>1736</v>
      </c>
      <c r="C100" s="461"/>
      <c r="D100" s="461"/>
      <c r="E100" s="461"/>
      <c r="F100" s="461"/>
      <c r="G100" s="461"/>
      <c r="H100" s="461"/>
      <c r="I100" s="461"/>
      <c r="J100" s="461"/>
      <c r="K100" s="462"/>
      <c r="L100" s="463"/>
      <c r="M100" s="464"/>
      <c r="N100" s="878"/>
      <c r="O100" s="878"/>
      <c r="P100" s="1774"/>
      <c r="Q100" s="438"/>
    </row>
    <row r="101" spans="1:17" ht="14.4"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4.4"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4.4"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4.4"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4.4"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4.4"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4.4"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4.4"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4.4"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9.4"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4.4"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4.4"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29.4"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4.4"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4.4"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4.4" thickBot="1">
      <c r="A127" s="483"/>
      <c r="B127" s="473"/>
      <c r="C127" s="490"/>
      <c r="D127" s="466"/>
      <c r="E127" s="466"/>
      <c r="F127" s="466"/>
      <c r="G127" s="490"/>
      <c r="H127" s="492"/>
      <c r="I127" s="492"/>
      <c r="J127" s="492"/>
      <c r="K127" s="492"/>
      <c r="L127" s="492"/>
      <c r="M127" s="493"/>
      <c r="N127" s="880"/>
      <c r="O127" s="880"/>
      <c r="P127" s="1775"/>
      <c r="Q127" s="489"/>
    </row>
    <row r="128" spans="1:17" ht="14.4" thickTop="1">
      <c r="A128" s="408"/>
      <c r="B128" s="468">
        <f>B45</f>
        <v>111</v>
      </c>
      <c r="C128" s="484"/>
      <c r="D128" s="484"/>
      <c r="E128" s="484"/>
      <c r="F128" s="484"/>
      <c r="G128" s="512"/>
      <c r="H128" s="512"/>
      <c r="I128" s="512"/>
      <c r="J128" s="512"/>
      <c r="K128" s="513"/>
      <c r="L128" s="514"/>
      <c r="M128" s="515"/>
      <c r="N128" s="878"/>
      <c r="O128" s="878"/>
      <c r="P128" s="1774"/>
      <c r="Q128" s="438"/>
    </row>
    <row r="129" spans="1:17" ht="14.4" thickBot="1">
      <c r="A129" s="366"/>
      <c r="B129" s="473"/>
      <c r="C129" s="490"/>
      <c r="D129" s="490"/>
      <c r="E129" s="490"/>
      <c r="F129" s="490"/>
      <c r="G129" s="466"/>
      <c r="H129" s="466"/>
      <c r="I129" s="466"/>
      <c r="J129" s="466"/>
      <c r="K129" s="466"/>
      <c r="L129" s="466"/>
      <c r="M129" s="467"/>
      <c r="N129" s="879"/>
      <c r="O129" s="879"/>
      <c r="P129" s="1774"/>
      <c r="Q129" s="438"/>
    </row>
    <row r="130" spans="1:17" ht="14.4" thickTop="1">
      <c r="A130" s="408"/>
      <c r="B130" s="476">
        <f>B46</f>
        <v>111</v>
      </c>
      <c r="C130" s="484"/>
      <c r="D130" s="484"/>
      <c r="E130" s="484"/>
      <c r="F130" s="484"/>
      <c r="G130" s="516"/>
      <c r="H130" s="516"/>
      <c r="I130" s="516"/>
      <c r="J130" s="516"/>
      <c r="K130" s="31"/>
      <c r="L130" s="456"/>
      <c r="M130" s="519"/>
      <c r="N130" s="878"/>
      <c r="O130" s="878"/>
      <c r="P130" s="1774"/>
      <c r="Q130" s="438"/>
    </row>
    <row r="131" spans="1:17" ht="14.4"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6.2"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2" priority="14" stopIfTrue="1">
      <formula>$F$52="超过30%"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F7:F46 H7:H46 J7:J46">
    <cfRule type="cellIs" dxfId="129" priority="1" operator="notEqual">
      <formula>100</formula>
    </cfRule>
  </conditionalFormatting>
  <conditionalFormatting sqref="F48">
    <cfRule type="expression" dxfId="128" priority="4">
      <formula>$D$48="简单平均"</formula>
    </cfRule>
  </conditionalFormatting>
  <conditionalFormatting sqref="F52:F54 H52:H54 J52:J54">
    <cfRule type="containsText" dxfId="127" priority="15" stopIfTrue="1" operator="containsText" text="超过">
      <formula>NOT(ISERROR(SEARCH("超过",F52)))</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G54">
    <cfRule type="expression" dxfId="124" priority="12" stopIfTrue="1">
      <formula>$H$54="超过30%"</formula>
    </cfRule>
  </conditionalFormatting>
  <conditionalFormatting sqref="H48">
    <cfRule type="expression" dxfId="123" priority="3">
      <formula>$D$48="简单平均"</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J48">
    <cfRule type="expression" dxfId="119" priority="2">
      <formula>$D$48="简单平均"</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E9 G9 I9" xr:uid="{00000000-0002-0000-1D00-000011000000}">
      <formula1>住宅用途</formula1>
    </dataValidation>
    <dataValidation type="list" allowBlank="1" showInputMessage="1" showErrorMessage="1" sqref="C22 E22 G22 I22" xr:uid="{00000000-0002-0000-1D00-000012000000}">
      <formula1>基础设施水平</formula1>
    </dataValidation>
    <dataValidation type="list" allowBlank="1" showInputMessage="1" showErrorMessage="1" sqref="F1" xr:uid="{00000000-0002-0000-1D00-000013000000}">
      <formula1>"售价,租金"</formula1>
    </dataValidation>
    <dataValidation type="list" allowBlank="1" showInputMessage="1" showErrorMessage="1" sqref="C2" xr:uid="{00000000-0002-0000-1D00-000014000000}">
      <formula1>"需扣减承租人权益,——"</formula1>
    </dataValidation>
    <dataValidation type="list" allowBlank="1" showInputMessage="1" showErrorMessage="1" sqref="F2" xr:uid="{00000000-0002-0000-1D00-000015000000}">
      <formula1>估价方法</formula1>
    </dataValidation>
    <dataValidation type="list" allowBlank="1" showInputMessage="1" showErrorMessage="1" sqref="D48" xr:uid="{00000000-0002-0000-1D00-000016000000}">
      <formula1>"简单平均,加权平均"</formula1>
    </dataValidation>
    <dataValidation type="list" allowBlank="1" showInputMessage="1" showErrorMessage="1" sqref="E1" xr:uid="{00000000-0002-0000-1D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1810</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312.66000000000003</v>
      </c>
      <c r="E3" s="1804"/>
      <c r="F3" s="855"/>
      <c r="G3" s="854"/>
      <c r="H3" s="854"/>
      <c r="I3" s="854"/>
      <c r="J3" s="854"/>
      <c r="K3" s="856"/>
      <c r="L3" s="2501"/>
      <c r="M3" s="2502"/>
      <c r="N3" s="2502"/>
      <c r="O3" s="2502"/>
      <c r="P3" s="340"/>
      <c r="Q3" s="340"/>
      <c r="R3" s="340"/>
      <c r="S3" s="340"/>
      <c r="T3" s="340"/>
      <c r="U3" s="340"/>
      <c r="V3" s="340"/>
      <c r="W3" s="340"/>
      <c r="X3" s="340"/>
      <c r="Y3" s="340"/>
      <c r="Z3" s="340"/>
      <c r="AA3" s="340"/>
      <c r="AB3" s="340"/>
      <c r="AC3" s="662"/>
    </row>
    <row r="4" spans="1:29" ht="14.4">
      <c r="A4" s="344" t="s">
        <v>1769</v>
      </c>
      <c r="B4" s="345"/>
      <c r="C4" s="3401" t="s">
        <v>1770</v>
      </c>
      <c r="D4" s="3402"/>
      <c r="E4" s="3403" t="s">
        <v>1771</v>
      </c>
      <c r="F4" s="3404"/>
      <c r="G4" s="3401" t="s">
        <v>1772</v>
      </c>
      <c r="H4" s="3402"/>
      <c r="I4" s="3401" t="s">
        <v>1773</v>
      </c>
      <c r="J4" s="3402"/>
      <c r="K4" s="536" t="s">
        <v>1774</v>
      </c>
      <c r="L4" s="2484"/>
      <c r="M4" s="2485"/>
      <c r="N4" s="2485"/>
      <c r="O4" s="2485"/>
      <c r="P4" s="3456" t="s">
        <v>1775</v>
      </c>
      <c r="Q4" s="3457"/>
      <c r="R4" s="3460" t="s">
        <v>1771</v>
      </c>
      <c r="S4" s="3461"/>
      <c r="T4" s="3460" t="s">
        <v>1772</v>
      </c>
      <c r="U4" s="3461"/>
      <c r="V4" s="3462" t="s">
        <v>1773</v>
      </c>
      <c r="W4" s="3462"/>
      <c r="X4" s="1808"/>
      <c r="Y4" s="3460" t="s">
        <v>1775</v>
      </c>
      <c r="Z4" s="3461"/>
      <c r="AA4" s="3464" t="s">
        <v>1771</v>
      </c>
      <c r="AB4" s="3464" t="s">
        <v>1772</v>
      </c>
      <c r="AC4" s="3453" t="s">
        <v>1773</v>
      </c>
    </row>
    <row r="5" spans="1:29">
      <c r="A5" s="347"/>
      <c r="B5" s="348"/>
      <c r="C5" s="3419" t="s">
        <v>1673</v>
      </c>
      <c r="D5" s="3420"/>
      <c r="E5" s="3427" t="s">
        <v>1674</v>
      </c>
      <c r="F5" s="3428"/>
      <c r="G5" s="3419" t="s">
        <v>1675</v>
      </c>
      <c r="H5" s="3420"/>
      <c r="I5" s="3419" t="s">
        <v>1676</v>
      </c>
      <c r="J5" s="3420"/>
      <c r="K5" s="536"/>
      <c r="L5" s="2484"/>
      <c r="M5" s="2485"/>
      <c r="N5" s="2485"/>
      <c r="O5" s="2485"/>
      <c r="P5" s="3458"/>
      <c r="Q5" s="3408"/>
      <c r="R5" s="3413"/>
      <c r="S5" s="3414"/>
      <c r="T5" s="3413"/>
      <c r="U5" s="3414"/>
      <c r="V5" s="3384"/>
      <c r="W5" s="3384"/>
      <c r="X5" s="1264"/>
      <c r="Y5" s="3413"/>
      <c r="Z5" s="3414"/>
      <c r="AA5" s="3399"/>
      <c r="AB5" s="3399"/>
      <c r="AC5" s="3454"/>
    </row>
    <row r="6" spans="1:29" ht="15" thickBot="1">
      <c r="A6" s="349"/>
      <c r="B6" s="350"/>
      <c r="C6" s="3417" t="s">
        <v>1677</v>
      </c>
      <c r="D6" s="3418"/>
      <c r="E6" s="3425" t="s">
        <v>1677</v>
      </c>
      <c r="F6" s="3426"/>
      <c r="G6" s="3417" t="s">
        <v>1677</v>
      </c>
      <c r="H6" s="3418"/>
      <c r="I6" s="3417" t="s">
        <v>1677</v>
      </c>
      <c r="J6" s="3418"/>
      <c r="K6" s="536" t="s">
        <v>1678</v>
      </c>
      <c r="L6" s="2484"/>
      <c r="M6" s="2485"/>
      <c r="N6" s="2485"/>
      <c r="O6" s="2485"/>
      <c r="P6" s="3459"/>
      <c r="Q6" s="3410"/>
      <c r="R6" s="3413"/>
      <c r="S6" s="3414"/>
      <c r="T6" s="3415"/>
      <c r="U6" s="3416"/>
      <c r="V6" s="3384"/>
      <c r="W6" s="3384"/>
      <c r="X6" s="1264"/>
      <c r="Y6" s="3415"/>
      <c r="Z6" s="3416"/>
      <c r="AA6" s="3400"/>
      <c r="AB6" s="3400"/>
      <c r="AC6" s="3455"/>
    </row>
    <row r="7" spans="1:29" s="101" customFormat="1" ht="15" thickBot="1">
      <c r="A7" s="351" t="s">
        <v>1679</v>
      </c>
      <c r="B7" s="352"/>
      <c r="C7" s="353">
        <f>'数据-取费表'!B2</f>
        <v>45562</v>
      </c>
      <c r="D7" s="354">
        <v>100</v>
      </c>
      <c r="E7" s="355"/>
      <c r="F7" s="356">
        <f>SUMIF(59:59,YEAR(E7)&amp;"-"&amp;MONTH(E7),60:60)</f>
        <v>0</v>
      </c>
      <c r="G7" s="355"/>
      <c r="H7" s="354">
        <f>SUMIF(59:59,YEAR(G7)&amp;"-"&amp;MONTH(G7),60:60)</f>
        <v>0</v>
      </c>
      <c r="I7" s="355"/>
      <c r="J7" s="354">
        <f>SUMIF(59:59,YEAR(I7)&amp;"-"&amp;MONTH(I7),60:60)</f>
        <v>0</v>
      </c>
      <c r="K7" s="38"/>
      <c r="L7" s="2486"/>
      <c r="M7" s="2438"/>
      <c r="N7" s="2438"/>
      <c r="O7" s="2438"/>
      <c r="P7" s="3463" t="s">
        <v>1680</v>
      </c>
      <c r="Q7" s="3423"/>
      <c r="R7" s="663" t="s">
        <v>14</v>
      </c>
      <c r="S7" s="664">
        <f t="shared" ref="S7:S15" si="0">F7</f>
        <v>0</v>
      </c>
      <c r="T7" s="663" t="s">
        <v>14</v>
      </c>
      <c r="U7" s="664">
        <f t="shared" ref="U7:U15" si="1">H7</f>
        <v>0</v>
      </c>
      <c r="V7" s="663" t="s">
        <v>14</v>
      </c>
      <c r="W7" s="664">
        <f t="shared" ref="W7:W15" si="2">J7</f>
        <v>0</v>
      </c>
      <c r="X7" s="665"/>
      <c r="Y7" s="3421" t="s">
        <v>1680</v>
      </c>
      <c r="Z7" s="3422"/>
      <c r="AA7" s="50" t="e">
        <f>D7/F7</f>
        <v>#DIV/0!</v>
      </c>
      <c r="AB7" s="50" t="e">
        <f>D7/H7</f>
        <v>#DIV/0!</v>
      </c>
      <c r="AC7" s="801" t="e">
        <f>D7/J7</f>
        <v>#DIV/0!</v>
      </c>
    </row>
    <row r="8" spans="1:29" s="101" customFormat="1" ht="1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6"/>
      <c r="M8" s="2438"/>
      <c r="N8" s="2438"/>
      <c r="O8" s="2438"/>
      <c r="P8" s="3463" t="s">
        <v>1683</v>
      </c>
      <c r="Q8" s="3422"/>
      <c r="R8" s="663" t="s">
        <v>14</v>
      </c>
      <c r="S8" s="664">
        <f t="shared" si="0"/>
        <v>100</v>
      </c>
      <c r="T8" s="663" t="s">
        <v>14</v>
      </c>
      <c r="U8" s="664">
        <f t="shared" si="1"/>
        <v>100</v>
      </c>
      <c r="V8" s="663" t="s">
        <v>14</v>
      </c>
      <c r="W8" s="664">
        <f t="shared" si="2"/>
        <v>100</v>
      </c>
      <c r="X8" s="665"/>
      <c r="Y8" s="3421" t="s">
        <v>1683</v>
      </c>
      <c r="Z8" s="3422"/>
      <c r="AA8" s="50">
        <f t="shared" ref="AA8:AA47" si="3">D8/F8</f>
        <v>1</v>
      </c>
      <c r="AB8" s="50">
        <f t="shared" ref="AB8:AB47" si="4">D8/H8</f>
        <v>1</v>
      </c>
      <c r="AC8" s="801">
        <f t="shared" ref="AC8:AC47" si="5">D8/J8</f>
        <v>1</v>
      </c>
    </row>
    <row r="9" spans="1:29" s="101" customFormat="1" ht="14.4">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6"/>
      <c r="M9" s="2438"/>
      <c r="N9" s="2438"/>
      <c r="O9" s="2438"/>
      <c r="P9" s="3397" t="s">
        <v>1686</v>
      </c>
      <c r="Q9" s="529" t="str">
        <f t="shared" ref="Q9:Q15" si="6">B9</f>
        <v>用途</v>
      </c>
      <c r="R9" s="663" t="s">
        <v>14</v>
      </c>
      <c r="S9" s="664">
        <f t="shared" si="0"/>
        <v>100</v>
      </c>
      <c r="T9" s="663" t="s">
        <v>14</v>
      </c>
      <c r="U9" s="664">
        <f t="shared" si="1"/>
        <v>100</v>
      </c>
      <c r="V9" s="663" t="s">
        <v>14</v>
      </c>
      <c r="W9" s="664">
        <f t="shared" si="2"/>
        <v>100</v>
      </c>
      <c r="X9" s="665"/>
      <c r="Y9" s="3290" t="s">
        <v>1687</v>
      </c>
      <c r="Z9" s="50" t="str">
        <f t="shared" ref="Z9:Z15" si="7">Q9</f>
        <v>用途</v>
      </c>
      <c r="AA9" s="50">
        <f t="shared" si="3"/>
        <v>1</v>
      </c>
      <c r="AB9" s="50">
        <f t="shared" si="4"/>
        <v>1</v>
      </c>
      <c r="AC9" s="801">
        <f t="shared" si="5"/>
        <v>1</v>
      </c>
    </row>
    <row r="10" spans="1:29" s="365" customFormat="1" ht="28.8">
      <c r="A10" s="362"/>
      <c r="B10" s="363" t="s">
        <v>1688</v>
      </c>
      <c r="C10" s="3130"/>
      <c r="D10" s="118">
        <v>100</v>
      </c>
      <c r="E10" s="3130"/>
      <c r="F10" s="118">
        <f>SUMIF(66:66,E10,67:67)-SUMIF(66:66,C10,67:67)+100</f>
        <v>100</v>
      </c>
      <c r="G10" s="3131"/>
      <c r="H10" s="118">
        <f>SUMIF(66:66,G10,67:67)-SUMIF(66:66,C10,67:67)+100</f>
        <v>100</v>
      </c>
      <c r="I10" s="3130"/>
      <c r="J10" s="118">
        <f>SUMIF(66:66,I10,67:67)-SUMIF(66:66,C10,67:67)+100</f>
        <v>100</v>
      </c>
      <c r="K10" s="38"/>
      <c r="L10" s="2487"/>
      <c r="M10" s="2488"/>
      <c r="N10" s="2488"/>
      <c r="O10" s="2488"/>
      <c r="P10" s="3397"/>
      <c r="Q10" s="529" t="str">
        <f t="shared" si="6"/>
        <v>土地使用年限（年）</v>
      </c>
      <c r="R10" s="663" t="s">
        <v>14</v>
      </c>
      <c r="S10" s="664">
        <f t="shared" si="0"/>
        <v>100</v>
      </c>
      <c r="T10" s="663" t="s">
        <v>14</v>
      </c>
      <c r="U10" s="664">
        <f t="shared" si="1"/>
        <v>100</v>
      </c>
      <c r="V10" s="663" t="s">
        <v>14</v>
      </c>
      <c r="W10" s="664">
        <f t="shared" si="2"/>
        <v>100</v>
      </c>
      <c r="X10" s="665"/>
      <c r="Y10" s="3290"/>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9"/>
      <c r="M11" s="2485"/>
      <c r="N11" s="2485"/>
      <c r="O11" s="2485"/>
      <c r="P11" s="3397"/>
      <c r="Q11" s="529" t="str">
        <f t="shared" si="6"/>
        <v>容积率</v>
      </c>
      <c r="R11" s="663" t="s">
        <v>14</v>
      </c>
      <c r="S11" s="664">
        <f t="shared" si="0"/>
        <v>100</v>
      </c>
      <c r="T11" s="663" t="s">
        <v>14</v>
      </c>
      <c r="U11" s="664">
        <f t="shared" si="1"/>
        <v>100</v>
      </c>
      <c r="V11" s="663" t="s">
        <v>14</v>
      </c>
      <c r="W11" s="664">
        <f t="shared" si="2"/>
        <v>100</v>
      </c>
      <c r="X11" s="665"/>
      <c r="Y11" s="3290"/>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6"/>
      <c r="M12" s="2438"/>
      <c r="N12" s="2438"/>
      <c r="O12" s="2438"/>
      <c r="P12" s="3397"/>
      <c r="Q12" s="529">
        <f t="shared" si="6"/>
        <v>111</v>
      </c>
      <c r="R12" s="663" t="s">
        <v>14</v>
      </c>
      <c r="S12" s="664">
        <f t="shared" si="0"/>
        <v>100</v>
      </c>
      <c r="T12" s="663" t="s">
        <v>14</v>
      </c>
      <c r="U12" s="664">
        <f t="shared" si="1"/>
        <v>100</v>
      </c>
      <c r="V12" s="663" t="s">
        <v>14</v>
      </c>
      <c r="W12" s="664">
        <f t="shared" si="2"/>
        <v>100</v>
      </c>
      <c r="X12" s="665"/>
      <c r="Y12" s="3290"/>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90"/>
      <c r="M13" s="2485"/>
      <c r="N13" s="2485"/>
      <c r="O13" s="2485"/>
      <c r="P13" s="3397"/>
      <c r="Q13" s="529">
        <f t="shared" si="6"/>
        <v>111</v>
      </c>
      <c r="R13" s="663" t="s">
        <v>14</v>
      </c>
      <c r="S13" s="664">
        <f t="shared" si="0"/>
        <v>100</v>
      </c>
      <c r="T13" s="663" t="s">
        <v>14</v>
      </c>
      <c r="U13" s="664">
        <f t="shared" si="1"/>
        <v>100</v>
      </c>
      <c r="V13" s="663" t="s">
        <v>14</v>
      </c>
      <c r="W13" s="664">
        <f t="shared" si="2"/>
        <v>100</v>
      </c>
      <c r="X13" s="665"/>
      <c r="Y13" s="3290"/>
      <c r="Z13" s="50">
        <f t="shared" si="7"/>
        <v>111</v>
      </c>
      <c r="AA13" s="50">
        <f t="shared" si="3"/>
        <v>1</v>
      </c>
      <c r="AB13" s="50">
        <f t="shared" si="4"/>
        <v>1</v>
      </c>
      <c r="AC13" s="801">
        <f t="shared" si="5"/>
        <v>1</v>
      </c>
    </row>
    <row r="14" spans="1:29" ht="15.6"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90"/>
      <c r="M14" s="2485"/>
      <c r="N14" s="2485"/>
      <c r="O14" s="2485"/>
      <c r="P14" s="3397"/>
      <c r="Q14" s="529">
        <f t="shared" si="6"/>
        <v>111</v>
      </c>
      <c r="R14" s="663" t="s">
        <v>14</v>
      </c>
      <c r="S14" s="664">
        <f t="shared" si="0"/>
        <v>100</v>
      </c>
      <c r="T14" s="663" t="s">
        <v>14</v>
      </c>
      <c r="U14" s="664">
        <f t="shared" si="1"/>
        <v>100</v>
      </c>
      <c r="V14" s="663" t="s">
        <v>14</v>
      </c>
      <c r="W14" s="664">
        <f t="shared" si="2"/>
        <v>100</v>
      </c>
      <c r="X14" s="665"/>
      <c r="Y14" s="3290"/>
      <c r="Z14" s="50">
        <f t="shared" si="7"/>
        <v>111</v>
      </c>
      <c r="AA14" s="50">
        <f t="shared" si="3"/>
        <v>1</v>
      </c>
      <c r="AB14" s="50">
        <f t="shared" si="4"/>
        <v>1</v>
      </c>
      <c r="AC14" s="801">
        <f t="shared" si="5"/>
        <v>1</v>
      </c>
    </row>
    <row r="15" spans="1:29" ht="69">
      <c r="A15" s="378" t="s">
        <v>1690</v>
      </c>
      <c r="B15" s="553" t="s">
        <v>1811</v>
      </c>
      <c r="C15" s="1810"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90"/>
      <c r="M15" s="2485"/>
      <c r="N15" s="2485"/>
      <c r="O15" s="2485"/>
      <c r="P15" s="3388" t="s">
        <v>1691</v>
      </c>
      <c r="Q15" s="1262" t="str">
        <f t="shared" si="6"/>
        <v>办公集聚程度</v>
      </c>
      <c r="R15" s="666" t="s">
        <v>14</v>
      </c>
      <c r="S15" s="667">
        <f t="shared" si="0"/>
        <v>100</v>
      </c>
      <c r="T15" s="666" t="s">
        <v>14</v>
      </c>
      <c r="U15" s="667">
        <f t="shared" si="1"/>
        <v>100</v>
      </c>
      <c r="V15" s="666" t="s">
        <v>14</v>
      </c>
      <c r="W15" s="667">
        <f t="shared" si="2"/>
        <v>100</v>
      </c>
      <c r="X15" s="1264"/>
      <c r="Y15" s="3390" t="s">
        <v>1691</v>
      </c>
      <c r="Z15" s="1263" t="str">
        <f t="shared" si="7"/>
        <v>办公集聚程度</v>
      </c>
      <c r="AA15" s="1263">
        <f t="shared" si="3"/>
        <v>1</v>
      </c>
      <c r="AB15" s="1263">
        <f t="shared" si="4"/>
        <v>1</v>
      </c>
      <c r="AC15" s="1811">
        <f t="shared" si="5"/>
        <v>1</v>
      </c>
    </row>
    <row r="16" spans="1:29" ht="15">
      <c r="A16" s="366"/>
      <c r="B16" s="554"/>
      <c r="C16" s="1757"/>
      <c r="D16" s="386"/>
      <c r="E16" s="385"/>
      <c r="F16" s="386"/>
      <c r="G16" s="1757"/>
      <c r="H16" s="388"/>
      <c r="I16" s="385"/>
      <c r="J16" s="386"/>
      <c r="K16" s="540"/>
      <c r="L16" s="2490"/>
      <c r="M16" s="2485"/>
      <c r="N16" s="2485"/>
      <c r="O16" s="2485"/>
      <c r="P16" s="3389"/>
      <c r="Q16" s="1262"/>
      <c r="R16" s="666"/>
      <c r="S16" s="667"/>
      <c r="T16" s="666"/>
      <c r="U16" s="667"/>
      <c r="V16" s="666"/>
      <c r="W16" s="667"/>
      <c r="X16" s="1264"/>
      <c r="Y16" s="3391"/>
      <c r="Z16" s="1263"/>
      <c r="AA16" s="1263">
        <v>1</v>
      </c>
      <c r="AB16" s="1263">
        <v>1</v>
      </c>
      <c r="AC16" s="1811">
        <v>1</v>
      </c>
    </row>
    <row r="17" spans="1:29" ht="124.2">
      <c r="A17" s="366"/>
      <c r="B17" s="555" t="s">
        <v>1259</v>
      </c>
      <c r="C17" s="1812" t="str">
        <f>估价对象房地状况!C6</f>
        <v>估价对象临城市主干道--妫川路，周边有Y9路、919路、920路公交车，门口可停车，停车便捷程度较好，综合评价交通便捷度一般</v>
      </c>
      <c r="D17" s="388">
        <v>100</v>
      </c>
      <c r="E17" s="392"/>
      <c r="F17" s="388">
        <f>SUMIF(79:79,E18,80:80)-SUMIF(79:79,C18,80:80)+100</f>
        <v>100</v>
      </c>
      <c r="G17" s="390"/>
      <c r="H17" s="393">
        <f>SUMIF(79:79,G18,80:80)-SUMIF(79:79,C18,80:80)+100</f>
        <v>100</v>
      </c>
      <c r="I17" s="390"/>
      <c r="J17" s="393">
        <f>SUMIF(79:79,I18,80:80)-SUMIF(79:79,C18,80:80)+100</f>
        <v>100</v>
      </c>
      <c r="K17" s="539"/>
      <c r="L17" s="2490"/>
      <c r="M17" s="2485"/>
      <c r="N17" s="2485"/>
      <c r="O17" s="2485"/>
      <c r="P17" s="3389"/>
      <c r="Q17" s="1262" t="str">
        <f>B17</f>
        <v>交通便捷度</v>
      </c>
      <c r="R17" s="666" t="s">
        <v>14</v>
      </c>
      <c r="S17" s="667">
        <f>F17</f>
        <v>100</v>
      </c>
      <c r="T17" s="666" t="s">
        <v>14</v>
      </c>
      <c r="U17" s="667">
        <f>H17</f>
        <v>100</v>
      </c>
      <c r="V17" s="666" t="s">
        <v>14</v>
      </c>
      <c r="W17" s="667">
        <f>J17</f>
        <v>100</v>
      </c>
      <c r="X17" s="1264"/>
      <c r="Y17" s="3391"/>
      <c r="Z17" s="1263" t="str">
        <f>Q17</f>
        <v>交通便捷度</v>
      </c>
      <c r="AA17" s="1263">
        <f t="shared" si="3"/>
        <v>1</v>
      </c>
      <c r="AB17" s="1263">
        <f t="shared" si="4"/>
        <v>1</v>
      </c>
      <c r="AC17" s="1811">
        <f t="shared" si="5"/>
        <v>1</v>
      </c>
    </row>
    <row r="18" spans="1:29" ht="15">
      <c r="A18" s="366"/>
      <c r="B18" s="400"/>
      <c r="C18" s="1813"/>
      <c r="D18" s="388"/>
      <c r="E18" s="1755"/>
      <c r="F18" s="388"/>
      <c r="G18" s="1756"/>
      <c r="H18" s="386"/>
      <c r="I18" s="1756"/>
      <c r="J18" s="386"/>
      <c r="K18" s="540"/>
      <c r="L18" s="2490"/>
      <c r="M18" s="2485"/>
      <c r="N18" s="2485"/>
      <c r="O18" s="2485"/>
      <c r="P18" s="3389"/>
      <c r="Q18" s="1262"/>
      <c r="R18" s="666"/>
      <c r="S18" s="667"/>
      <c r="T18" s="666"/>
      <c r="U18" s="667"/>
      <c r="V18" s="666"/>
      <c r="W18" s="667"/>
      <c r="X18" s="1264"/>
      <c r="Y18" s="3391"/>
      <c r="Z18" s="1263"/>
      <c r="AA18" s="1263">
        <v>1</v>
      </c>
      <c r="AB18" s="1263">
        <v>1</v>
      </c>
      <c r="AC18" s="1811">
        <v>1</v>
      </c>
    </row>
    <row r="19" spans="1:29" ht="165.6">
      <c r="A19" s="366"/>
      <c r="B19" s="555" t="s">
        <v>1812</v>
      </c>
      <c r="C19" s="1812" t="str">
        <f>估价对象房地状况!C7</f>
        <v>估价对象所在区域公共配套设施齐备情况：农业银行、农业发展银行、中国银行，司家营小学、北京市延庆区第二中学，国润家园社区卫生服务站、北京中医医院延庆医院，百尚购物中心</v>
      </c>
      <c r="D19" s="393">
        <v>100</v>
      </c>
      <c r="E19" s="397"/>
      <c r="F19" s="393">
        <f>SUMIF(81:81,E20,82:82)-SUMIF(81:81,C20,82:82)+100</f>
        <v>100</v>
      </c>
      <c r="G19" s="395"/>
      <c r="H19" s="388">
        <f>SUMIF(81:81,G20,82:82)-SUMIF(81:81,C20,82:82)+100</f>
        <v>100</v>
      </c>
      <c r="I19" s="395"/>
      <c r="J19" s="388">
        <f>SUMIF(81:81,I20,82:82)-SUMIF(81:81,C20,82:82)+100</f>
        <v>100</v>
      </c>
      <c r="K19" s="539"/>
      <c r="L19" s="2490"/>
      <c r="M19" s="2485"/>
      <c r="N19" s="2485"/>
      <c r="O19" s="2485"/>
      <c r="P19" s="3389"/>
      <c r="Q19" s="1262" t="str">
        <f>B19</f>
        <v>公共配套设施</v>
      </c>
      <c r="R19" s="666" t="s">
        <v>14</v>
      </c>
      <c r="S19" s="667">
        <f>F19</f>
        <v>100</v>
      </c>
      <c r="T19" s="666" t="s">
        <v>14</v>
      </c>
      <c r="U19" s="667">
        <f>H19</f>
        <v>100</v>
      </c>
      <c r="V19" s="666" t="s">
        <v>14</v>
      </c>
      <c r="W19" s="667">
        <f>J19</f>
        <v>100</v>
      </c>
      <c r="X19" s="1264"/>
      <c r="Y19" s="3391"/>
      <c r="Z19" s="1263" t="str">
        <f>Q19</f>
        <v>公共配套设施</v>
      </c>
      <c r="AA19" s="1263">
        <f t="shared" si="3"/>
        <v>1</v>
      </c>
      <c r="AB19" s="1263">
        <f t="shared" si="4"/>
        <v>1</v>
      </c>
      <c r="AC19" s="1811">
        <f t="shared" si="5"/>
        <v>1</v>
      </c>
    </row>
    <row r="20" spans="1:29" ht="15">
      <c r="A20" s="366"/>
      <c r="B20" s="400"/>
      <c r="C20" s="1757"/>
      <c r="D20" s="386"/>
      <c r="E20" s="1750"/>
      <c r="F20" s="386"/>
      <c r="G20" s="1751"/>
      <c r="H20" s="386"/>
      <c r="I20" s="1751"/>
      <c r="J20" s="386"/>
      <c r="K20" s="540"/>
      <c r="L20" s="2490"/>
      <c r="M20" s="2485"/>
      <c r="N20" s="2485"/>
      <c r="O20" s="2485"/>
      <c r="P20" s="3389"/>
      <c r="Q20" s="1262"/>
      <c r="R20" s="666"/>
      <c r="S20" s="667"/>
      <c r="T20" s="666"/>
      <c r="U20" s="667"/>
      <c r="V20" s="666"/>
      <c r="W20" s="667"/>
      <c r="X20" s="1264"/>
      <c r="Y20" s="3391"/>
      <c r="Z20" s="1263"/>
      <c r="AA20" s="1263">
        <v>1</v>
      </c>
      <c r="AB20" s="1263">
        <v>1</v>
      </c>
      <c r="AC20" s="1811">
        <v>1</v>
      </c>
    </row>
    <row r="21" spans="1:29" ht="27.6">
      <c r="A21" s="366"/>
      <c r="B21" s="556" t="s">
        <v>1813</v>
      </c>
      <c r="C21" s="1812"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90"/>
      <c r="M21" s="2485"/>
      <c r="N21" s="2485"/>
      <c r="O21" s="2485"/>
      <c r="P21" s="3389"/>
      <c r="Q21" s="1262" t="str">
        <f>B21</f>
        <v>基础设施水平</v>
      </c>
      <c r="R21" s="666" t="s">
        <v>14</v>
      </c>
      <c r="S21" s="667">
        <f>F21</f>
        <v>100</v>
      </c>
      <c r="T21" s="666" t="s">
        <v>14</v>
      </c>
      <c r="U21" s="667">
        <f>H21</f>
        <v>100</v>
      </c>
      <c r="V21" s="666" t="s">
        <v>14</v>
      </c>
      <c r="W21" s="667">
        <f>J21</f>
        <v>100</v>
      </c>
      <c r="X21" s="1264"/>
      <c r="Y21" s="3391"/>
      <c r="Z21" s="1263" t="str">
        <f>Q21</f>
        <v>基础设施水平</v>
      </c>
      <c r="AA21" s="1263">
        <f t="shared" ref="AA21" si="8">D21/F21</f>
        <v>1</v>
      </c>
      <c r="AB21" s="1263">
        <f t="shared" ref="AB21" si="9">D21/H21</f>
        <v>1</v>
      </c>
      <c r="AC21" s="1811">
        <f t="shared" ref="AC21" si="10">D21/J21</f>
        <v>1</v>
      </c>
    </row>
    <row r="22" spans="1:29" ht="15">
      <c r="A22" s="366"/>
      <c r="B22" s="556"/>
      <c r="C22" s="1813"/>
      <c r="D22" s="386"/>
      <c r="E22" s="385"/>
      <c r="F22" s="386"/>
      <c r="G22" s="1757"/>
      <c r="H22" s="386"/>
      <c r="I22" s="1757"/>
      <c r="J22" s="386"/>
      <c r="K22" s="1063"/>
      <c r="L22" s="2490"/>
      <c r="M22" s="2485"/>
      <c r="N22" s="2485"/>
      <c r="O22" s="2485"/>
      <c r="P22" s="3389"/>
      <c r="Q22" s="1262"/>
      <c r="R22" s="666"/>
      <c r="S22" s="667"/>
      <c r="T22" s="666"/>
      <c r="U22" s="667"/>
      <c r="V22" s="666"/>
      <c r="W22" s="667"/>
      <c r="X22" s="1264"/>
      <c r="Y22" s="3391"/>
      <c r="Z22" s="1263"/>
      <c r="AA22" s="1263">
        <v>1</v>
      </c>
      <c r="AB22" s="1263">
        <v>1</v>
      </c>
      <c r="AC22" s="1811">
        <v>1</v>
      </c>
    </row>
    <row r="23" spans="1:29" ht="151.80000000000001">
      <c r="A23" s="366"/>
      <c r="B23" s="555" t="s">
        <v>1814</v>
      </c>
      <c r="C23" s="1812" t="str">
        <f>估价对象房地状况!C9</f>
        <v>区域自然环境：迎宾公园、百泉公园、夏都公园、北京延庆世界地质公园；人文环境：延庆区职业学院、妫川宝塔、延庆地质博物馆、水生野生博物馆；综合评价环境状况较好</v>
      </c>
      <c r="D23" s="388">
        <v>100</v>
      </c>
      <c r="E23" s="392"/>
      <c r="F23" s="388">
        <f>SUMIF(85:85,E24,86:86)-SUMIF(85:85,C24,86:86)+100</f>
        <v>100</v>
      </c>
      <c r="G23" s="390"/>
      <c r="H23" s="388">
        <f>SUMIF(85:85,G24,86:86)-SUMIF(85:85,C24,86:86)+100</f>
        <v>100</v>
      </c>
      <c r="I23" s="390"/>
      <c r="J23" s="388">
        <f>SUMIF(85:85,I24,86:86)-SUMIF(85:85,C24,86:86)+100</f>
        <v>100</v>
      </c>
      <c r="K23" s="539"/>
      <c r="L23" s="2490"/>
      <c r="M23" s="2485"/>
      <c r="N23" s="2485"/>
      <c r="O23" s="2485"/>
      <c r="P23" s="3389"/>
      <c r="Q23" s="1262" t="str">
        <f>B23</f>
        <v>环境质量</v>
      </c>
      <c r="R23" s="666" t="s">
        <v>14</v>
      </c>
      <c r="S23" s="667">
        <f>F23</f>
        <v>100</v>
      </c>
      <c r="T23" s="666" t="s">
        <v>14</v>
      </c>
      <c r="U23" s="667">
        <f>H23</f>
        <v>100</v>
      </c>
      <c r="V23" s="666" t="s">
        <v>14</v>
      </c>
      <c r="W23" s="667">
        <f>J23</f>
        <v>100</v>
      </c>
      <c r="X23" s="1264"/>
      <c r="Y23" s="3391"/>
      <c r="Z23" s="1263" t="str">
        <f>Q23</f>
        <v>环境质量</v>
      </c>
      <c r="AA23" s="1263">
        <f t="shared" si="3"/>
        <v>1</v>
      </c>
      <c r="AB23" s="1263">
        <f t="shared" si="4"/>
        <v>1</v>
      </c>
      <c r="AC23" s="1811">
        <f t="shared" si="5"/>
        <v>1</v>
      </c>
    </row>
    <row r="24" spans="1:29" ht="15">
      <c r="A24" s="366"/>
      <c r="B24" s="556"/>
      <c r="C24" s="1757"/>
      <c r="D24" s="386"/>
      <c r="E24" s="1750"/>
      <c r="F24" s="386"/>
      <c r="G24" s="1751"/>
      <c r="H24" s="386"/>
      <c r="I24" s="1751"/>
      <c r="J24" s="386"/>
      <c r="K24" s="540"/>
      <c r="L24" s="2490"/>
      <c r="M24" s="2485"/>
      <c r="N24" s="2485"/>
      <c r="O24" s="2485"/>
      <c r="P24" s="3389"/>
      <c r="Q24" s="1262"/>
      <c r="R24" s="666"/>
      <c r="S24" s="667"/>
      <c r="T24" s="666"/>
      <c r="U24" s="667"/>
      <c r="V24" s="666"/>
      <c r="W24" s="667"/>
      <c r="X24" s="1264"/>
      <c r="Y24" s="3391"/>
      <c r="Z24" s="1263"/>
      <c r="AA24" s="1263">
        <v>1</v>
      </c>
      <c r="AB24" s="1263">
        <v>1</v>
      </c>
      <c r="AC24" s="1811">
        <v>1</v>
      </c>
    </row>
    <row r="25" spans="1:29" ht="28.8">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c r="L25" s="2490"/>
      <c r="M25" s="2485"/>
      <c r="N25" s="2485"/>
      <c r="O25" s="2485"/>
      <c r="P25" s="3389"/>
      <c r="Q25" s="1262" t="str">
        <f>B25</f>
        <v>毗邻道路的类型与等级</v>
      </c>
      <c r="R25" s="666" t="s">
        <v>14</v>
      </c>
      <c r="S25" s="667">
        <f>F25</f>
        <v>100</v>
      </c>
      <c r="T25" s="666" t="s">
        <v>14</v>
      </c>
      <c r="U25" s="667">
        <f>H25</f>
        <v>100</v>
      </c>
      <c r="V25" s="666" t="s">
        <v>14</v>
      </c>
      <c r="W25" s="667">
        <f>J25</f>
        <v>100</v>
      </c>
      <c r="X25" s="1264"/>
      <c r="Y25" s="3391"/>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90"/>
      <c r="M26" s="2485"/>
      <c r="N26" s="2485"/>
      <c r="O26" s="2485"/>
      <c r="P26" s="3389"/>
      <c r="Q26" s="1262"/>
      <c r="R26" s="666"/>
      <c r="S26" s="667"/>
      <c r="T26" s="666"/>
      <c r="U26" s="667"/>
      <c r="V26" s="666"/>
      <c r="W26" s="667"/>
      <c r="X26" s="1264"/>
      <c r="Y26" s="3391"/>
      <c r="Z26" s="1263"/>
      <c r="AA26" s="1263">
        <v>1</v>
      </c>
      <c r="AB26" s="1263">
        <v>1</v>
      </c>
      <c r="AC26" s="1811">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90"/>
      <c r="M27" s="2485"/>
      <c r="N27" s="2485"/>
      <c r="O27" s="2485"/>
      <c r="P27" s="3389"/>
      <c r="Q27" s="1262" t="str">
        <f t="shared" ref="Q27:Q47" si="11">B27</f>
        <v>楼层</v>
      </c>
      <c r="R27" s="666" t="s">
        <v>14</v>
      </c>
      <c r="S27" s="667">
        <f>F27</f>
        <v>100</v>
      </c>
      <c r="T27" s="666" t="s">
        <v>14</v>
      </c>
      <c r="U27" s="667">
        <f>H27</f>
        <v>100</v>
      </c>
      <c r="V27" s="666" t="s">
        <v>14</v>
      </c>
      <c r="W27" s="667">
        <f>J27</f>
        <v>100</v>
      </c>
      <c r="X27" s="1264"/>
      <c r="Y27" s="3391"/>
      <c r="Z27" s="1263" t="str">
        <f>Q27</f>
        <v>楼层</v>
      </c>
      <c r="AA27" s="1263">
        <f t="shared" si="3"/>
        <v>1</v>
      </c>
      <c r="AB27" s="1263">
        <f t="shared" si="4"/>
        <v>1</v>
      </c>
      <c r="AC27" s="1811">
        <f t="shared" si="5"/>
        <v>1</v>
      </c>
    </row>
    <row r="28" spans="1:29" s="101" customFormat="1" ht="15">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6"/>
      <c r="M28" s="2438"/>
      <c r="N28" s="2438"/>
      <c r="O28" s="2438"/>
      <c r="P28" s="3389"/>
      <c r="Q28" s="529" t="str">
        <f t="shared" si="11"/>
        <v>朝向</v>
      </c>
      <c r="R28" s="663" t="s">
        <v>14</v>
      </c>
      <c r="S28" s="664">
        <f>F28</f>
        <v>100</v>
      </c>
      <c r="T28" s="663" t="s">
        <v>14</v>
      </c>
      <c r="U28" s="664">
        <f>H28</f>
        <v>100</v>
      </c>
      <c r="V28" s="663" t="s">
        <v>14</v>
      </c>
      <c r="W28" s="664">
        <f>J28</f>
        <v>100</v>
      </c>
      <c r="X28" s="665"/>
      <c r="Y28" s="3391"/>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90"/>
      <c r="M29" s="2485"/>
      <c r="N29" s="2485"/>
      <c r="O29" s="2485"/>
      <c r="P29" s="3389"/>
      <c r="Q29" s="1262">
        <f t="shared" si="11"/>
        <v>111</v>
      </c>
      <c r="R29" s="666" t="s">
        <v>14</v>
      </c>
      <c r="S29" s="667">
        <f t="shared" ref="S29:S47" si="12">F29</f>
        <v>100</v>
      </c>
      <c r="T29" s="666" t="s">
        <v>14</v>
      </c>
      <c r="U29" s="667">
        <f t="shared" ref="U29:U47" si="13">H29</f>
        <v>100</v>
      </c>
      <c r="V29" s="666" t="s">
        <v>14</v>
      </c>
      <c r="W29" s="667">
        <f t="shared" ref="W29:W47" si="14">J29</f>
        <v>100</v>
      </c>
      <c r="X29" s="1264"/>
      <c r="Y29" s="3391"/>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90"/>
      <c r="M30" s="2485"/>
      <c r="N30" s="2485"/>
      <c r="O30" s="2485"/>
      <c r="P30" s="3389"/>
      <c r="Q30" s="1262">
        <f t="shared" si="11"/>
        <v>111</v>
      </c>
      <c r="R30" s="666" t="s">
        <v>14</v>
      </c>
      <c r="S30" s="667">
        <f t="shared" si="12"/>
        <v>100</v>
      </c>
      <c r="T30" s="666" t="s">
        <v>14</v>
      </c>
      <c r="U30" s="667">
        <f t="shared" si="13"/>
        <v>100</v>
      </c>
      <c r="V30" s="666" t="s">
        <v>14</v>
      </c>
      <c r="W30" s="667">
        <f t="shared" si="14"/>
        <v>100</v>
      </c>
      <c r="X30" s="1264"/>
      <c r="Y30" s="3391"/>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90"/>
      <c r="M31" s="2485"/>
      <c r="N31" s="2485"/>
      <c r="O31" s="2485"/>
      <c r="P31" s="3389"/>
      <c r="Q31" s="1262">
        <f t="shared" si="11"/>
        <v>111</v>
      </c>
      <c r="R31" s="666" t="s">
        <v>14</v>
      </c>
      <c r="S31" s="667">
        <f t="shared" si="12"/>
        <v>100</v>
      </c>
      <c r="T31" s="666" t="s">
        <v>14</v>
      </c>
      <c r="U31" s="667">
        <f t="shared" si="13"/>
        <v>100</v>
      </c>
      <c r="V31" s="666" t="s">
        <v>14</v>
      </c>
      <c r="W31" s="667">
        <f t="shared" si="14"/>
        <v>100</v>
      </c>
      <c r="X31" s="1264"/>
      <c r="Y31" s="3391"/>
      <c r="Z31" s="1263">
        <f t="shared" si="15"/>
        <v>111</v>
      </c>
      <c r="AA31" s="1263">
        <f t="shared" si="3"/>
        <v>1</v>
      </c>
      <c r="AB31" s="1263">
        <f t="shared" si="4"/>
        <v>1</v>
      </c>
      <c r="AC31" s="1811">
        <f t="shared" si="5"/>
        <v>1</v>
      </c>
    </row>
    <row r="32" spans="1:29" ht="15.6"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90"/>
      <c r="M32" s="2485"/>
      <c r="N32" s="2485"/>
      <c r="O32" s="2485"/>
      <c r="P32" s="3389"/>
      <c r="Q32" s="1262">
        <f t="shared" si="11"/>
        <v>111</v>
      </c>
      <c r="R32" s="666" t="s">
        <v>14</v>
      </c>
      <c r="S32" s="667">
        <f t="shared" si="12"/>
        <v>100</v>
      </c>
      <c r="T32" s="666" t="s">
        <v>14</v>
      </c>
      <c r="U32" s="667">
        <f t="shared" si="13"/>
        <v>100</v>
      </c>
      <c r="V32" s="666" t="s">
        <v>14</v>
      </c>
      <c r="W32" s="667">
        <f t="shared" si="14"/>
        <v>100</v>
      </c>
      <c r="X32" s="1264"/>
      <c r="Y32" s="3391"/>
      <c r="Z32" s="1263">
        <f t="shared" si="15"/>
        <v>111</v>
      </c>
      <c r="AA32" s="1263">
        <f t="shared" si="3"/>
        <v>1</v>
      </c>
      <c r="AB32" s="1263">
        <f t="shared" si="4"/>
        <v>1</v>
      </c>
      <c r="AC32" s="1811">
        <f t="shared" si="5"/>
        <v>1</v>
      </c>
    </row>
    <row r="33" spans="1:29" ht="15">
      <c r="A33" s="378" t="s">
        <v>1694</v>
      </c>
      <c r="B33" s="60" t="s">
        <v>1817</v>
      </c>
      <c r="C33" s="1763"/>
      <c r="D33" s="404">
        <v>100</v>
      </c>
      <c r="E33" s="1763"/>
      <c r="F33" s="399">
        <f>SUMIF(101:101,E33,102:102)-SUMIF(101:101,C33,102:102)+100</f>
        <v>100</v>
      </c>
      <c r="G33" s="1763"/>
      <c r="H33" s="373">
        <f>SUMIF(101:101,G33,102:102)-SUMIF(101:101,C33,102:102)+100</f>
        <v>100</v>
      </c>
      <c r="I33" s="1763"/>
      <c r="J33" s="404">
        <f>SUMIF(101:101,I33,102:102)-SUMIF(101:101,C33,102:102)+100</f>
        <v>100</v>
      </c>
      <c r="K33" s="537"/>
      <c r="L33" s="2490"/>
      <c r="M33" s="2485"/>
      <c r="N33" s="2485"/>
      <c r="O33" s="2485"/>
      <c r="P33" s="3392" t="s">
        <v>1696</v>
      </c>
      <c r="Q33" s="1262" t="str">
        <f t="shared" si="11"/>
        <v>建筑类型</v>
      </c>
      <c r="R33" s="666" t="s">
        <v>14</v>
      </c>
      <c r="S33" s="667">
        <f t="shared" si="12"/>
        <v>100</v>
      </c>
      <c r="T33" s="666" t="s">
        <v>14</v>
      </c>
      <c r="U33" s="667">
        <f t="shared" si="13"/>
        <v>100</v>
      </c>
      <c r="V33" s="666" t="s">
        <v>14</v>
      </c>
      <c r="W33" s="667">
        <f t="shared" si="14"/>
        <v>100</v>
      </c>
      <c r="X33" s="1264"/>
      <c r="Y33" s="3395" t="s">
        <v>1696</v>
      </c>
      <c r="Z33" s="1263" t="str">
        <f t="shared" si="15"/>
        <v>建筑类型</v>
      </c>
      <c r="AA33" s="1263">
        <f t="shared" si="3"/>
        <v>1</v>
      </c>
      <c r="AB33" s="1263">
        <f t="shared" si="4"/>
        <v>1</v>
      </c>
      <c r="AC33" s="1811">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9"/>
      <c r="M34" s="2491"/>
      <c r="N34" s="2491"/>
      <c r="O34" s="2491"/>
      <c r="P34" s="3393"/>
      <c r="Q34" s="530" t="str">
        <f t="shared" si="11"/>
        <v>项目建筑规模</v>
      </c>
      <c r="R34" s="668" t="s">
        <v>14</v>
      </c>
      <c r="S34" s="669" t="e">
        <f t="shared" si="12"/>
        <v>#N/A</v>
      </c>
      <c r="T34" s="668" t="s">
        <v>14</v>
      </c>
      <c r="U34" s="669" t="e">
        <f t="shared" si="13"/>
        <v>#N/A</v>
      </c>
      <c r="V34" s="668" t="s">
        <v>14</v>
      </c>
      <c r="W34" s="669" t="e">
        <f t="shared" si="14"/>
        <v>#N/A</v>
      </c>
      <c r="X34" s="670"/>
      <c r="Y34" s="3395"/>
      <c r="Z34" s="671" t="str">
        <f t="shared" si="15"/>
        <v>项目建筑规模</v>
      </c>
      <c r="AA34" s="1263" t="e">
        <f t="shared" si="3"/>
        <v>#N/A</v>
      </c>
      <c r="AB34" s="1263" t="e">
        <f t="shared" si="4"/>
        <v>#N/A</v>
      </c>
      <c r="AC34" s="1811"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90"/>
      <c r="M35" s="2485"/>
      <c r="N35" s="2485"/>
      <c r="O35" s="2485"/>
      <c r="P35" s="3393"/>
      <c r="Q35" s="1262" t="str">
        <f t="shared" si="11"/>
        <v>建筑结构</v>
      </c>
      <c r="R35" s="666" t="s">
        <v>14</v>
      </c>
      <c r="S35" s="667">
        <f t="shared" si="12"/>
        <v>100</v>
      </c>
      <c r="T35" s="666" t="s">
        <v>14</v>
      </c>
      <c r="U35" s="667">
        <f t="shared" si="13"/>
        <v>100</v>
      </c>
      <c r="V35" s="666" t="s">
        <v>14</v>
      </c>
      <c r="W35" s="667">
        <f t="shared" si="14"/>
        <v>100</v>
      </c>
      <c r="X35" s="1264"/>
      <c r="Y35" s="3395"/>
      <c r="Z35" s="1263" t="str">
        <f t="shared" si="15"/>
        <v>建筑结构</v>
      </c>
      <c r="AA35" s="1263">
        <f t="shared" si="3"/>
        <v>1</v>
      </c>
      <c r="AB35" s="1263">
        <f t="shared" si="4"/>
        <v>1</v>
      </c>
      <c r="AC35" s="1811">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90"/>
      <c r="M36" s="2485"/>
      <c r="N36" s="2485"/>
      <c r="O36" s="2485"/>
      <c r="P36" s="3393"/>
      <c r="Q36" s="1262" t="str">
        <f t="shared" si="11"/>
        <v>公共部分装修</v>
      </c>
      <c r="R36" s="666" t="s">
        <v>14</v>
      </c>
      <c r="S36" s="667">
        <f t="shared" si="12"/>
        <v>100</v>
      </c>
      <c r="T36" s="666" t="s">
        <v>14</v>
      </c>
      <c r="U36" s="667">
        <f t="shared" si="13"/>
        <v>100</v>
      </c>
      <c r="V36" s="666" t="s">
        <v>14</v>
      </c>
      <c r="W36" s="667">
        <f t="shared" si="14"/>
        <v>100</v>
      </c>
      <c r="X36" s="1264"/>
      <c r="Y36" s="3395"/>
      <c r="Z36" s="1263" t="str">
        <f t="shared" si="15"/>
        <v>公共部分装修</v>
      </c>
      <c r="AA36" s="1263">
        <f t="shared" si="3"/>
        <v>1</v>
      </c>
      <c r="AB36" s="1263">
        <f t="shared" si="4"/>
        <v>1</v>
      </c>
      <c r="AC36" s="1811">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90"/>
      <c r="M37" s="2485"/>
      <c r="N37" s="2485"/>
      <c r="O37" s="2485"/>
      <c r="P37" s="3393"/>
      <c r="Q37" s="1262" t="str">
        <f t="shared" si="11"/>
        <v>成新度</v>
      </c>
      <c r="R37" s="666" t="s">
        <v>14</v>
      </c>
      <c r="S37" s="667" t="e">
        <f t="shared" si="12"/>
        <v>#N/A</v>
      </c>
      <c r="T37" s="666" t="s">
        <v>14</v>
      </c>
      <c r="U37" s="667" t="e">
        <f t="shared" si="13"/>
        <v>#N/A</v>
      </c>
      <c r="V37" s="666" t="s">
        <v>14</v>
      </c>
      <c r="W37" s="667" t="e">
        <f t="shared" si="14"/>
        <v>#N/A</v>
      </c>
      <c r="X37" s="1264"/>
      <c r="Y37" s="3395"/>
      <c r="Z37" s="1263" t="str">
        <f t="shared" si="15"/>
        <v>成新度</v>
      </c>
      <c r="AA37" s="1263" t="e">
        <f t="shared" si="3"/>
        <v>#N/A</v>
      </c>
      <c r="AB37" s="1263" t="e">
        <f t="shared" si="4"/>
        <v>#N/A</v>
      </c>
      <c r="AC37" s="1811"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6"/>
      <c r="M38" s="2438"/>
      <c r="N38" s="2438"/>
      <c r="O38" s="2438"/>
      <c r="P38" s="3393"/>
      <c r="Q38" s="529" t="str">
        <f t="shared" si="11"/>
        <v>写字楼等级</v>
      </c>
      <c r="R38" s="663" t="s">
        <v>14</v>
      </c>
      <c r="S38" s="664">
        <f t="shared" si="12"/>
        <v>100</v>
      </c>
      <c r="T38" s="663" t="s">
        <v>14</v>
      </c>
      <c r="U38" s="664">
        <f t="shared" si="13"/>
        <v>100</v>
      </c>
      <c r="V38" s="663" t="s">
        <v>14</v>
      </c>
      <c r="W38" s="664">
        <f t="shared" si="14"/>
        <v>100</v>
      </c>
      <c r="X38" s="665"/>
      <c r="Y38" s="3395"/>
      <c r="Z38" s="50" t="str">
        <f t="shared" si="15"/>
        <v>写字楼等级</v>
      </c>
      <c r="AA38" s="50">
        <f t="shared" si="3"/>
        <v>1</v>
      </c>
      <c r="AB38" s="50">
        <f t="shared" si="4"/>
        <v>1</v>
      </c>
      <c r="AC38" s="801">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90"/>
      <c r="M39" s="2485"/>
      <c r="N39" s="2485"/>
      <c r="O39" s="2485"/>
      <c r="P39" s="3393" t="s">
        <v>1696</v>
      </c>
      <c r="Q39" s="1262" t="str">
        <f t="shared" si="11"/>
        <v>物业管理</v>
      </c>
      <c r="R39" s="666" t="s">
        <v>14</v>
      </c>
      <c r="S39" s="667">
        <f t="shared" si="12"/>
        <v>100</v>
      </c>
      <c r="T39" s="666" t="s">
        <v>14</v>
      </c>
      <c r="U39" s="667">
        <f t="shared" si="13"/>
        <v>100</v>
      </c>
      <c r="V39" s="666" t="s">
        <v>14</v>
      </c>
      <c r="W39" s="667">
        <f t="shared" si="14"/>
        <v>100</v>
      </c>
      <c r="X39" s="1264"/>
      <c r="Y39" s="3395" t="s">
        <v>1696</v>
      </c>
      <c r="Z39" s="1263" t="str">
        <f t="shared" si="15"/>
        <v>物业管理</v>
      </c>
      <c r="AA39" s="1263">
        <f t="shared" si="3"/>
        <v>1</v>
      </c>
      <c r="AB39" s="1263">
        <f t="shared" si="4"/>
        <v>1</v>
      </c>
      <c r="AC39" s="1811">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90"/>
      <c r="M40" s="2485"/>
      <c r="N40" s="2485"/>
      <c r="O40" s="2485"/>
      <c r="P40" s="3393"/>
      <c r="Q40" s="1262" t="str">
        <f t="shared" si="11"/>
        <v>市政基础设施</v>
      </c>
      <c r="R40" s="666" t="s">
        <v>14</v>
      </c>
      <c r="S40" s="667">
        <f t="shared" si="12"/>
        <v>100</v>
      </c>
      <c r="T40" s="666" t="s">
        <v>14</v>
      </c>
      <c r="U40" s="667">
        <f t="shared" si="13"/>
        <v>100</v>
      </c>
      <c r="V40" s="666" t="s">
        <v>14</v>
      </c>
      <c r="W40" s="667">
        <f t="shared" si="14"/>
        <v>100</v>
      </c>
      <c r="X40" s="1264"/>
      <c r="Y40" s="3395"/>
      <c r="Z40" s="1263" t="str">
        <f t="shared" si="15"/>
        <v>市政基础设施</v>
      </c>
      <c r="AA40" s="1263">
        <f t="shared" si="3"/>
        <v>1</v>
      </c>
      <c r="AB40" s="1263">
        <f t="shared" si="4"/>
        <v>1</v>
      </c>
      <c r="AC40" s="1811">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90"/>
      <c r="M41" s="2485"/>
      <c r="N41" s="2485"/>
      <c r="O41" s="2485"/>
      <c r="P41" s="3393"/>
      <c r="Q41" s="1262" t="str">
        <f t="shared" si="11"/>
        <v>层高</v>
      </c>
      <c r="R41" s="666" t="s">
        <v>14</v>
      </c>
      <c r="S41" s="667">
        <f t="shared" si="12"/>
        <v>100</v>
      </c>
      <c r="T41" s="666" t="s">
        <v>14</v>
      </c>
      <c r="U41" s="667">
        <f t="shared" si="13"/>
        <v>100</v>
      </c>
      <c r="V41" s="666" t="s">
        <v>14</v>
      </c>
      <c r="W41" s="667">
        <f t="shared" si="14"/>
        <v>100</v>
      </c>
      <c r="X41" s="1264"/>
      <c r="Y41" s="3395"/>
      <c r="Z41" s="1263" t="str">
        <f t="shared" si="15"/>
        <v>层高</v>
      </c>
      <c r="AA41" s="1263">
        <f t="shared" si="3"/>
        <v>1</v>
      </c>
      <c r="AB41" s="1263">
        <f t="shared" si="4"/>
        <v>1</v>
      </c>
      <c r="AC41" s="1811">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9"/>
      <c r="M42" s="2491"/>
      <c r="N42" s="2491"/>
      <c r="O42" s="2491"/>
      <c r="P42" s="3393"/>
      <c r="Q42" s="530" t="str">
        <f t="shared" si="11"/>
        <v>单套建筑面积</v>
      </c>
      <c r="R42" s="668" t="s">
        <v>14</v>
      </c>
      <c r="S42" s="669">
        <f t="shared" si="12"/>
        <v>100</v>
      </c>
      <c r="T42" s="668" t="s">
        <v>14</v>
      </c>
      <c r="U42" s="669">
        <f t="shared" si="13"/>
        <v>100</v>
      </c>
      <c r="V42" s="668" t="s">
        <v>14</v>
      </c>
      <c r="W42" s="669">
        <f t="shared" si="14"/>
        <v>100</v>
      </c>
      <c r="X42" s="670"/>
      <c r="Y42" s="3395"/>
      <c r="Z42" s="671" t="str">
        <f t="shared" si="15"/>
        <v>单套建筑面积</v>
      </c>
      <c r="AA42" s="1263">
        <f t="shared" si="3"/>
        <v>1</v>
      </c>
      <c r="AB42" s="1263">
        <f t="shared" si="4"/>
        <v>1</v>
      </c>
      <c r="AC42" s="1811">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90"/>
      <c r="M43" s="2485"/>
      <c r="N43" s="2485"/>
      <c r="O43" s="2485"/>
      <c r="P43" s="3393"/>
      <c r="Q43" s="1262" t="str">
        <f t="shared" si="11"/>
        <v>内部装修</v>
      </c>
      <c r="R43" s="666" t="s">
        <v>14</v>
      </c>
      <c r="S43" s="667">
        <f t="shared" si="12"/>
        <v>100</v>
      </c>
      <c r="T43" s="666" t="s">
        <v>14</v>
      </c>
      <c r="U43" s="667">
        <f t="shared" si="13"/>
        <v>100</v>
      </c>
      <c r="V43" s="666" t="s">
        <v>14</v>
      </c>
      <c r="W43" s="667">
        <f t="shared" si="14"/>
        <v>100</v>
      </c>
      <c r="X43" s="1264"/>
      <c r="Y43" s="3395"/>
      <c r="Z43" s="1263" t="str">
        <f t="shared" si="15"/>
        <v>内部装修</v>
      </c>
      <c r="AA43" s="1263">
        <f t="shared" si="3"/>
        <v>1</v>
      </c>
      <c r="AB43" s="1263">
        <f t="shared" si="4"/>
        <v>1</v>
      </c>
      <c r="AC43" s="1811">
        <f t="shared" si="5"/>
        <v>1</v>
      </c>
    </row>
    <row r="44" spans="1:29" ht="28.8">
      <c r="A44" s="408"/>
      <c r="B44" s="363" t="s">
        <v>1707</v>
      </c>
      <c r="C44" s="398"/>
      <c r="D44" s="373">
        <v>100</v>
      </c>
      <c r="E44" s="1759"/>
      <c r="F44" s="399">
        <f>SUMIF(125:125,E44,126:126)-SUMIF(125:125,C44,126:126)+100</f>
        <v>100</v>
      </c>
      <c r="G44" s="1759"/>
      <c r="H44" s="373">
        <f>SUMIF(125:125,G44,126:126)-SUMIF(125:125,C44,126:126)+100</f>
        <v>100</v>
      </c>
      <c r="I44" s="1759"/>
      <c r="J44" s="373">
        <f>SUMIF(125:125,I44,126:126)-SUMIF(125:125,C44,126:126)+100</f>
        <v>100</v>
      </c>
      <c r="K44" s="537"/>
      <c r="L44" s="2490"/>
      <c r="M44" s="2485"/>
      <c r="N44" s="2485"/>
      <c r="O44" s="2485"/>
      <c r="P44" s="3393"/>
      <c r="Q44" s="1262" t="str">
        <f t="shared" si="11"/>
        <v>内部装修维护情况</v>
      </c>
      <c r="R44" s="666" t="s">
        <v>14</v>
      </c>
      <c r="S44" s="667">
        <f t="shared" si="12"/>
        <v>100</v>
      </c>
      <c r="T44" s="666" t="s">
        <v>14</v>
      </c>
      <c r="U44" s="667">
        <f t="shared" si="13"/>
        <v>100</v>
      </c>
      <c r="V44" s="666" t="s">
        <v>14</v>
      </c>
      <c r="W44" s="667">
        <f t="shared" si="14"/>
        <v>100</v>
      </c>
      <c r="X44" s="1264"/>
      <c r="Y44" s="3395"/>
      <c r="Z44" s="1263" t="str">
        <f t="shared" si="15"/>
        <v>内部装修维护情况</v>
      </c>
      <c r="AA44" s="1263">
        <f t="shared" si="3"/>
        <v>1</v>
      </c>
      <c r="AB44" s="1263">
        <f t="shared" si="4"/>
        <v>1</v>
      </c>
      <c r="AC44" s="1811">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6"/>
      <c r="M45" s="2438"/>
      <c r="N45" s="2438"/>
      <c r="O45" s="2438"/>
      <c r="P45" s="3393"/>
      <c r="Q45" s="529">
        <f t="shared" si="11"/>
        <v>111</v>
      </c>
      <c r="R45" s="663" t="s">
        <v>14</v>
      </c>
      <c r="S45" s="664">
        <f t="shared" si="12"/>
        <v>100</v>
      </c>
      <c r="T45" s="663" t="s">
        <v>14</v>
      </c>
      <c r="U45" s="664">
        <f t="shared" si="13"/>
        <v>100</v>
      </c>
      <c r="V45" s="663" t="s">
        <v>14</v>
      </c>
      <c r="W45" s="664">
        <f t="shared" si="14"/>
        <v>100</v>
      </c>
      <c r="X45" s="665"/>
      <c r="Y45" s="3395"/>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0"/>
      <c r="M46" s="2485"/>
      <c r="N46" s="2485"/>
      <c r="O46" s="2485"/>
      <c r="P46" s="3393"/>
      <c r="Q46" s="1262">
        <f t="shared" si="11"/>
        <v>111</v>
      </c>
      <c r="R46" s="666" t="s">
        <v>14</v>
      </c>
      <c r="S46" s="667">
        <f t="shared" si="12"/>
        <v>100</v>
      </c>
      <c r="T46" s="666" t="s">
        <v>14</v>
      </c>
      <c r="U46" s="667">
        <f t="shared" si="13"/>
        <v>100</v>
      </c>
      <c r="V46" s="666" t="s">
        <v>14</v>
      </c>
      <c r="W46" s="667">
        <f t="shared" si="14"/>
        <v>100</v>
      </c>
      <c r="X46" s="1264"/>
      <c r="Y46" s="3395"/>
      <c r="Z46" s="1263">
        <f t="shared" si="15"/>
        <v>111</v>
      </c>
      <c r="AA46" s="1263">
        <f t="shared" si="3"/>
        <v>1</v>
      </c>
      <c r="AB46" s="1263">
        <f t="shared" si="4"/>
        <v>1</v>
      </c>
      <c r="AC46" s="1811">
        <f t="shared" si="5"/>
        <v>1</v>
      </c>
    </row>
    <row r="47" spans="1:29" ht="15.6"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0"/>
      <c r="M47" s="2485"/>
      <c r="N47" s="2485"/>
      <c r="O47" s="2485"/>
      <c r="P47" s="3394"/>
      <c r="Q47" s="1262">
        <f t="shared" si="11"/>
        <v>111</v>
      </c>
      <c r="R47" s="666" t="s">
        <v>14</v>
      </c>
      <c r="S47" s="667">
        <f t="shared" si="12"/>
        <v>100</v>
      </c>
      <c r="T47" s="666" t="s">
        <v>14</v>
      </c>
      <c r="U47" s="667">
        <f t="shared" si="13"/>
        <v>100</v>
      </c>
      <c r="V47" s="666" t="s">
        <v>14</v>
      </c>
      <c r="W47" s="667">
        <f t="shared" si="14"/>
        <v>100</v>
      </c>
      <c r="X47" s="1264"/>
      <c r="Y47" s="3396"/>
      <c r="Z47" s="1263">
        <f t="shared" si="15"/>
        <v>111</v>
      </c>
      <c r="AA47" s="1263">
        <f t="shared" si="3"/>
        <v>1</v>
      </c>
      <c r="AB47" s="1263">
        <f t="shared" si="4"/>
        <v>1</v>
      </c>
      <c r="AC47" s="1811">
        <f t="shared" si="5"/>
        <v>1</v>
      </c>
    </row>
    <row r="48" spans="1:29" ht="14.4">
      <c r="A48" s="415" t="s">
        <v>1708</v>
      </c>
      <c r="B48" s="416"/>
      <c r="C48" s="1080" t="s">
        <v>0</v>
      </c>
      <c r="D48" s="417"/>
      <c r="E48" s="418"/>
      <c r="F48" s="419"/>
      <c r="G48" s="420"/>
      <c r="H48" s="421"/>
      <c r="I48" s="418"/>
      <c r="J48" s="421"/>
      <c r="K48" s="673"/>
      <c r="L48" s="2492"/>
      <c r="M48" s="2485"/>
      <c r="N48" s="2485"/>
      <c r="O48" s="2485"/>
      <c r="P48" s="3397" t="str">
        <f>A48</f>
        <v>成交单价（元/平方米）</v>
      </c>
      <c r="Q48" s="3383"/>
      <c r="R48" s="3384">
        <f>E48</f>
        <v>0</v>
      </c>
      <c r="S48" s="3384"/>
      <c r="T48" s="3384">
        <f>G48</f>
        <v>0</v>
      </c>
      <c r="U48" s="3384"/>
      <c r="V48" s="3384">
        <f>I48</f>
        <v>0</v>
      </c>
      <c r="W48" s="3384"/>
      <c r="X48" s="384"/>
      <c r="Y48" s="672"/>
      <c r="Z48" s="384"/>
      <c r="AA48" s="384"/>
      <c r="AB48" s="384"/>
      <c r="AC48" s="554"/>
    </row>
    <row r="49" spans="1:29" ht="15" thickBot="1">
      <c r="A49" s="422" t="s">
        <v>1793</v>
      </c>
      <c r="B49" s="423"/>
      <c r="C49" s="1081" t="e">
        <f>R50</f>
        <v>#DIV/0!</v>
      </c>
      <c r="D49" s="2140" t="s">
        <v>2138</v>
      </c>
      <c r="E49" s="1082" t="e">
        <f>R49</f>
        <v>#DIV/0!</v>
      </c>
      <c r="F49" s="2141"/>
      <c r="G49" s="1081" t="e">
        <f>T49</f>
        <v>#DIV/0!</v>
      </c>
      <c r="H49" s="2141"/>
      <c r="I49" s="1082" t="e">
        <f>V49</f>
        <v>#DIV/0!</v>
      </c>
      <c r="J49" s="2141"/>
      <c r="K49" s="2143">
        <f>F49+H49+J49</f>
        <v>0</v>
      </c>
      <c r="L49" s="2492"/>
      <c r="M49" s="2485"/>
      <c r="N49" s="2485"/>
      <c r="O49" s="2485"/>
      <c r="P49" s="3397" t="str">
        <f>A49</f>
        <v>比较价值（元/平方米）</v>
      </c>
      <c r="Q49" s="3383"/>
      <c r="R49" s="3384" t="e">
        <f>IF(F1="售价",ROUND(PRODUCT(R48,AA7:AA47),0),ROUND(PRODUCT(R48,AA7:AA47),1))</f>
        <v>#DIV/0!</v>
      </c>
      <c r="S49" s="3384"/>
      <c r="T49" s="3384" t="e">
        <f>IF(F1="售价",ROUND(PRODUCT(T48,AB7:AB47),0),ROUND(PRODUCT(T48,AB7:AB47),1))</f>
        <v>#DIV/0!</v>
      </c>
      <c r="U49" s="3384"/>
      <c r="V49" s="3384" t="e">
        <f>IF(F1="售价",ROUND(PRODUCT(V48,AC7:AC47),0),ROUND(PRODUCT(V48,AC7:AC47),1))</f>
        <v>#DIV/0!</v>
      </c>
      <c r="W49" s="3384"/>
      <c r="X49" s="384"/>
      <c r="Y49" s="384"/>
      <c r="Z49" s="384"/>
      <c r="AA49" s="384"/>
      <c r="AB49" s="384"/>
      <c r="AC49" s="554"/>
    </row>
    <row r="50" spans="1:29" ht="15" thickBot="1">
      <c r="A50" s="426" t="s">
        <v>1794</v>
      </c>
      <c r="B50" s="427"/>
      <c r="C50" s="350" t="e">
        <f>R50</f>
        <v>#DIV/0!</v>
      </c>
      <c r="D50" s="350"/>
      <c r="E50" s="350"/>
      <c r="F50" s="350"/>
      <c r="G50" s="350"/>
      <c r="H50" s="350"/>
      <c r="I50" s="350"/>
      <c r="J50" s="428"/>
      <c r="K50" s="674"/>
      <c r="L50" s="2492"/>
      <c r="M50" s="2485"/>
      <c r="N50" s="2485"/>
      <c r="O50" s="2485"/>
      <c r="P50" s="3450" t="str">
        <f>A50</f>
        <v>估价对象XX用房的比较价值（楼面单价，元/平方米）</v>
      </c>
      <c r="Q50" s="3451"/>
      <c r="R50" s="3452" t="e">
        <f>IF(F1="售价",ROUND(IF(D49="简单平均",AVERAGE(R49:V49),R49*F49+T49*H49+V49*J49),0),ROUND(IF(D49="简单平均",AVERAGE(R49:V49),R49*F49+T49*H49+V49*J49),1))</f>
        <v>#DIV/0!</v>
      </c>
      <c r="S50" s="3452"/>
      <c r="T50" s="3452"/>
      <c r="U50" s="3452"/>
      <c r="V50" s="3452"/>
      <c r="W50" s="3452"/>
      <c r="X50" s="1797"/>
      <c r="Y50" s="1797"/>
      <c r="Z50" s="1797"/>
      <c r="AA50" s="1797"/>
      <c r="AB50" s="1797"/>
      <c r="AC50" s="1798"/>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6" customFormat="1" ht="13.5" customHeight="1">
      <c r="A55" s="2495"/>
      <c r="B55" s="2495"/>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6"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7" t="s">
        <v>1798</v>
      </c>
      <c r="B58" s="384"/>
      <c r="C58" s="658"/>
      <c r="D58" s="658"/>
      <c r="E58" s="658"/>
      <c r="F58" s="659"/>
      <c r="G58" s="659"/>
      <c r="H58" s="658"/>
      <c r="I58" s="658"/>
      <c r="J58" s="658"/>
      <c r="K58" s="660"/>
      <c r="L58" s="887"/>
      <c r="M58" s="885"/>
      <c r="N58" s="2535"/>
      <c r="O58" s="2535"/>
      <c r="P58" s="2524"/>
      <c r="Q58" s="2506"/>
      <c r="R58" s="2485"/>
      <c r="S58" s="2485"/>
      <c r="T58" s="2485"/>
      <c r="U58" s="2485"/>
      <c r="V58" s="2485"/>
      <c r="W58" s="2485"/>
      <c r="X58" s="2485"/>
      <c r="Y58" s="2485"/>
      <c r="Z58" s="2485"/>
      <c r="AA58" s="2485"/>
      <c r="AB58" s="2485"/>
      <c r="AC58" s="2485"/>
    </row>
    <row r="59" spans="1:29" s="441" customFormat="1" ht="14.4">
      <c r="A59" s="439" t="s">
        <v>1679</v>
      </c>
      <c r="B59" s="440"/>
      <c r="C59" s="1102" t="str">
        <f>YEAR(C7)&amp;"-"&amp;MONTH(C7)</f>
        <v>2024-9</v>
      </c>
      <c r="D59" s="1103">
        <f>EDATE(C59,-1)</f>
        <v>45505</v>
      </c>
      <c r="E59" s="1103">
        <f>EDATE(D59,-1)</f>
        <v>45474</v>
      </c>
      <c r="F59" s="1103">
        <f t="shared" ref="F59:O59" si="16">EDATE(E59,-1)</f>
        <v>45444</v>
      </c>
      <c r="G59" s="1103">
        <f t="shared" si="16"/>
        <v>45413</v>
      </c>
      <c r="H59" s="1103">
        <f t="shared" si="16"/>
        <v>45383</v>
      </c>
      <c r="I59" s="1103">
        <f t="shared" si="16"/>
        <v>45352</v>
      </c>
      <c r="J59" s="1103">
        <f t="shared" si="16"/>
        <v>45323</v>
      </c>
      <c r="K59" s="1103">
        <f t="shared" si="16"/>
        <v>45292</v>
      </c>
      <c r="L59" s="1103">
        <f t="shared" si="16"/>
        <v>45261</v>
      </c>
      <c r="M59" s="1103">
        <f t="shared" si="16"/>
        <v>45231</v>
      </c>
      <c r="N59" s="1103">
        <f t="shared" si="16"/>
        <v>45200</v>
      </c>
      <c r="O59" s="1103">
        <f t="shared" si="16"/>
        <v>45170</v>
      </c>
      <c r="P59" s="2525"/>
      <c r="Q59" s="2508"/>
      <c r="R59" s="2508"/>
      <c r="S59" s="2508"/>
      <c r="T59" s="2508"/>
      <c r="U59" s="2508"/>
      <c r="V59" s="2508"/>
      <c r="W59" s="2508"/>
      <c r="X59" s="2508"/>
      <c r="Y59" s="2508"/>
      <c r="Z59" s="2508"/>
      <c r="AA59" s="2508"/>
      <c r="AB59" s="2508"/>
      <c r="AC59" s="2508"/>
    </row>
    <row r="60" spans="1:29" s="101" customFormat="1">
      <c r="A60" s="442"/>
      <c r="B60" s="443"/>
      <c r="C60" s="1101">
        <v>100</v>
      </c>
      <c r="D60" s="445"/>
      <c r="E60" s="445"/>
      <c r="F60" s="445"/>
      <c r="G60" s="445"/>
      <c r="H60" s="445"/>
      <c r="I60" s="445"/>
      <c r="J60" s="445"/>
      <c r="K60" s="445"/>
      <c r="L60" s="445"/>
      <c r="M60" s="446"/>
      <c r="N60" s="445"/>
      <c r="O60" s="446"/>
      <c r="P60" s="2526"/>
      <c r="Q60" s="2438"/>
      <c r="R60" s="2438"/>
      <c r="S60" s="2438"/>
      <c r="T60" s="2438"/>
      <c r="U60" s="2438"/>
      <c r="V60" s="2438"/>
      <c r="W60" s="2438"/>
      <c r="X60" s="2438"/>
      <c r="Y60" s="2438"/>
      <c r="Z60" s="2438"/>
      <c r="AA60" s="2438"/>
      <c r="AB60" s="2438"/>
      <c r="AC60" s="2438"/>
    </row>
    <row r="61" spans="1:29" s="101" customFormat="1" ht="15" thickBot="1">
      <c r="A61" s="448" t="s">
        <v>1716</v>
      </c>
      <c r="B61" s="449"/>
      <c r="C61" s="450"/>
      <c r="D61" s="451"/>
      <c r="E61" s="451"/>
      <c r="F61" s="451"/>
      <c r="G61" s="451"/>
      <c r="H61" s="451"/>
      <c r="I61" s="451"/>
      <c r="J61" s="451"/>
      <c r="K61" s="451"/>
      <c r="L61" s="451"/>
      <c r="M61" s="452"/>
      <c r="N61" s="451"/>
      <c r="O61" s="452"/>
      <c r="P61" s="2526"/>
      <c r="Q61" s="2506"/>
      <c r="R61" s="2438"/>
      <c r="S61" s="2438"/>
      <c r="T61" s="2438"/>
      <c r="U61" s="2438"/>
      <c r="V61" s="2438"/>
      <c r="W61" s="2438"/>
      <c r="X61" s="2438"/>
      <c r="Y61" s="2438"/>
      <c r="Z61" s="2438"/>
      <c r="AA61" s="2438"/>
      <c r="AB61" s="2438"/>
      <c r="AC61" s="2438"/>
    </row>
    <row r="62" spans="1:29" s="101" customFormat="1" ht="14.4">
      <c r="A62" s="454" t="s">
        <v>1681</v>
      </c>
      <c r="B62" s="443"/>
      <c r="C62" s="455" t="s">
        <v>1776</v>
      </c>
      <c r="D62" s="31"/>
      <c r="E62" s="31"/>
      <c r="F62" s="31"/>
      <c r="G62" s="31"/>
      <c r="H62" s="31"/>
      <c r="I62" s="31"/>
      <c r="J62" s="31"/>
      <c r="K62" s="31"/>
      <c r="L62" s="456"/>
      <c r="M62" s="457"/>
      <c r="N62" s="2518"/>
      <c r="O62" s="2518"/>
      <c r="P62" s="2527"/>
      <c r="Q62" s="2506"/>
      <c r="R62" s="2438"/>
      <c r="S62" s="2438"/>
      <c r="T62" s="2438"/>
      <c r="U62" s="2438"/>
      <c r="V62" s="2438"/>
      <c r="W62" s="2438"/>
      <c r="X62" s="2438"/>
      <c r="Y62" s="2438"/>
      <c r="Z62" s="2438"/>
      <c r="AA62" s="2438"/>
      <c r="AB62" s="2438"/>
      <c r="AC62" s="2438"/>
    </row>
    <row r="63" spans="1:29" s="101" customFormat="1" ht="14.4" thickBot="1">
      <c r="A63" s="454"/>
      <c r="B63" s="443"/>
      <c r="C63" s="444">
        <v>100</v>
      </c>
      <c r="D63" s="445"/>
      <c r="E63" s="445"/>
      <c r="F63" s="445"/>
      <c r="G63" s="445"/>
      <c r="H63" s="445"/>
      <c r="I63" s="445"/>
      <c r="J63" s="445"/>
      <c r="K63" s="445"/>
      <c r="L63" s="445"/>
      <c r="M63" s="447"/>
      <c r="N63" s="2518"/>
      <c r="O63" s="2518"/>
      <c r="P63" s="2526"/>
      <c r="Q63" s="2506"/>
      <c r="R63" s="2438"/>
      <c r="S63" s="2438"/>
      <c r="T63" s="2438"/>
      <c r="U63" s="2438"/>
      <c r="V63" s="2438"/>
      <c r="W63" s="2438"/>
      <c r="X63" s="2438"/>
      <c r="Y63" s="2438"/>
      <c r="Z63" s="2438"/>
      <c r="AA63" s="2438"/>
      <c r="AB63" s="2438"/>
      <c r="AC63" s="2438"/>
    </row>
    <row r="64" spans="1:29" ht="14.4">
      <c r="A64" s="378" t="s">
        <v>1719</v>
      </c>
      <c r="B64" s="459" t="s">
        <v>1685</v>
      </c>
      <c r="C64" s="460">
        <f>C9</f>
        <v>0</v>
      </c>
      <c r="D64" s="461"/>
      <c r="E64" s="461"/>
      <c r="F64" s="461"/>
      <c r="G64" s="461"/>
      <c r="H64" s="461"/>
      <c r="I64" s="461"/>
      <c r="J64" s="461"/>
      <c r="K64" s="462"/>
      <c r="L64" s="463"/>
      <c r="M64" s="464"/>
      <c r="N64" s="2519"/>
      <c r="O64" s="2519"/>
      <c r="P64" s="2528"/>
      <c r="Q64" s="2506"/>
      <c r="R64" s="2485"/>
      <c r="S64" s="2485"/>
      <c r="T64" s="2485"/>
      <c r="U64" s="2485"/>
      <c r="V64" s="2485"/>
      <c r="W64" s="2485"/>
      <c r="X64" s="2485"/>
      <c r="Y64" s="2485"/>
      <c r="Z64" s="2485"/>
      <c r="AA64" s="2485"/>
      <c r="AB64" s="2485"/>
      <c r="AC64" s="2485"/>
    </row>
    <row r="65" spans="1:29" ht="14.4" thickBot="1">
      <c r="A65" s="366"/>
      <c r="B65" s="465"/>
      <c r="C65" s="466">
        <v>100</v>
      </c>
      <c r="D65" s="466"/>
      <c r="E65" s="466"/>
      <c r="F65" s="466"/>
      <c r="G65" s="466"/>
      <c r="H65" s="466"/>
      <c r="I65" s="466"/>
      <c r="J65" s="466"/>
      <c r="K65" s="466"/>
      <c r="L65" s="466"/>
      <c r="M65" s="467"/>
      <c r="N65" s="2520"/>
      <c r="O65" s="2520"/>
      <c r="P65" s="2528"/>
      <c r="Q65" s="2506"/>
      <c r="R65" s="2485"/>
      <c r="S65" s="2485"/>
      <c r="T65" s="2485"/>
      <c r="U65" s="2485"/>
      <c r="V65" s="2485"/>
      <c r="W65" s="2485"/>
      <c r="X65" s="2485"/>
      <c r="Y65" s="2485"/>
      <c r="Z65" s="2485"/>
      <c r="AA65" s="2485"/>
      <c r="AB65" s="2485"/>
      <c r="AC65" s="2485"/>
    </row>
    <row r="66" spans="1:29" ht="29.4" thickTop="1">
      <c r="A66" s="366"/>
      <c r="B66" s="468" t="s">
        <v>1688</v>
      </c>
      <c r="C66" s="512"/>
      <c r="D66" s="512"/>
      <c r="E66" s="512"/>
      <c r="F66" s="512"/>
      <c r="G66" s="512"/>
      <c r="H66" s="512"/>
      <c r="I66" s="512"/>
      <c r="J66" s="512"/>
      <c r="K66" s="513"/>
      <c r="L66" s="514"/>
      <c r="M66" s="515"/>
      <c r="N66" s="2519"/>
      <c r="O66" s="2519"/>
      <c r="P66" s="2528"/>
      <c r="Q66" s="2506"/>
      <c r="R66" s="2485"/>
      <c r="S66" s="2485"/>
      <c r="T66" s="2485"/>
      <c r="U66" s="2485"/>
      <c r="V66" s="2485"/>
      <c r="W66" s="2485"/>
      <c r="X66" s="2485"/>
      <c r="Y66" s="2485"/>
      <c r="Z66" s="2485"/>
      <c r="AA66" s="2485"/>
      <c r="AB66" s="2485"/>
      <c r="AC66" s="2485"/>
    </row>
    <row r="67" spans="1:29" ht="14.4" thickBot="1">
      <c r="A67" s="366"/>
      <c r="B67" s="473"/>
      <c r="C67" s="466"/>
      <c r="D67" s="466"/>
      <c r="E67" s="466"/>
      <c r="F67" s="466"/>
      <c r="G67" s="466"/>
      <c r="H67" s="466"/>
      <c r="I67" s="466"/>
      <c r="J67" s="466"/>
      <c r="K67" s="466"/>
      <c r="L67" s="466"/>
      <c r="M67" s="467"/>
      <c r="N67" s="2520"/>
      <c r="O67" s="2520"/>
      <c r="P67" s="2528"/>
      <c r="Q67" s="2506"/>
      <c r="R67" s="2485"/>
      <c r="S67" s="2485"/>
      <c r="T67" s="2485"/>
      <c r="U67" s="2485"/>
      <c r="V67" s="2485"/>
      <c r="W67" s="2485"/>
      <c r="X67" s="2485"/>
      <c r="Y67" s="2485"/>
      <c r="Z67" s="2485"/>
      <c r="AA67" s="2485"/>
      <c r="AB67" s="2485"/>
      <c r="AC67" s="2485"/>
    </row>
    <row r="68" spans="1:29" ht="1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20"/>
      <c r="O68" s="2520"/>
      <c r="P68" s="2528"/>
      <c r="Q68" s="2506"/>
      <c r="R68" s="2485"/>
      <c r="S68" s="2485"/>
      <c r="T68" s="2485"/>
      <c r="U68" s="2485"/>
      <c r="V68" s="2485"/>
      <c r="W68" s="2485"/>
      <c r="X68" s="2485"/>
      <c r="Y68" s="2485"/>
      <c r="Z68" s="2485"/>
      <c r="AA68" s="2485"/>
      <c r="AB68" s="2485"/>
      <c r="AC68" s="2485"/>
    </row>
    <row r="69" spans="1:29">
      <c r="A69" s="366"/>
      <c r="B69" s="478"/>
      <c r="C69" s="479">
        <v>0</v>
      </c>
      <c r="D69" s="479">
        <v>3</v>
      </c>
      <c r="E69" s="479"/>
      <c r="F69" s="479"/>
      <c r="G69" s="479"/>
      <c r="H69" s="479"/>
      <c r="I69" s="479"/>
      <c r="J69" s="479"/>
      <c r="K69" s="480"/>
      <c r="L69" s="481"/>
      <c r="M69" s="482"/>
      <c r="N69" s="2519"/>
      <c r="O69" s="2519"/>
      <c r="P69" s="2528"/>
      <c r="Q69" s="2506"/>
      <c r="R69" s="2485"/>
      <c r="S69" s="2485"/>
      <c r="T69" s="2485"/>
      <c r="U69" s="2485"/>
      <c r="V69" s="2485"/>
      <c r="W69" s="2485"/>
      <c r="X69" s="2485"/>
      <c r="Y69" s="2485"/>
      <c r="Z69" s="2485"/>
      <c r="AA69" s="2485"/>
      <c r="AB69" s="2485"/>
      <c r="AC69" s="2485"/>
    </row>
    <row r="70" spans="1:29" ht="14.4"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20"/>
      <c r="O70" s="2520"/>
      <c r="P70" s="2528"/>
      <c r="Q70" s="2506"/>
      <c r="R70" s="2485"/>
      <c r="S70" s="2485"/>
      <c r="T70" s="2485"/>
      <c r="U70" s="2485"/>
      <c r="V70" s="2485"/>
      <c r="W70" s="2485"/>
      <c r="X70" s="2485"/>
      <c r="Y70" s="2485"/>
      <c r="Z70" s="2485"/>
      <c r="AA70" s="2485"/>
      <c r="AB70" s="2485"/>
      <c r="AC70" s="2485"/>
    </row>
    <row r="71" spans="1:29" s="407" customFormat="1" ht="14.4" thickTop="1">
      <c r="A71" s="483"/>
      <c r="B71" s="468">
        <f>B12</f>
        <v>111</v>
      </c>
      <c r="C71" s="484"/>
      <c r="D71" s="484"/>
      <c r="E71" s="484"/>
      <c r="F71" s="484"/>
      <c r="G71" s="484"/>
      <c r="H71" s="485"/>
      <c r="I71" s="485"/>
      <c r="J71" s="485"/>
      <c r="K71" s="485"/>
      <c r="L71" s="486"/>
      <c r="M71" s="487"/>
      <c r="N71" s="2521"/>
      <c r="O71" s="2521"/>
      <c r="P71" s="2529"/>
      <c r="Q71" s="2513"/>
      <c r="R71" s="2491"/>
      <c r="S71" s="2491"/>
      <c r="T71" s="2491"/>
      <c r="U71" s="2491"/>
      <c r="V71" s="2491"/>
      <c r="W71" s="2491"/>
      <c r="X71" s="2491"/>
      <c r="Y71" s="2491"/>
      <c r="Z71" s="2491"/>
      <c r="AA71" s="2491"/>
      <c r="AB71" s="2491"/>
      <c r="AC71" s="2491"/>
    </row>
    <row r="72" spans="1:29" s="407" customFormat="1" ht="14.4" thickBot="1">
      <c r="A72" s="483"/>
      <c r="B72" s="473"/>
      <c r="C72" s="490"/>
      <c r="D72" s="466"/>
      <c r="E72" s="466"/>
      <c r="F72" s="466"/>
      <c r="G72" s="466"/>
      <c r="H72" s="466"/>
      <c r="I72" s="466"/>
      <c r="J72" s="466"/>
      <c r="K72" s="466"/>
      <c r="L72" s="466"/>
      <c r="M72" s="467"/>
      <c r="N72" s="2520"/>
      <c r="O72" s="2520"/>
      <c r="P72" s="2529"/>
      <c r="Q72" s="2513"/>
      <c r="R72" s="2491"/>
      <c r="S72" s="2491"/>
      <c r="T72" s="2491"/>
      <c r="U72" s="2491"/>
      <c r="V72" s="2491"/>
      <c r="W72" s="2491"/>
      <c r="X72" s="2491"/>
      <c r="Y72" s="2491"/>
      <c r="Z72" s="2491"/>
      <c r="AA72" s="2491"/>
      <c r="AB72" s="2491"/>
      <c r="AC72" s="2491"/>
    </row>
    <row r="73" spans="1:29" s="407" customFormat="1" ht="14.4" thickTop="1">
      <c r="A73" s="483"/>
      <c r="B73" s="468">
        <f>B13</f>
        <v>111</v>
      </c>
      <c r="C73" s="484"/>
      <c r="D73" s="484"/>
      <c r="E73" s="484"/>
      <c r="F73" s="484"/>
      <c r="G73" s="484"/>
      <c r="H73" s="485"/>
      <c r="I73" s="485"/>
      <c r="J73" s="485"/>
      <c r="K73" s="485"/>
      <c r="L73" s="486"/>
      <c r="M73" s="487"/>
      <c r="N73" s="2521"/>
      <c r="O73" s="2521"/>
      <c r="P73" s="2530"/>
      <c r="Q73" s="2515"/>
      <c r="R73" s="2491"/>
      <c r="S73" s="2491"/>
      <c r="T73" s="2491"/>
      <c r="U73" s="2491"/>
      <c r="V73" s="2491"/>
      <c r="W73" s="2491"/>
      <c r="X73" s="2491"/>
      <c r="Y73" s="2491"/>
      <c r="Z73" s="2491"/>
      <c r="AA73" s="2491"/>
      <c r="AB73" s="2491"/>
      <c r="AC73" s="2491"/>
    </row>
    <row r="74" spans="1:29" s="407" customFormat="1" ht="14.4" thickBot="1">
      <c r="A74" s="483"/>
      <c r="B74" s="473"/>
      <c r="C74" s="490"/>
      <c r="D74" s="490"/>
      <c r="E74" s="490"/>
      <c r="F74" s="490"/>
      <c r="G74" s="490"/>
      <c r="H74" s="492"/>
      <c r="I74" s="492"/>
      <c r="J74" s="492"/>
      <c r="K74" s="492"/>
      <c r="L74" s="492"/>
      <c r="M74" s="493"/>
      <c r="N74" s="2521"/>
      <c r="O74" s="2521"/>
      <c r="P74" s="2529"/>
      <c r="Q74" s="2513"/>
      <c r="R74" s="2491"/>
      <c r="S74" s="2491"/>
      <c r="T74" s="2491"/>
      <c r="U74" s="2491"/>
      <c r="V74" s="2491"/>
      <c r="W74" s="2491"/>
      <c r="X74" s="2491"/>
      <c r="Y74" s="2491"/>
      <c r="Z74" s="2491"/>
      <c r="AA74" s="2491"/>
      <c r="AB74" s="2491"/>
      <c r="AC74" s="2491"/>
    </row>
    <row r="75" spans="1:29" s="407" customFormat="1" ht="14.4" thickTop="1">
      <c r="A75" s="483"/>
      <c r="B75" s="476">
        <f>B14</f>
        <v>111</v>
      </c>
      <c r="C75" s="31"/>
      <c r="D75" s="31"/>
      <c r="E75" s="31"/>
      <c r="F75" s="31"/>
      <c r="G75" s="31"/>
      <c r="H75" s="494"/>
      <c r="I75" s="494"/>
      <c r="J75" s="494"/>
      <c r="K75" s="494"/>
      <c r="L75" s="495"/>
      <c r="M75" s="496"/>
      <c r="N75" s="2521"/>
      <c r="O75" s="2521"/>
      <c r="P75" s="2531"/>
      <c r="Q75" s="2513"/>
      <c r="R75" s="2491"/>
      <c r="S75" s="2491"/>
      <c r="T75" s="2491"/>
      <c r="U75" s="2491"/>
      <c r="V75" s="2491"/>
      <c r="W75" s="2491"/>
      <c r="X75" s="2491"/>
      <c r="Y75" s="2491"/>
      <c r="Z75" s="2491"/>
      <c r="AA75" s="2491"/>
      <c r="AB75" s="2491"/>
      <c r="AC75" s="2491"/>
    </row>
    <row r="76" spans="1:29" s="407" customFormat="1" ht="14.4" thickBot="1">
      <c r="A76" s="498"/>
      <c r="B76" s="499"/>
      <c r="C76" s="500"/>
      <c r="D76" s="500"/>
      <c r="E76" s="500"/>
      <c r="F76" s="500"/>
      <c r="G76" s="500"/>
      <c r="H76" s="501"/>
      <c r="I76" s="501"/>
      <c r="J76" s="501"/>
      <c r="K76" s="501"/>
      <c r="L76" s="501"/>
      <c r="M76" s="502"/>
      <c r="N76" s="2521"/>
      <c r="O76" s="2521"/>
      <c r="P76" s="2529"/>
      <c r="Q76" s="2513"/>
      <c r="R76" s="2491"/>
      <c r="S76" s="2491"/>
      <c r="T76" s="2491"/>
      <c r="U76" s="2491"/>
      <c r="V76" s="2491"/>
      <c r="W76" s="2491"/>
      <c r="X76" s="2491"/>
      <c r="Y76" s="2491"/>
      <c r="Z76" s="2491"/>
      <c r="AA76" s="2491"/>
      <c r="AB76" s="2491"/>
      <c r="AC76" s="2491"/>
    </row>
    <row r="77" spans="1:29" ht="14.4">
      <c r="A77" s="378" t="s">
        <v>1690</v>
      </c>
      <c r="B77" s="459" t="s">
        <v>1821</v>
      </c>
      <c r="C77" s="503" t="s">
        <v>1721</v>
      </c>
      <c r="D77" s="503" t="s">
        <v>1722</v>
      </c>
      <c r="E77" s="503" t="s">
        <v>1723</v>
      </c>
      <c r="F77" s="503" t="s">
        <v>1724</v>
      </c>
      <c r="G77" s="503" t="s">
        <v>1725</v>
      </c>
      <c r="H77" s="460"/>
      <c r="I77" s="460"/>
      <c r="J77" s="460"/>
      <c r="K77" s="504"/>
      <c r="L77" s="505"/>
      <c r="M77" s="506"/>
      <c r="N77" s="2519"/>
      <c r="O77" s="2519"/>
      <c r="P77" s="2532"/>
      <c r="Q77" s="2506"/>
      <c r="R77" s="2485"/>
      <c r="S77" s="2485"/>
      <c r="T77" s="2485"/>
      <c r="U77" s="2485"/>
      <c r="V77" s="2485"/>
      <c r="W77" s="2485"/>
      <c r="X77" s="2485"/>
      <c r="Y77" s="2485"/>
      <c r="Z77" s="2485"/>
      <c r="AA77" s="2485"/>
      <c r="AB77" s="2485"/>
      <c r="AC77" s="2485"/>
    </row>
    <row r="78" spans="1:29" ht="14.4" thickBot="1">
      <c r="A78" s="366"/>
      <c r="B78" s="473"/>
      <c r="C78" s="474">
        <v>100</v>
      </c>
      <c r="D78" s="474">
        <f>C78-$K15</f>
        <v>100</v>
      </c>
      <c r="E78" s="474">
        <f>D78-$K15</f>
        <v>100</v>
      </c>
      <c r="F78" s="474">
        <f>E78-$K15</f>
        <v>100</v>
      </c>
      <c r="G78" s="474">
        <f>F78-$K15</f>
        <v>100</v>
      </c>
      <c r="H78" s="474"/>
      <c r="I78" s="474"/>
      <c r="J78" s="474"/>
      <c r="K78" s="474"/>
      <c r="L78" s="474"/>
      <c r="M78" s="475"/>
      <c r="N78" s="2520"/>
      <c r="O78" s="2520"/>
      <c r="P78" s="2528"/>
      <c r="Q78" s="2506"/>
      <c r="R78" s="2485"/>
      <c r="S78" s="2485"/>
      <c r="T78" s="2485"/>
      <c r="U78" s="2485"/>
      <c r="V78" s="2485"/>
      <c r="W78" s="2485"/>
      <c r="X78" s="2485"/>
      <c r="Y78" s="2485"/>
      <c r="Z78" s="2485"/>
      <c r="AA78" s="2485"/>
      <c r="AB78" s="2485"/>
      <c r="AC78" s="2485"/>
    </row>
    <row r="79" spans="1:29" ht="15" thickTop="1">
      <c r="A79" s="366"/>
      <c r="B79" s="468" t="s">
        <v>1726</v>
      </c>
      <c r="C79" s="508" t="s">
        <v>1721</v>
      </c>
      <c r="D79" s="508" t="s">
        <v>1722</v>
      </c>
      <c r="E79" s="508" t="s">
        <v>1723</v>
      </c>
      <c r="F79" s="508" t="s">
        <v>1724</v>
      </c>
      <c r="G79" s="508" t="s">
        <v>1725</v>
      </c>
      <c r="H79" s="469"/>
      <c r="I79" s="469"/>
      <c r="J79" s="469"/>
      <c r="K79" s="470"/>
      <c r="L79" s="471"/>
      <c r="M79" s="472"/>
      <c r="N79" s="2519"/>
      <c r="O79" s="2519"/>
      <c r="P79" s="2528"/>
      <c r="Q79" s="2506"/>
      <c r="R79" s="2485"/>
      <c r="S79" s="2485"/>
      <c r="T79" s="2485"/>
      <c r="U79" s="2485"/>
      <c r="V79" s="2485"/>
      <c r="W79" s="2485"/>
      <c r="X79" s="2485"/>
      <c r="Y79" s="2485"/>
      <c r="Z79" s="2485"/>
      <c r="AA79" s="2485"/>
      <c r="AB79" s="2485"/>
      <c r="AC79" s="2485"/>
    </row>
    <row r="80" spans="1:29" ht="14.4" thickBot="1">
      <c r="A80" s="366"/>
      <c r="B80" s="473"/>
      <c r="C80" s="474">
        <v>100</v>
      </c>
      <c r="D80" s="474">
        <f>C80-$K17</f>
        <v>100</v>
      </c>
      <c r="E80" s="474">
        <f>D80-$K17</f>
        <v>100</v>
      </c>
      <c r="F80" s="474">
        <f>E80-$K17</f>
        <v>100</v>
      </c>
      <c r="G80" s="474">
        <f>F80-$K17</f>
        <v>100</v>
      </c>
      <c r="H80" s="474"/>
      <c r="I80" s="474"/>
      <c r="J80" s="474"/>
      <c r="K80" s="474"/>
      <c r="L80" s="474"/>
      <c r="M80" s="475"/>
      <c r="N80" s="2520"/>
      <c r="O80" s="2520"/>
      <c r="P80" s="2528"/>
      <c r="Q80" s="2506"/>
      <c r="R80" s="2485"/>
      <c r="S80" s="2485"/>
      <c r="T80" s="2485"/>
      <c r="U80" s="2485"/>
      <c r="V80" s="2485"/>
      <c r="W80" s="2485"/>
      <c r="X80" s="2485"/>
      <c r="Y80" s="2485"/>
      <c r="Z80" s="2485"/>
      <c r="AA80" s="2485"/>
      <c r="AB80" s="2485"/>
      <c r="AC80" s="2485"/>
    </row>
    <row r="81" spans="1:29" ht="15" thickTop="1">
      <c r="A81" s="366"/>
      <c r="B81" s="468" t="s">
        <v>1727</v>
      </c>
      <c r="C81" s="508" t="s">
        <v>1721</v>
      </c>
      <c r="D81" s="508" t="s">
        <v>1722</v>
      </c>
      <c r="E81" s="508" t="s">
        <v>1723</v>
      </c>
      <c r="F81" s="508" t="s">
        <v>1724</v>
      </c>
      <c r="G81" s="508" t="s">
        <v>1725</v>
      </c>
      <c r="H81" s="469"/>
      <c r="I81" s="469"/>
      <c r="J81" s="469"/>
      <c r="K81" s="470"/>
      <c r="L81" s="471"/>
      <c r="M81" s="472"/>
      <c r="N81" s="2519"/>
      <c r="O81" s="2519"/>
      <c r="P81" s="2528"/>
      <c r="Q81" s="2506"/>
      <c r="R81" s="2485"/>
      <c r="S81" s="2485"/>
      <c r="T81" s="2485"/>
      <c r="U81" s="2485"/>
      <c r="V81" s="2485"/>
      <c r="W81" s="2485"/>
      <c r="X81" s="2485"/>
      <c r="Y81" s="2485"/>
      <c r="Z81" s="2485"/>
      <c r="AA81" s="2485"/>
      <c r="AB81" s="2485"/>
      <c r="AC81" s="2485"/>
    </row>
    <row r="82" spans="1:29" ht="14.4" thickBot="1">
      <c r="A82" s="366"/>
      <c r="B82" s="473"/>
      <c r="C82" s="474">
        <v>100</v>
      </c>
      <c r="D82" s="474">
        <f>C82-$K19</f>
        <v>100</v>
      </c>
      <c r="E82" s="474">
        <f>D82-$K19</f>
        <v>100</v>
      </c>
      <c r="F82" s="474">
        <f>E82-$K19</f>
        <v>100</v>
      </c>
      <c r="G82" s="474">
        <f>F82-$K19</f>
        <v>100</v>
      </c>
      <c r="H82" s="474"/>
      <c r="I82" s="474"/>
      <c r="J82" s="474"/>
      <c r="K82" s="474"/>
      <c r="L82" s="474"/>
      <c r="M82" s="475"/>
      <c r="N82" s="2520"/>
      <c r="O82" s="2520"/>
      <c r="P82" s="2528"/>
      <c r="Q82" s="2506"/>
      <c r="R82" s="2485"/>
      <c r="S82" s="2485"/>
      <c r="T82" s="2485"/>
      <c r="U82" s="2485"/>
      <c r="V82" s="2485"/>
      <c r="W82" s="2485"/>
      <c r="X82" s="2485"/>
      <c r="Y82" s="2485"/>
      <c r="Z82" s="2485"/>
      <c r="AA82" s="2485"/>
      <c r="AB82" s="2485"/>
      <c r="AC82" s="2485"/>
    </row>
    <row r="83" spans="1:29" ht="15" thickTop="1">
      <c r="A83" s="366"/>
      <c r="B83" s="476" t="s">
        <v>1813</v>
      </c>
      <c r="C83" s="580" t="s">
        <v>1799</v>
      </c>
      <c r="D83" s="580" t="s">
        <v>1800</v>
      </c>
      <c r="E83" s="580" t="s">
        <v>1801</v>
      </c>
      <c r="F83" s="580" t="s">
        <v>1802</v>
      </c>
      <c r="G83" s="580" t="s">
        <v>1803</v>
      </c>
      <c r="H83" s="469"/>
      <c r="I83" s="469"/>
      <c r="J83" s="469"/>
      <c r="K83" s="469"/>
      <c r="L83" s="469"/>
      <c r="M83" s="1062"/>
      <c r="N83" s="2520"/>
      <c r="O83" s="2520"/>
      <c r="P83" s="2528"/>
      <c r="Q83" s="2506"/>
      <c r="R83" s="2485"/>
      <c r="S83" s="2485"/>
      <c r="T83" s="2485"/>
      <c r="U83" s="2485"/>
      <c r="V83" s="2485"/>
      <c r="W83" s="2485"/>
      <c r="X83" s="2485"/>
      <c r="Y83" s="2485"/>
      <c r="Z83" s="2485"/>
      <c r="AA83" s="2485"/>
      <c r="AB83" s="2485"/>
      <c r="AC83" s="2485"/>
    </row>
    <row r="84" spans="1:29" ht="14.4" thickBot="1">
      <c r="A84" s="366"/>
      <c r="B84" s="476"/>
      <c r="C84" s="474">
        <v>100</v>
      </c>
      <c r="D84" s="474">
        <f>C84-$K21</f>
        <v>100</v>
      </c>
      <c r="E84" s="474">
        <f>D84-$K21</f>
        <v>100</v>
      </c>
      <c r="F84" s="474">
        <f>E84-$K21</f>
        <v>100</v>
      </c>
      <c r="G84" s="474">
        <f>F84-$K21</f>
        <v>100</v>
      </c>
      <c r="H84" s="580"/>
      <c r="I84" s="580"/>
      <c r="J84" s="580"/>
      <c r="K84" s="580"/>
      <c r="L84" s="580"/>
      <c r="M84" s="388"/>
      <c r="N84" s="2520"/>
      <c r="O84" s="2520"/>
      <c r="P84" s="2528"/>
      <c r="Q84" s="2506"/>
      <c r="R84" s="2485"/>
      <c r="S84" s="2485"/>
      <c r="T84" s="2485"/>
      <c r="U84" s="2485"/>
      <c r="V84" s="2485"/>
      <c r="W84" s="2485"/>
      <c r="X84" s="2485"/>
      <c r="Y84" s="2485"/>
      <c r="Z84" s="2485"/>
      <c r="AA84" s="2485"/>
      <c r="AB84" s="2485"/>
      <c r="AC84" s="2485"/>
    </row>
    <row r="85" spans="1:29" ht="15" thickTop="1">
      <c r="A85" s="366"/>
      <c r="B85" s="468" t="s">
        <v>1822</v>
      </c>
      <c r="C85" s="508" t="s">
        <v>1721</v>
      </c>
      <c r="D85" s="508" t="s">
        <v>1722</v>
      </c>
      <c r="E85" s="508" t="s">
        <v>1723</v>
      </c>
      <c r="F85" s="508" t="s">
        <v>1724</v>
      </c>
      <c r="G85" s="508" t="s">
        <v>1725</v>
      </c>
      <c r="H85" s="469"/>
      <c r="I85" s="469"/>
      <c r="J85" s="469"/>
      <c r="K85" s="470"/>
      <c r="L85" s="471"/>
      <c r="M85" s="472"/>
      <c r="N85" s="2519"/>
      <c r="O85" s="2519"/>
      <c r="P85" s="2528"/>
      <c r="Q85" s="2506"/>
      <c r="R85" s="2485"/>
      <c r="S85" s="2485"/>
      <c r="T85" s="2485"/>
      <c r="U85" s="2485"/>
      <c r="V85" s="2485"/>
      <c r="W85" s="2485"/>
      <c r="X85" s="2485"/>
      <c r="Y85" s="2485"/>
      <c r="Z85" s="2485"/>
      <c r="AA85" s="2485"/>
      <c r="AB85" s="2485"/>
      <c r="AC85" s="2485"/>
    </row>
    <row r="86" spans="1:29" ht="14.4" thickBot="1">
      <c r="A86" s="366"/>
      <c r="B86" s="473"/>
      <c r="C86" s="474">
        <v>100</v>
      </c>
      <c r="D86" s="474">
        <f>C86-$K23</f>
        <v>100</v>
      </c>
      <c r="E86" s="474">
        <f>D86-$K23</f>
        <v>100</v>
      </c>
      <c r="F86" s="474">
        <f>E86-$K23</f>
        <v>100</v>
      </c>
      <c r="G86" s="474">
        <f>F86-$K23</f>
        <v>100</v>
      </c>
      <c r="H86" s="474"/>
      <c r="I86" s="474"/>
      <c r="J86" s="474"/>
      <c r="K86" s="474"/>
      <c r="L86" s="474"/>
      <c r="M86" s="475"/>
      <c r="N86" s="2520"/>
      <c r="O86" s="2520"/>
      <c r="P86" s="2528"/>
      <c r="Q86" s="2506"/>
      <c r="R86" s="2485"/>
      <c r="S86" s="2485"/>
      <c r="T86" s="2485"/>
      <c r="U86" s="2485"/>
      <c r="V86" s="2485"/>
      <c r="W86" s="2485"/>
      <c r="X86" s="2485"/>
      <c r="Y86" s="2485"/>
      <c r="Z86" s="2485"/>
      <c r="AA86" s="2485"/>
      <c r="AB86" s="2485"/>
      <c r="AC86" s="2485"/>
    </row>
    <row r="87" spans="1:29" s="101" customFormat="1" ht="29.4" thickTop="1">
      <c r="A87" s="369"/>
      <c r="B87" s="468" t="s">
        <v>1823</v>
      </c>
      <c r="C87" s="484"/>
      <c r="D87" s="484"/>
      <c r="E87" s="484"/>
      <c r="F87" s="484"/>
      <c r="G87" s="484"/>
      <c r="H87" s="484"/>
      <c r="I87" s="484"/>
      <c r="J87" s="484"/>
      <c r="K87" s="484"/>
      <c r="L87" s="509"/>
      <c r="M87" s="510"/>
      <c r="N87" s="2518"/>
      <c r="O87" s="2518"/>
      <c r="P87" s="2528"/>
      <c r="Q87" s="2506"/>
      <c r="R87" s="2438"/>
      <c r="S87" s="2438"/>
      <c r="T87" s="2438"/>
      <c r="U87" s="2438"/>
      <c r="V87" s="2438"/>
      <c r="W87" s="2438"/>
      <c r="X87" s="2438"/>
      <c r="Y87" s="2438"/>
      <c r="Z87" s="2438"/>
      <c r="AA87" s="2438"/>
      <c r="AB87" s="2438"/>
      <c r="AC87" s="2438"/>
    </row>
    <row r="88" spans="1:29" s="101" customFormat="1" ht="14.4"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20"/>
      <c r="O88" s="2520"/>
      <c r="P88" s="2528"/>
      <c r="Q88" s="2506"/>
      <c r="R88" s="2438"/>
      <c r="S88" s="2438"/>
      <c r="T88" s="2438"/>
      <c r="U88" s="2438"/>
      <c r="V88" s="2438"/>
      <c r="W88" s="2438"/>
      <c r="X88" s="2438"/>
      <c r="Y88" s="2438"/>
      <c r="Z88" s="2438"/>
      <c r="AA88" s="2438"/>
      <c r="AB88" s="2438"/>
      <c r="AC88" s="2438"/>
    </row>
    <row r="89" spans="1:29" s="101" customFormat="1" ht="14.4" thickTop="1">
      <c r="A89" s="369"/>
      <c r="B89" s="468" t="str">
        <f>B27</f>
        <v>楼层</v>
      </c>
      <c r="C89" s="484"/>
      <c r="D89" s="484"/>
      <c r="E89" s="484"/>
      <c r="F89" s="1779"/>
      <c r="G89" s="484"/>
      <c r="H89" s="484"/>
      <c r="I89" s="484"/>
      <c r="J89" s="484"/>
      <c r="K89" s="484"/>
      <c r="L89" s="484"/>
      <c r="M89" s="510"/>
      <c r="N89" s="2518"/>
      <c r="O89" s="2518"/>
      <c r="P89" s="2528"/>
      <c r="Q89" s="2506"/>
      <c r="R89" s="2438"/>
      <c r="S89" s="2438"/>
      <c r="T89" s="2438"/>
      <c r="U89" s="2438"/>
      <c r="V89" s="2438"/>
      <c r="W89" s="2438"/>
      <c r="X89" s="2438"/>
      <c r="Y89" s="2438"/>
      <c r="Z89" s="2438"/>
      <c r="AA89" s="2438"/>
      <c r="AB89" s="2438"/>
      <c r="AC89" s="2438"/>
    </row>
    <row r="90" spans="1:29" s="101" customFormat="1" ht="14.4"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20"/>
      <c r="O90" s="2520"/>
      <c r="P90" s="2528"/>
      <c r="Q90" s="2506"/>
      <c r="R90" s="2438"/>
      <c r="S90" s="2438"/>
      <c r="T90" s="2438"/>
      <c r="U90" s="2438"/>
      <c r="V90" s="2438"/>
      <c r="W90" s="2438"/>
      <c r="X90" s="2438"/>
      <c r="Y90" s="2438"/>
      <c r="Z90" s="2438"/>
      <c r="AA90" s="2438"/>
      <c r="AB90" s="2438"/>
      <c r="AC90" s="2438"/>
    </row>
    <row r="91" spans="1:29" s="407" customFormat="1" ht="14.4" thickTop="1">
      <c r="A91" s="483"/>
      <c r="B91" s="468" t="str">
        <f>B28</f>
        <v>朝向</v>
      </c>
      <c r="C91" s="484"/>
      <c r="D91" s="484"/>
      <c r="E91" s="484"/>
      <c r="F91" s="484"/>
      <c r="G91" s="484"/>
      <c r="H91" s="485"/>
      <c r="I91" s="485"/>
      <c r="J91" s="485"/>
      <c r="K91" s="485"/>
      <c r="L91" s="486"/>
      <c r="M91" s="487"/>
      <c r="N91" s="2521"/>
      <c r="O91" s="2521"/>
      <c r="P91" s="2529"/>
      <c r="Q91" s="2513"/>
      <c r="R91" s="2491"/>
      <c r="S91" s="2491"/>
      <c r="T91" s="2491"/>
      <c r="U91" s="2491"/>
      <c r="V91" s="2491"/>
      <c r="W91" s="2491"/>
      <c r="X91" s="2491"/>
      <c r="Y91" s="2491"/>
      <c r="Z91" s="2491"/>
      <c r="AA91" s="2491"/>
      <c r="AB91" s="2491"/>
      <c r="AC91" s="2491"/>
    </row>
    <row r="92" spans="1:29" s="407" customFormat="1" ht="14.4"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6"/>
      <c r="B93" s="468">
        <f>B29</f>
        <v>111</v>
      </c>
      <c r="C93" s="484"/>
      <c r="D93" s="484"/>
      <c r="E93" s="484"/>
      <c r="F93" s="484"/>
      <c r="G93" s="484"/>
      <c r="H93" s="484"/>
      <c r="I93" s="484"/>
      <c r="J93" s="484"/>
      <c r="K93" s="484"/>
      <c r="L93" s="509"/>
      <c r="M93" s="510"/>
      <c r="N93" s="2519"/>
      <c r="O93" s="2519"/>
      <c r="P93" s="2528"/>
      <c r="Q93" s="2506"/>
      <c r="R93" s="2485"/>
      <c r="S93" s="2485"/>
      <c r="T93" s="2485"/>
      <c r="U93" s="2485"/>
      <c r="V93" s="2485"/>
      <c r="W93" s="2485"/>
      <c r="X93" s="2485"/>
      <c r="Y93" s="2485"/>
      <c r="Z93" s="2485"/>
      <c r="AA93" s="2485"/>
      <c r="AB93" s="2485"/>
      <c r="AC93" s="2485"/>
    </row>
    <row r="94" spans="1:29" ht="14.4" thickBot="1">
      <c r="A94" s="366"/>
      <c r="B94" s="473"/>
      <c r="C94" s="490"/>
      <c r="D94" s="466"/>
      <c r="E94" s="466"/>
      <c r="F94" s="466"/>
      <c r="G94" s="466"/>
      <c r="H94" s="466"/>
      <c r="I94" s="466"/>
      <c r="J94" s="466"/>
      <c r="K94" s="466"/>
      <c r="L94" s="466"/>
      <c r="M94" s="467"/>
      <c r="N94" s="2520"/>
      <c r="O94" s="2520"/>
      <c r="P94" s="2528"/>
      <c r="Q94" s="2506"/>
      <c r="R94" s="2485"/>
      <c r="S94" s="2485"/>
      <c r="T94" s="2485"/>
      <c r="U94" s="2485"/>
      <c r="V94" s="2485"/>
      <c r="W94" s="2485"/>
      <c r="X94" s="2485"/>
      <c r="Y94" s="2485"/>
      <c r="Z94" s="2485"/>
      <c r="AA94" s="2485"/>
      <c r="AB94" s="2485"/>
      <c r="AC94" s="2485"/>
    </row>
    <row r="95" spans="1:29" ht="14.4" thickTop="1">
      <c r="A95" s="366"/>
      <c r="B95" s="468">
        <f>B30</f>
        <v>111</v>
      </c>
      <c r="C95" s="484"/>
      <c r="D95" s="484"/>
      <c r="E95" s="484"/>
      <c r="F95" s="484"/>
      <c r="G95" s="512"/>
      <c r="H95" s="512"/>
      <c r="I95" s="512"/>
      <c r="J95" s="512"/>
      <c r="K95" s="513"/>
      <c r="L95" s="514"/>
      <c r="M95" s="515"/>
      <c r="N95" s="2519"/>
      <c r="O95" s="2519"/>
      <c r="P95" s="2528"/>
      <c r="Q95" s="2506"/>
      <c r="R95" s="2485"/>
      <c r="S95" s="2485"/>
      <c r="T95" s="2485"/>
      <c r="U95" s="2485"/>
      <c r="V95" s="2485"/>
      <c r="W95" s="2485"/>
      <c r="X95" s="2485"/>
      <c r="Y95" s="2485"/>
      <c r="Z95" s="2485"/>
      <c r="AA95" s="2485"/>
      <c r="AB95" s="2485"/>
      <c r="AC95" s="2485"/>
    </row>
    <row r="96" spans="1:29" ht="14.4" thickBot="1">
      <c r="A96" s="366"/>
      <c r="B96" s="473"/>
      <c r="C96" s="490"/>
      <c r="D96" s="490"/>
      <c r="E96" s="490"/>
      <c r="F96" s="490"/>
      <c r="G96" s="466"/>
      <c r="H96" s="466"/>
      <c r="I96" s="466"/>
      <c r="J96" s="466"/>
      <c r="K96" s="466"/>
      <c r="L96" s="466"/>
      <c r="M96" s="467"/>
      <c r="N96" s="2520"/>
      <c r="O96" s="2520"/>
      <c r="P96" s="2528"/>
      <c r="Q96" s="2506"/>
      <c r="R96" s="2485"/>
      <c r="S96" s="2485"/>
      <c r="T96" s="2485"/>
      <c r="U96" s="2485"/>
      <c r="V96" s="2485"/>
      <c r="W96" s="2485"/>
      <c r="X96" s="2485"/>
      <c r="Y96" s="2485"/>
      <c r="Z96" s="2485"/>
      <c r="AA96" s="2485"/>
      <c r="AB96" s="2485"/>
      <c r="AC96" s="2485"/>
    </row>
    <row r="97" spans="1:29" ht="14.4" thickTop="1">
      <c r="A97" s="366"/>
      <c r="B97" s="468">
        <f>B31</f>
        <v>111</v>
      </c>
      <c r="C97" s="484"/>
      <c r="D97" s="484"/>
      <c r="E97" s="484"/>
      <c r="F97" s="484"/>
      <c r="G97" s="512"/>
      <c r="H97" s="512"/>
      <c r="I97" s="512"/>
      <c r="J97" s="512"/>
      <c r="K97" s="513"/>
      <c r="L97" s="514"/>
      <c r="M97" s="515"/>
      <c r="N97" s="2519"/>
      <c r="O97" s="2519"/>
      <c r="P97" s="2528"/>
      <c r="Q97" s="2506"/>
      <c r="R97" s="2485"/>
      <c r="S97" s="2485"/>
      <c r="T97" s="2485"/>
      <c r="U97" s="2485"/>
      <c r="V97" s="2485"/>
      <c r="W97" s="2485"/>
      <c r="X97" s="2485"/>
      <c r="Y97" s="2485"/>
      <c r="Z97" s="2485"/>
      <c r="AA97" s="2485"/>
      <c r="AB97" s="2485"/>
      <c r="AC97" s="2485"/>
    </row>
    <row r="98" spans="1:29" ht="14.4" thickBot="1">
      <c r="A98" s="366"/>
      <c r="B98" s="473"/>
      <c r="C98" s="490"/>
      <c r="D98" s="466"/>
      <c r="E98" s="466"/>
      <c r="F98" s="466"/>
      <c r="G98" s="466"/>
      <c r="H98" s="466"/>
      <c r="I98" s="466"/>
      <c r="J98" s="466"/>
      <c r="K98" s="466"/>
      <c r="L98" s="466"/>
      <c r="M98" s="467"/>
      <c r="N98" s="2520"/>
      <c r="O98" s="2520"/>
      <c r="P98" s="2528"/>
      <c r="Q98" s="2506"/>
      <c r="R98" s="2485"/>
      <c r="S98" s="2485"/>
      <c r="T98" s="2485"/>
      <c r="U98" s="2485"/>
      <c r="V98" s="2485"/>
      <c r="W98" s="2485"/>
      <c r="X98" s="2485"/>
      <c r="Y98" s="2485"/>
      <c r="Z98" s="2485"/>
      <c r="AA98" s="2485"/>
      <c r="AB98" s="2485"/>
      <c r="AC98" s="2485"/>
    </row>
    <row r="99" spans="1:29" ht="14.4" thickTop="1">
      <c r="A99" s="366"/>
      <c r="B99" s="476">
        <f>B32</f>
        <v>111</v>
      </c>
      <c r="C99" s="31"/>
      <c r="D99" s="31"/>
      <c r="E99" s="31"/>
      <c r="F99" s="31"/>
      <c r="G99" s="516"/>
      <c r="H99" s="516"/>
      <c r="I99" s="516"/>
      <c r="J99" s="516"/>
      <c r="K99" s="517"/>
      <c r="L99" s="518"/>
      <c r="M99" s="519"/>
      <c r="N99" s="2519"/>
      <c r="O99" s="2519"/>
      <c r="P99" s="2528"/>
      <c r="Q99" s="2506"/>
      <c r="R99" s="2485"/>
      <c r="S99" s="2485"/>
      <c r="T99" s="2485"/>
      <c r="U99" s="2485"/>
      <c r="V99" s="2485"/>
      <c r="W99" s="2485"/>
      <c r="X99" s="2485"/>
      <c r="Y99" s="2485"/>
      <c r="Z99" s="2485"/>
      <c r="AA99" s="2485"/>
      <c r="AB99" s="2485"/>
      <c r="AC99" s="2485"/>
    </row>
    <row r="100" spans="1:29" ht="14.4" thickBot="1">
      <c r="A100" s="374"/>
      <c r="B100" s="499"/>
      <c r="C100" s="500"/>
      <c r="D100" s="500"/>
      <c r="E100" s="500"/>
      <c r="F100" s="500"/>
      <c r="G100" s="520"/>
      <c r="H100" s="520"/>
      <c r="I100" s="520"/>
      <c r="J100" s="520"/>
      <c r="K100" s="520"/>
      <c r="L100" s="520"/>
      <c r="M100" s="521"/>
      <c r="N100" s="2520"/>
      <c r="O100" s="2520"/>
      <c r="P100" s="2528"/>
      <c r="Q100" s="2506"/>
      <c r="R100" s="2485"/>
      <c r="S100" s="2485"/>
      <c r="T100" s="2485"/>
      <c r="U100" s="2485"/>
      <c r="V100" s="2485"/>
      <c r="W100" s="2485"/>
      <c r="X100" s="2485"/>
      <c r="Y100" s="2485"/>
      <c r="Z100" s="2485"/>
      <c r="AA100" s="2485"/>
      <c r="AB100" s="2485"/>
      <c r="AC100" s="2485"/>
    </row>
    <row r="101" spans="1:29" ht="14.4">
      <c r="A101" s="378" t="s">
        <v>1694</v>
      </c>
      <c r="B101" s="459" t="s">
        <v>1736</v>
      </c>
      <c r="C101" s="461"/>
      <c r="D101" s="461"/>
      <c r="E101" s="461"/>
      <c r="F101" s="461"/>
      <c r="G101" s="461"/>
      <c r="H101" s="461"/>
      <c r="I101" s="461"/>
      <c r="J101" s="461"/>
      <c r="K101" s="462"/>
      <c r="L101" s="463"/>
      <c r="M101" s="464"/>
      <c r="N101" s="2519"/>
      <c r="O101" s="2519"/>
      <c r="P101" s="2528"/>
      <c r="Q101" s="2506"/>
      <c r="R101" s="2485"/>
      <c r="S101" s="2485"/>
      <c r="T101" s="2485"/>
      <c r="U101" s="2485"/>
      <c r="V101" s="2485"/>
      <c r="W101" s="2485"/>
      <c r="X101" s="2485"/>
      <c r="Y101" s="2485"/>
      <c r="Z101" s="2485"/>
      <c r="AA101" s="2485"/>
      <c r="AB101" s="2485"/>
      <c r="AC101" s="2485"/>
    </row>
    <row r="102" spans="1:29" ht="14.4"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7" customFormat="1">
      <c r="A104" s="405"/>
      <c r="B104" s="522"/>
      <c r="C104" s="6"/>
      <c r="D104" s="6"/>
      <c r="E104" s="6"/>
      <c r="F104" s="6"/>
      <c r="G104" s="6"/>
      <c r="H104" s="6"/>
      <c r="I104" s="6"/>
      <c r="J104" s="523"/>
      <c r="K104" s="523"/>
      <c r="L104" s="524"/>
      <c r="M104" s="525"/>
      <c r="N104" s="2521"/>
      <c r="O104" s="2521"/>
      <c r="P104" s="2529"/>
      <c r="Q104" s="2513"/>
      <c r="R104" s="2491"/>
      <c r="S104" s="2491"/>
      <c r="T104" s="2491"/>
      <c r="U104" s="2491"/>
      <c r="V104" s="2491"/>
      <c r="W104" s="2491"/>
      <c r="X104" s="2491"/>
      <c r="Y104" s="2491"/>
      <c r="Z104" s="2491"/>
      <c r="AA104" s="2491"/>
      <c r="AB104" s="2491"/>
      <c r="AC104" s="2491"/>
    </row>
    <row r="105" spans="1:29" s="407" customFormat="1" ht="14.4" thickBot="1">
      <c r="A105" s="483"/>
      <c r="B105" s="473"/>
      <c r="C105" s="490"/>
      <c r="D105" s="466"/>
      <c r="E105" s="466"/>
      <c r="F105" s="466"/>
      <c r="G105" s="466"/>
      <c r="H105" s="466"/>
      <c r="I105" s="466"/>
      <c r="J105" s="466"/>
      <c r="K105" s="466"/>
      <c r="L105" s="466"/>
      <c r="M105" s="467"/>
      <c r="N105" s="2520"/>
      <c r="O105" s="2520"/>
      <c r="P105" s="2529"/>
      <c r="Q105" s="2513"/>
      <c r="R105" s="2491"/>
      <c r="S105" s="2491"/>
      <c r="T105" s="2491"/>
      <c r="U105" s="2491"/>
      <c r="V105" s="2491"/>
      <c r="W105" s="2491"/>
      <c r="X105" s="2491"/>
      <c r="Y105" s="2491"/>
      <c r="Z105" s="2491"/>
      <c r="AA105" s="2491"/>
      <c r="AB105" s="2491"/>
      <c r="AC105" s="2491"/>
    </row>
    <row r="106" spans="1:29" ht="15" thickTop="1">
      <c r="A106" s="408"/>
      <c r="B106" s="468" t="s">
        <v>1738</v>
      </c>
      <c r="C106" s="484"/>
      <c r="D106" s="484"/>
      <c r="E106" s="512"/>
      <c r="F106" s="512"/>
      <c r="G106" s="512"/>
      <c r="H106" s="512"/>
      <c r="I106" s="512"/>
      <c r="J106" s="512"/>
      <c r="K106" s="513"/>
      <c r="L106" s="514"/>
      <c r="M106" s="515"/>
      <c r="N106" s="2519"/>
      <c r="O106" s="2519"/>
      <c r="P106" s="2528"/>
      <c r="Q106" s="2506"/>
      <c r="R106" s="2485"/>
      <c r="S106" s="2485"/>
      <c r="T106" s="2485"/>
      <c r="U106" s="2485"/>
      <c r="V106" s="2485"/>
      <c r="W106" s="2485"/>
      <c r="X106" s="2485"/>
      <c r="Y106" s="2485"/>
      <c r="Z106" s="2485"/>
      <c r="AA106" s="2485"/>
      <c r="AB106" s="2485"/>
      <c r="AC106" s="2485"/>
    </row>
    <row r="107" spans="1:29" ht="14.4"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8"/>
      <c r="B108" s="468" t="s">
        <v>1740</v>
      </c>
      <c r="C108" s="484"/>
      <c r="D108" s="484"/>
      <c r="E108" s="484"/>
      <c r="F108" s="512"/>
      <c r="G108" s="512"/>
      <c r="H108" s="512"/>
      <c r="I108" s="512"/>
      <c r="J108" s="512"/>
      <c r="K108" s="513"/>
      <c r="L108" s="514"/>
      <c r="M108" s="515"/>
      <c r="N108" s="2519"/>
      <c r="O108" s="2519"/>
      <c r="P108" s="2528"/>
      <c r="Q108" s="2506"/>
      <c r="R108" s="2485"/>
      <c r="S108" s="2485"/>
      <c r="T108" s="2485"/>
      <c r="U108" s="2485"/>
      <c r="V108" s="2485"/>
      <c r="W108" s="2485"/>
      <c r="X108" s="2485"/>
      <c r="Y108" s="2485"/>
      <c r="Z108" s="2485"/>
      <c r="AA108" s="2485"/>
      <c r="AB108" s="2485"/>
      <c r="AC108" s="2485"/>
    </row>
    <row r="109" spans="1:29" ht="14.4"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9"/>
      <c r="O110" s="2519"/>
      <c r="P110" s="2528"/>
      <c r="Q110" s="2506"/>
      <c r="R110" s="2485"/>
      <c r="S110" s="2485"/>
      <c r="T110" s="2485"/>
      <c r="U110" s="2485"/>
      <c r="V110" s="2485"/>
      <c r="W110" s="2485"/>
      <c r="X110" s="2485"/>
      <c r="Y110" s="2485"/>
      <c r="Z110" s="2485"/>
      <c r="AA110" s="2485"/>
      <c r="AB110" s="2485"/>
      <c r="AC110" s="2485"/>
    </row>
    <row r="111" spans="1:29">
      <c r="A111" s="408"/>
      <c r="B111" s="476"/>
      <c r="C111" s="529">
        <v>0.5</v>
      </c>
      <c r="D111" s="529">
        <v>0.6</v>
      </c>
      <c r="E111" s="529">
        <v>0.7</v>
      </c>
      <c r="F111" s="529">
        <v>0.8</v>
      </c>
      <c r="G111" s="529">
        <v>0.9</v>
      </c>
      <c r="H111" s="529">
        <v>1.0001</v>
      </c>
      <c r="I111" s="547"/>
      <c r="J111" s="547"/>
      <c r="K111" s="548"/>
      <c r="L111" s="549"/>
      <c r="M111" s="550"/>
      <c r="N111" s="2519"/>
      <c r="O111" s="2519"/>
      <c r="P111" s="2528"/>
      <c r="Q111" s="2506"/>
      <c r="R111" s="2485"/>
      <c r="S111" s="2485"/>
      <c r="T111" s="2485"/>
      <c r="U111" s="2485"/>
      <c r="V111" s="2485"/>
      <c r="W111" s="2485"/>
      <c r="X111" s="2485"/>
      <c r="Y111" s="2485"/>
      <c r="Z111" s="2485"/>
      <c r="AA111" s="2485"/>
      <c r="AB111" s="2485"/>
      <c r="AC111" s="2485"/>
    </row>
    <row r="112" spans="1:29" ht="14.4"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20"/>
      <c r="O112" s="2520"/>
      <c r="P112" s="2528"/>
      <c r="Q112" s="2506"/>
      <c r="R112" s="2485"/>
      <c r="S112" s="2485"/>
      <c r="T112" s="2485"/>
      <c r="U112" s="2485"/>
      <c r="V112" s="2485"/>
      <c r="W112" s="2485"/>
      <c r="X112" s="2485"/>
      <c r="Y112" s="2485"/>
      <c r="Z112" s="2485"/>
      <c r="AA112" s="2485"/>
      <c r="AB112" s="2485"/>
      <c r="AC112" s="2485"/>
    </row>
    <row r="113" spans="1:29" s="407" customFormat="1" ht="15" thickTop="1">
      <c r="A113" s="405"/>
      <c r="B113" s="468" t="s">
        <v>1824</v>
      </c>
      <c r="C113" s="484"/>
      <c r="D113" s="484"/>
      <c r="E113" s="484"/>
      <c r="F113" s="484"/>
      <c r="G113" s="484"/>
      <c r="H113" s="512"/>
      <c r="I113" s="512"/>
      <c r="J113" s="512"/>
      <c r="K113" s="513"/>
      <c r="L113" s="514"/>
      <c r="M113" s="515"/>
      <c r="N113" s="2521"/>
      <c r="O113" s="2521"/>
      <c r="P113" s="2529"/>
      <c r="Q113" s="2513"/>
      <c r="R113" s="2491"/>
      <c r="S113" s="2491"/>
      <c r="T113" s="2491"/>
      <c r="U113" s="2491"/>
      <c r="V113" s="2491"/>
      <c r="W113" s="2491"/>
      <c r="X113" s="2491"/>
      <c r="Y113" s="2491"/>
      <c r="Z113" s="2491"/>
      <c r="AA113" s="2491"/>
      <c r="AB113" s="2491"/>
      <c r="AC113" s="2491"/>
    </row>
    <row r="114" spans="1:29" s="407" customFormat="1" ht="14.4"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8"/>
      <c r="B115" s="468" t="s">
        <v>1741</v>
      </c>
      <c r="C115" s="484"/>
      <c r="D115" s="484"/>
      <c r="E115" s="512"/>
      <c r="F115" s="512"/>
      <c r="G115" s="512"/>
      <c r="H115" s="512"/>
      <c r="I115" s="512"/>
      <c r="J115" s="512"/>
      <c r="K115" s="513"/>
      <c r="L115" s="514"/>
      <c r="M115" s="515"/>
      <c r="N115" s="2519"/>
      <c r="O115" s="2519"/>
      <c r="P115" s="2528"/>
      <c r="Q115" s="2506"/>
      <c r="R115" s="2485"/>
      <c r="S115" s="2485"/>
      <c r="T115" s="2485"/>
      <c r="U115" s="2485"/>
      <c r="V115" s="2485"/>
      <c r="W115" s="2485"/>
      <c r="X115" s="2485"/>
      <c r="Y115" s="2485"/>
      <c r="Z115" s="2485"/>
      <c r="AA115" s="2485"/>
      <c r="AB115" s="2485"/>
      <c r="AC115" s="2485"/>
    </row>
    <row r="116" spans="1:29" ht="14.4"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8"/>
      <c r="B117" s="468" t="s">
        <v>1742</v>
      </c>
      <c r="C117" s="484"/>
      <c r="D117" s="484"/>
      <c r="E117" s="484"/>
      <c r="F117" s="484"/>
      <c r="G117" s="484"/>
      <c r="H117" s="512"/>
      <c r="I117" s="512"/>
      <c r="J117" s="512"/>
      <c r="K117" s="513"/>
      <c r="L117" s="514"/>
      <c r="M117" s="515"/>
      <c r="N117" s="2519"/>
      <c r="O117" s="2519"/>
      <c r="P117" s="2528"/>
      <c r="Q117" s="2506"/>
      <c r="R117" s="2485"/>
      <c r="S117" s="2485"/>
      <c r="T117" s="2485"/>
      <c r="U117" s="2485"/>
      <c r="V117" s="2485"/>
      <c r="W117" s="2485"/>
      <c r="X117" s="2485"/>
      <c r="Y117" s="2485"/>
      <c r="Z117" s="2485"/>
      <c r="AA117" s="2485"/>
      <c r="AB117" s="2485"/>
      <c r="AC117" s="2485"/>
    </row>
    <row r="118" spans="1:29" ht="14.4" thickBot="1">
      <c r="A118" s="366"/>
      <c r="B118" s="473"/>
      <c r="C118" s="474">
        <v>100</v>
      </c>
      <c r="D118" s="474">
        <f>C118-$K40</f>
        <v>100</v>
      </c>
      <c r="E118" s="474">
        <f>D118-$K40</f>
        <v>100</v>
      </c>
      <c r="F118" s="474">
        <f>E118-$K40</f>
        <v>100</v>
      </c>
      <c r="G118" s="474">
        <f>F118-$K40</f>
        <v>100</v>
      </c>
      <c r="H118" s="474"/>
      <c r="I118" s="474"/>
      <c r="J118" s="474"/>
      <c r="K118" s="474"/>
      <c r="L118" s="474"/>
      <c r="M118" s="475"/>
      <c r="N118" s="2520"/>
      <c r="O118" s="2520"/>
      <c r="P118" s="2528"/>
      <c r="Q118" s="2506"/>
      <c r="R118" s="2485"/>
      <c r="S118" s="2485"/>
      <c r="T118" s="2485"/>
      <c r="U118" s="2485"/>
      <c r="V118" s="2485"/>
      <c r="W118" s="2485"/>
      <c r="X118" s="2485"/>
      <c r="Y118" s="2485"/>
      <c r="Z118" s="2485"/>
      <c r="AA118" s="2485"/>
      <c r="AB118" s="2485"/>
      <c r="AC118" s="2485"/>
    </row>
    <row r="119" spans="1:29" ht="15" thickTop="1">
      <c r="A119" s="408"/>
      <c r="B119" s="559" t="s">
        <v>1825</v>
      </c>
      <c r="C119" s="512"/>
      <c r="D119" s="512"/>
      <c r="E119" s="512"/>
      <c r="F119" s="512"/>
      <c r="G119" s="512"/>
      <c r="H119" s="512"/>
      <c r="I119" s="512"/>
      <c r="J119" s="512"/>
      <c r="K119" s="512"/>
      <c r="L119" s="1815"/>
      <c r="M119" s="1816"/>
      <c r="N119" s="2520"/>
      <c r="O119" s="2520"/>
      <c r="P119" s="2533"/>
      <c r="Q119" s="2534"/>
      <c r="R119" s="2485"/>
      <c r="S119" s="2485"/>
      <c r="T119" s="2485"/>
      <c r="U119" s="2485"/>
      <c r="V119" s="2485"/>
      <c r="W119" s="2485"/>
      <c r="X119" s="2485"/>
      <c r="Y119" s="2485"/>
      <c r="Z119" s="2485"/>
      <c r="AA119" s="2485"/>
      <c r="AB119" s="2485"/>
      <c r="AC119" s="2485"/>
    </row>
    <row r="120" spans="1:29" ht="14.4"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20"/>
      <c r="O120" s="2520"/>
      <c r="P120" s="2528"/>
      <c r="Q120" s="2506"/>
      <c r="R120" s="2485"/>
      <c r="S120" s="2485"/>
      <c r="T120" s="2485"/>
      <c r="U120" s="2485"/>
      <c r="V120" s="2485"/>
      <c r="W120" s="2485"/>
      <c r="X120" s="2485"/>
      <c r="Y120" s="2485"/>
      <c r="Z120" s="2485"/>
      <c r="AA120" s="2485"/>
      <c r="AB120" s="2485"/>
      <c r="AC120" s="2485"/>
    </row>
    <row r="121" spans="1:29" s="407" customFormat="1" ht="15" thickTop="1">
      <c r="A121" s="405"/>
      <c r="B121" s="468" t="s">
        <v>1808</v>
      </c>
      <c r="C121" s="484"/>
      <c r="D121" s="484"/>
      <c r="E121" s="484"/>
      <c r="F121" s="512"/>
      <c r="G121" s="485"/>
      <c r="H121" s="485"/>
      <c r="I121" s="485"/>
      <c r="J121" s="485"/>
      <c r="K121" s="485"/>
      <c r="L121" s="486"/>
      <c r="M121" s="487"/>
      <c r="N121" s="2521"/>
      <c r="O121" s="2521"/>
      <c r="P121" s="2529"/>
      <c r="Q121" s="2513"/>
      <c r="R121" s="2491"/>
      <c r="S121" s="2491"/>
      <c r="T121" s="2491"/>
      <c r="U121" s="2491"/>
      <c r="V121" s="2491"/>
      <c r="W121" s="2491"/>
      <c r="X121" s="2491"/>
      <c r="Y121" s="2491"/>
      <c r="Z121" s="2491"/>
      <c r="AA121" s="2491"/>
      <c r="AB121" s="2491"/>
      <c r="AC121" s="2491"/>
    </row>
    <row r="122" spans="1:29" s="407" customFormat="1" ht="14.4" thickBot="1">
      <c r="A122" s="483"/>
      <c r="B122" s="465"/>
      <c r="C122" s="490"/>
      <c r="D122" s="490"/>
      <c r="E122" s="490"/>
      <c r="F122" s="490"/>
      <c r="G122" s="490"/>
      <c r="H122" s="490"/>
      <c r="I122" s="490"/>
      <c r="J122" s="490"/>
      <c r="K122" s="490"/>
      <c r="L122" s="490"/>
      <c r="M122" s="490"/>
      <c r="N122" s="2521"/>
      <c r="O122" s="2521"/>
      <c r="P122" s="2529"/>
      <c r="Q122" s="2513"/>
      <c r="R122" s="2491"/>
      <c r="S122" s="2491"/>
      <c r="T122" s="2491"/>
      <c r="U122" s="2491"/>
      <c r="V122" s="2491"/>
      <c r="W122" s="2491"/>
      <c r="X122" s="2491"/>
      <c r="Y122" s="2491"/>
      <c r="Z122" s="2491"/>
      <c r="AA122" s="2491"/>
      <c r="AB122" s="2491"/>
      <c r="AC122" s="2491"/>
    </row>
    <row r="123" spans="1:29" ht="15" thickTop="1">
      <c r="A123" s="408"/>
      <c r="B123" s="468" t="s">
        <v>1744</v>
      </c>
      <c r="C123" s="484"/>
      <c r="D123" s="484"/>
      <c r="E123" s="484"/>
      <c r="F123" s="512"/>
      <c r="G123" s="512"/>
      <c r="H123" s="512"/>
      <c r="I123" s="512"/>
      <c r="J123" s="512"/>
      <c r="K123" s="513"/>
      <c r="L123" s="514"/>
      <c r="M123" s="515"/>
      <c r="N123" s="2519"/>
      <c r="O123" s="2519"/>
      <c r="P123" s="2528"/>
      <c r="Q123" s="2506"/>
      <c r="R123" s="2485"/>
      <c r="S123" s="2485"/>
      <c r="T123" s="2485"/>
      <c r="U123" s="2485"/>
      <c r="V123" s="2485"/>
      <c r="W123" s="2485"/>
      <c r="X123" s="2485"/>
      <c r="Y123" s="2485"/>
      <c r="Z123" s="2485"/>
      <c r="AA123" s="2485"/>
      <c r="AB123" s="2485"/>
      <c r="AC123" s="2485"/>
    </row>
    <row r="124" spans="1:29" ht="14.4"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8"/>
      <c r="B125" s="468" t="s">
        <v>1745</v>
      </c>
      <c r="C125" s="508" t="s">
        <v>1721</v>
      </c>
      <c r="D125" s="508" t="s">
        <v>1722</v>
      </c>
      <c r="E125" s="508" t="s">
        <v>1723</v>
      </c>
      <c r="F125" s="508" t="s">
        <v>1724</v>
      </c>
      <c r="G125" s="508" t="s">
        <v>1725</v>
      </c>
      <c r="H125" s="469"/>
      <c r="I125" s="469"/>
      <c r="J125" s="469"/>
      <c r="K125" s="470"/>
      <c r="L125" s="471"/>
      <c r="M125" s="472"/>
      <c r="N125" s="2519"/>
      <c r="O125" s="2519"/>
      <c r="P125" s="2529"/>
      <c r="Q125" s="2506"/>
      <c r="R125" s="2485"/>
      <c r="S125" s="2485"/>
      <c r="T125" s="2485"/>
      <c r="U125" s="2485"/>
      <c r="V125" s="2485"/>
      <c r="W125" s="2485"/>
      <c r="X125" s="2485"/>
      <c r="Y125" s="2485"/>
      <c r="Z125" s="2485"/>
      <c r="AA125" s="2485"/>
      <c r="AB125" s="2485"/>
      <c r="AC125" s="2485"/>
    </row>
    <row r="126" spans="1:29" ht="14.4" thickBot="1">
      <c r="A126" s="366"/>
      <c r="B126" s="473"/>
      <c r="C126" s="474">
        <v>100</v>
      </c>
      <c r="D126" s="474">
        <f>C126-$K44</f>
        <v>100</v>
      </c>
      <c r="E126" s="474">
        <f>D126-$K44</f>
        <v>100</v>
      </c>
      <c r="F126" s="474">
        <f>E126-$K44</f>
        <v>100</v>
      </c>
      <c r="G126" s="474">
        <f>F126-$K44</f>
        <v>100</v>
      </c>
      <c r="H126" s="474"/>
      <c r="I126" s="474"/>
      <c r="J126" s="474"/>
      <c r="K126" s="474"/>
      <c r="L126" s="474"/>
      <c r="M126" s="475"/>
      <c r="N126" s="2520"/>
      <c r="O126" s="2520"/>
      <c r="P126" s="2528"/>
      <c r="Q126" s="2506"/>
      <c r="R126" s="2485"/>
      <c r="S126" s="2485"/>
      <c r="T126" s="2485"/>
      <c r="U126" s="2485"/>
      <c r="V126" s="2485"/>
      <c r="W126" s="2485"/>
      <c r="X126" s="2485"/>
      <c r="Y126" s="2485"/>
      <c r="Z126" s="2485"/>
      <c r="AA126" s="2485"/>
      <c r="AB126" s="2485"/>
      <c r="AC126" s="2485"/>
    </row>
    <row r="127" spans="1:29" s="407" customFormat="1" ht="14.4" thickTop="1">
      <c r="A127" s="405"/>
      <c r="B127" s="468">
        <f>B45</f>
        <v>111</v>
      </c>
      <c r="C127" s="484"/>
      <c r="D127" s="484"/>
      <c r="E127" s="484"/>
      <c r="F127" s="484"/>
      <c r="G127" s="484"/>
      <c r="H127" s="485"/>
      <c r="I127" s="485"/>
      <c r="J127" s="485"/>
      <c r="K127" s="485"/>
      <c r="L127" s="486"/>
      <c r="M127" s="487"/>
      <c r="N127" s="2521"/>
      <c r="O127" s="2521"/>
      <c r="P127" s="2529"/>
      <c r="Q127" s="2513"/>
      <c r="R127" s="2491"/>
      <c r="S127" s="2491"/>
      <c r="T127" s="2491"/>
      <c r="U127" s="2491"/>
      <c r="V127" s="2491"/>
      <c r="W127" s="2491"/>
      <c r="X127" s="2491"/>
      <c r="Y127" s="2491"/>
      <c r="Z127" s="2491"/>
      <c r="AA127" s="2491"/>
      <c r="AB127" s="2491"/>
      <c r="AC127" s="2491"/>
    </row>
    <row r="128" spans="1:29" s="407" customFormat="1" ht="14.4" thickBot="1">
      <c r="A128" s="483"/>
      <c r="B128" s="473"/>
      <c r="C128" s="490"/>
      <c r="D128" s="466"/>
      <c r="E128" s="466"/>
      <c r="F128" s="466"/>
      <c r="G128" s="490"/>
      <c r="H128" s="492"/>
      <c r="I128" s="492"/>
      <c r="J128" s="492"/>
      <c r="K128" s="492"/>
      <c r="L128" s="492"/>
      <c r="M128" s="493"/>
      <c r="N128" s="2521"/>
      <c r="O128" s="2521"/>
      <c r="P128" s="2529"/>
      <c r="Q128" s="2513"/>
      <c r="R128" s="2491"/>
      <c r="S128" s="2491"/>
      <c r="T128" s="2491"/>
      <c r="U128" s="2491"/>
      <c r="V128" s="2491"/>
      <c r="W128" s="2491"/>
      <c r="X128" s="2491"/>
      <c r="Y128" s="2491"/>
      <c r="Z128" s="2491"/>
      <c r="AA128" s="2491"/>
      <c r="AB128" s="2491"/>
      <c r="AC128" s="2491"/>
    </row>
    <row r="129" spans="1:29" ht="14.4" thickTop="1">
      <c r="A129" s="408"/>
      <c r="B129" s="468">
        <f>B46</f>
        <v>111</v>
      </c>
      <c r="C129" s="484"/>
      <c r="D129" s="484"/>
      <c r="E129" s="484"/>
      <c r="F129" s="484"/>
      <c r="G129" s="512"/>
      <c r="H129" s="512"/>
      <c r="I129" s="512"/>
      <c r="J129" s="512"/>
      <c r="K129" s="513"/>
      <c r="L129" s="514"/>
      <c r="M129" s="515"/>
      <c r="N129" s="2519"/>
      <c r="O129" s="2519"/>
      <c r="P129" s="2528"/>
      <c r="Q129" s="2506"/>
      <c r="R129" s="2485"/>
      <c r="S129" s="2485"/>
      <c r="T129" s="2485"/>
      <c r="U129" s="2485"/>
      <c r="V129" s="2485"/>
      <c r="W129" s="2485"/>
      <c r="X129" s="2485"/>
      <c r="Y129" s="2485"/>
      <c r="Z129" s="2485"/>
      <c r="AA129" s="2485"/>
      <c r="AB129" s="2485"/>
      <c r="AC129" s="2485"/>
    </row>
    <row r="130" spans="1:29" ht="14.4" thickBot="1">
      <c r="A130" s="366"/>
      <c r="B130" s="473"/>
      <c r="C130" s="490"/>
      <c r="D130" s="490"/>
      <c r="E130" s="490"/>
      <c r="F130" s="490"/>
      <c r="G130" s="466"/>
      <c r="H130" s="466"/>
      <c r="I130" s="466"/>
      <c r="J130" s="466"/>
      <c r="K130" s="466"/>
      <c r="L130" s="466"/>
      <c r="M130" s="467"/>
      <c r="N130" s="2520"/>
      <c r="O130" s="2520"/>
      <c r="P130" s="2528"/>
      <c r="Q130" s="2506"/>
      <c r="R130" s="2485"/>
      <c r="S130" s="2485"/>
      <c r="T130" s="2485"/>
      <c r="U130" s="2485"/>
      <c r="V130" s="2485"/>
      <c r="W130" s="2485"/>
      <c r="X130" s="2485"/>
      <c r="Y130" s="2485"/>
      <c r="Z130" s="2485"/>
      <c r="AA130" s="2485"/>
      <c r="AB130" s="2485"/>
      <c r="AC130" s="2485"/>
    </row>
    <row r="131" spans="1:29" ht="14.4" thickTop="1">
      <c r="A131" s="408"/>
      <c r="B131" s="476">
        <f>B47</f>
        <v>111</v>
      </c>
      <c r="C131" s="31"/>
      <c r="D131" s="31"/>
      <c r="E131" s="31"/>
      <c r="F131" s="31"/>
      <c r="G131" s="516"/>
      <c r="H131" s="516"/>
      <c r="I131" s="516"/>
      <c r="J131" s="516"/>
      <c r="K131" s="31"/>
      <c r="L131" s="456"/>
      <c r="M131" s="519"/>
      <c r="N131" s="2519"/>
      <c r="O131" s="2519"/>
      <c r="P131" s="2528"/>
      <c r="Q131" s="2506"/>
      <c r="R131" s="2485"/>
      <c r="S131" s="2485"/>
      <c r="T131" s="2485"/>
      <c r="U131" s="2485"/>
      <c r="V131" s="2485"/>
      <c r="W131" s="2485"/>
      <c r="X131" s="2485"/>
      <c r="Y131" s="2485"/>
      <c r="Z131" s="2485"/>
      <c r="AA131" s="2485"/>
      <c r="AB131" s="2485"/>
      <c r="AC131" s="2485"/>
    </row>
    <row r="132" spans="1:29" ht="14.4" thickBot="1">
      <c r="A132" s="374"/>
      <c r="B132" s="499"/>
      <c r="C132" s="500"/>
      <c r="D132" s="500"/>
      <c r="E132" s="500"/>
      <c r="F132" s="500"/>
      <c r="G132" s="520"/>
      <c r="H132" s="520"/>
      <c r="I132" s="520"/>
      <c r="J132" s="520"/>
      <c r="K132" s="520"/>
      <c r="L132" s="520"/>
      <c r="M132" s="521"/>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18" priority="16" stopIfTrue="1">
      <formula>$F$53="超过30%"</formula>
    </cfRule>
  </conditionalFormatting>
  <conditionalFormatting sqref="E54">
    <cfRule type="expression" dxfId="117" priority="15" stopIfTrue="1">
      <formula>$F$54="超过20%"</formula>
    </cfRule>
  </conditionalFormatting>
  <conditionalFormatting sqref="E55">
    <cfRule type="expression" dxfId="116" priority="14" stopIfTrue="1">
      <formula>$F$55="超过30%"</formula>
    </cfRule>
  </conditionalFormatting>
  <conditionalFormatting sqref="F7:F47 H7:H47 J7:J47">
    <cfRule type="cellIs" dxfId="115" priority="1" operator="notEqual">
      <formula>100</formula>
    </cfRule>
  </conditionalFormatting>
  <conditionalFormatting sqref="F49">
    <cfRule type="expression" dxfId="114" priority="4">
      <formula>$D$49="简单平均"</formula>
    </cfRule>
  </conditionalFormatting>
  <conditionalFormatting sqref="F53:F55 H53:H55">
    <cfRule type="containsText" dxfId="113" priority="17" stopIfTrue="1" operator="containsText" text="超过">
      <formula>NOT(ISERROR(SEARCH("超过",F53)))</formula>
    </cfRule>
  </conditionalFormatting>
  <conditionalFormatting sqref="G53">
    <cfRule type="expression" dxfId="112" priority="12" stopIfTrue="1">
      <formula>$H$53="超过30%"</formula>
    </cfRule>
  </conditionalFormatting>
  <conditionalFormatting sqref="G54">
    <cfRule type="expression" dxfId="111" priority="11" stopIfTrue="1">
      <formula>$H$54="超过20%"</formula>
    </cfRule>
  </conditionalFormatting>
  <conditionalFormatting sqref="G55">
    <cfRule type="expression" dxfId="110" priority="13" stopIfTrue="1">
      <formula>$H$55="超过30%"</formula>
    </cfRule>
  </conditionalFormatting>
  <conditionalFormatting sqref="H49">
    <cfRule type="expression" dxfId="109" priority="3">
      <formula>$D$49="简单平均"</formula>
    </cfRule>
  </conditionalFormatting>
  <conditionalFormatting sqref="I53">
    <cfRule type="expression" dxfId="108" priority="7" stopIfTrue="1">
      <formula>$J$53="超过30%"</formula>
    </cfRule>
  </conditionalFormatting>
  <conditionalFormatting sqref="I54">
    <cfRule type="expression" dxfId="107" priority="6" stopIfTrue="1">
      <formula>$J$53+$J$54="超过20%"</formula>
    </cfRule>
  </conditionalFormatting>
  <conditionalFormatting sqref="I55">
    <cfRule type="expression" dxfId="106" priority="5" stopIfTrue="1">
      <formula>$J$55="超过30%"</formula>
    </cfRule>
  </conditionalFormatting>
  <conditionalFormatting sqref="J49">
    <cfRule type="expression" dxfId="105" priority="2">
      <formula>$D$49="简单平均"</formula>
    </cfRule>
  </conditionalFormatting>
  <conditionalFormatting sqref="J53:J55">
    <cfRule type="containsText" dxfId="104" priority="8" stopIfTrue="1" operator="containsText" text="超过">
      <formula>NOT(ISERROR(SEARCH("超过",J53)))</formula>
    </cfRule>
  </conditionalFormatting>
  <dataValidations count="25">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G26 C26 E26 I26" xr:uid="{00000000-0002-0000-1E00-000008000000}">
      <formula1>办公道路级别</formula1>
    </dataValidation>
    <dataValidation type="list" allowBlank="1" showInputMessage="1" showErrorMessage="1" sqref="C28 E28 G28 I28" xr:uid="{00000000-0002-0000-1E00-000009000000}">
      <formula1>办公朝向</formula1>
    </dataValidation>
    <dataValidation type="list" allowBlank="1" showInputMessage="1" showErrorMessage="1" sqref="C27 E27 G27 I27" xr:uid="{00000000-0002-0000-1E00-00000A000000}">
      <formula1>办公楼层</formula1>
    </dataValidation>
    <dataValidation type="list" allowBlank="1" showInputMessage="1" showErrorMessage="1" sqref="C33 E33 G33 I33" xr:uid="{00000000-0002-0000-1E00-00000B000000}">
      <formula1>办公建筑类型</formula1>
    </dataValidation>
    <dataValidation type="list" allowBlank="1" showInputMessage="1" showErrorMessage="1" sqref="C36 E36 G36 I36" xr:uid="{00000000-0002-0000-1E00-00000C000000}">
      <formula1>办公公共部分装修</formula1>
    </dataValidation>
    <dataValidation type="list" allowBlank="1" showInputMessage="1" showErrorMessage="1" sqref="C38 E38 G38 I38" xr:uid="{00000000-0002-0000-1E00-00000D000000}">
      <formula1>写字楼等级</formula1>
    </dataValidation>
    <dataValidation type="list" allowBlank="1" showInputMessage="1" showErrorMessage="1" sqref="C39 E39 G39 I39" xr:uid="{00000000-0002-0000-1E00-00000E000000}">
      <formula1>办公物业管理</formula1>
    </dataValidation>
    <dataValidation type="list" allowBlank="1" showInputMessage="1" showErrorMessage="1" sqref="C40 E40 G40 I40" xr:uid="{00000000-0002-0000-1E00-00000F000000}">
      <formula1>办公基础设施水平</formula1>
    </dataValidation>
    <dataValidation type="list" allowBlank="1" showInputMessage="1" showErrorMessage="1" sqref="C41 E41 G41 I41" xr:uid="{00000000-0002-0000-1E00-000010000000}">
      <formula1>办公层高</formula1>
    </dataValidation>
    <dataValidation type="list" allowBlank="1" showInputMessage="1" showErrorMessage="1" sqref="C43 E43 G43 I43" xr:uid="{00000000-0002-0000-1E00-000011000000}">
      <formula1>办公内部装修</formula1>
    </dataValidation>
    <dataValidation type="list" allowBlank="1" showInputMessage="1" showErrorMessage="1" sqref="C8 E8 G8 I8" xr:uid="{00000000-0002-0000-1E00-000012000000}">
      <formula1>办公交易情况</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9"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1826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312.66000000000003</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4.4">
      <c r="A4" s="344" t="s">
        <v>1769</v>
      </c>
      <c r="B4" s="345"/>
      <c r="C4" s="3401" t="s">
        <v>1770</v>
      </c>
      <c r="D4" s="3402"/>
      <c r="E4" s="3403" t="s">
        <v>1771</v>
      </c>
      <c r="F4" s="3404"/>
      <c r="G4" s="3401" t="s">
        <v>1772</v>
      </c>
      <c r="H4" s="3402"/>
      <c r="I4" s="3401" t="s">
        <v>1773</v>
      </c>
      <c r="J4" s="3402"/>
      <c r="K4" s="536" t="s">
        <v>1774</v>
      </c>
      <c r="L4" s="859"/>
      <c r="M4" s="860"/>
      <c r="N4" s="860"/>
      <c r="O4" s="860"/>
      <c r="P4" s="3405" t="s">
        <v>1775</v>
      </c>
      <c r="Q4" s="3406"/>
      <c r="R4" s="3411" t="s">
        <v>1771</v>
      </c>
      <c r="S4" s="3412"/>
      <c r="T4" s="3411" t="s">
        <v>1772</v>
      </c>
      <c r="U4" s="3412"/>
      <c r="V4" s="3384" t="s">
        <v>1773</v>
      </c>
      <c r="W4" s="3384"/>
      <c r="X4" s="1264"/>
      <c r="Y4" s="3411" t="s">
        <v>1775</v>
      </c>
      <c r="Z4" s="3412"/>
      <c r="AA4" s="3398" t="s">
        <v>1771</v>
      </c>
      <c r="AB4" s="3399" t="s">
        <v>1772</v>
      </c>
      <c r="AC4" s="3398" t="s">
        <v>1773</v>
      </c>
    </row>
    <row r="5" spans="1:29">
      <c r="A5" s="347"/>
      <c r="B5" s="348"/>
      <c r="C5" s="3419" t="s">
        <v>1673</v>
      </c>
      <c r="D5" s="3420"/>
      <c r="E5" s="3427" t="s">
        <v>1674</v>
      </c>
      <c r="F5" s="3428"/>
      <c r="G5" s="3419" t="s">
        <v>1675</v>
      </c>
      <c r="H5" s="3420"/>
      <c r="I5" s="3419" t="s">
        <v>1676</v>
      </c>
      <c r="J5" s="3420"/>
      <c r="K5" s="536"/>
      <c r="L5" s="859"/>
      <c r="M5" s="860"/>
      <c r="N5" s="860"/>
      <c r="O5" s="860"/>
      <c r="P5" s="3407"/>
      <c r="Q5" s="3408"/>
      <c r="R5" s="3413"/>
      <c r="S5" s="3414"/>
      <c r="T5" s="3413"/>
      <c r="U5" s="3414"/>
      <c r="V5" s="3384"/>
      <c r="W5" s="3384"/>
      <c r="X5" s="1264"/>
      <c r="Y5" s="3413"/>
      <c r="Z5" s="3414"/>
      <c r="AA5" s="3399"/>
      <c r="AB5" s="3399"/>
      <c r="AC5" s="3399"/>
    </row>
    <row r="6" spans="1:29" ht="15" thickBot="1">
      <c r="A6" s="349"/>
      <c r="B6" s="350"/>
      <c r="C6" s="3417" t="s">
        <v>1677</v>
      </c>
      <c r="D6" s="3418"/>
      <c r="E6" s="3425" t="s">
        <v>1677</v>
      </c>
      <c r="F6" s="3426"/>
      <c r="G6" s="3417" t="s">
        <v>1677</v>
      </c>
      <c r="H6" s="3418"/>
      <c r="I6" s="3417" t="s">
        <v>1677</v>
      </c>
      <c r="J6" s="3418"/>
      <c r="K6" s="536" t="s">
        <v>1678</v>
      </c>
      <c r="L6" s="859"/>
      <c r="M6" s="860"/>
      <c r="N6" s="860"/>
      <c r="O6" s="860"/>
      <c r="P6" s="3409"/>
      <c r="Q6" s="3410"/>
      <c r="R6" s="3413"/>
      <c r="S6" s="3414"/>
      <c r="T6" s="3415"/>
      <c r="U6" s="3416"/>
      <c r="V6" s="3384"/>
      <c r="W6" s="3384"/>
      <c r="X6" s="1264"/>
      <c r="Y6" s="3415"/>
      <c r="Z6" s="3416"/>
      <c r="AA6" s="3400"/>
      <c r="AB6" s="3400"/>
      <c r="AC6" s="3400"/>
    </row>
    <row r="7" spans="1:29" s="101" customFormat="1" ht="15" thickBot="1">
      <c r="A7" s="351" t="s">
        <v>1679</v>
      </c>
      <c r="B7" s="352"/>
      <c r="C7" s="353">
        <f>'数据-取费表'!B2</f>
        <v>45562</v>
      </c>
      <c r="D7" s="354">
        <v>100</v>
      </c>
      <c r="E7" s="355"/>
      <c r="F7" s="356">
        <f>SUMIF(52:52,YEAR(E7)&amp;"-"&amp;MONTH(E7),53:53)</f>
        <v>0</v>
      </c>
      <c r="G7" s="355"/>
      <c r="H7" s="354">
        <f>SUMIF(52:52,YEAR(G7)&amp;"-"&amp;MONTH(G7),53:53)</f>
        <v>0</v>
      </c>
      <c r="I7" s="355"/>
      <c r="J7" s="354">
        <f>SUMIF(52:52,YEAR(I7)&amp;"-"&amp;MONTH(I7),53:53)</f>
        <v>0</v>
      </c>
      <c r="K7" s="38"/>
      <c r="L7" s="861"/>
      <c r="M7" s="862"/>
      <c r="N7" s="862"/>
      <c r="O7" s="862"/>
      <c r="P7" s="3421" t="s">
        <v>1680</v>
      </c>
      <c r="Q7" s="3423"/>
      <c r="R7" s="663" t="s">
        <v>14</v>
      </c>
      <c r="S7" s="664">
        <f t="shared" ref="S7:S15" si="0">F7</f>
        <v>0</v>
      </c>
      <c r="T7" s="663" t="s">
        <v>14</v>
      </c>
      <c r="U7" s="664">
        <f t="shared" ref="U7:U15" si="1">H7</f>
        <v>0</v>
      </c>
      <c r="V7" s="663" t="s">
        <v>14</v>
      </c>
      <c r="W7" s="664">
        <f t="shared" ref="W7:W15" si="2">J7</f>
        <v>0</v>
      </c>
      <c r="X7" s="665"/>
      <c r="Y7" s="3421" t="s">
        <v>1680</v>
      </c>
      <c r="Z7" s="3422"/>
      <c r="AA7" s="50" t="e">
        <f>D7/F7</f>
        <v>#DIV/0!</v>
      </c>
      <c r="AB7" s="50" t="e">
        <f>D7/H7</f>
        <v>#DIV/0!</v>
      </c>
      <c r="AC7" s="50" t="e">
        <f>D7/J7</f>
        <v>#DIV/0!</v>
      </c>
    </row>
    <row r="8" spans="1:29" s="101" customFormat="1" ht="1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21" t="s">
        <v>1683</v>
      </c>
      <c r="Q8" s="3422"/>
      <c r="R8" s="663" t="s">
        <v>14</v>
      </c>
      <c r="S8" s="664">
        <f t="shared" si="0"/>
        <v>100</v>
      </c>
      <c r="T8" s="663" t="s">
        <v>14</v>
      </c>
      <c r="U8" s="664">
        <f t="shared" si="1"/>
        <v>100</v>
      </c>
      <c r="V8" s="663" t="s">
        <v>14</v>
      </c>
      <c r="W8" s="664">
        <f t="shared" si="2"/>
        <v>100</v>
      </c>
      <c r="X8" s="665"/>
      <c r="Y8" s="3421" t="s">
        <v>1683</v>
      </c>
      <c r="Z8" s="3422"/>
      <c r="AA8" s="50">
        <f t="shared" ref="AA8:AA40" si="3">D8/F8</f>
        <v>1</v>
      </c>
      <c r="AB8" s="50">
        <f t="shared" ref="AB8:AB40" si="4">D8/H8</f>
        <v>1</v>
      </c>
      <c r="AC8" s="50">
        <f t="shared" ref="AC8:AC40" si="5">D8/J8</f>
        <v>1</v>
      </c>
    </row>
    <row r="9" spans="1:29" s="101" customFormat="1" ht="14.4">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383" t="s">
        <v>1686</v>
      </c>
      <c r="Q9" s="529" t="str">
        <f t="shared" ref="Q9:Q15" si="6">B9</f>
        <v>用途</v>
      </c>
      <c r="R9" s="663" t="s">
        <v>14</v>
      </c>
      <c r="S9" s="664">
        <f t="shared" si="0"/>
        <v>100</v>
      </c>
      <c r="T9" s="663" t="s">
        <v>14</v>
      </c>
      <c r="U9" s="664">
        <f t="shared" si="1"/>
        <v>100</v>
      </c>
      <c r="V9" s="663" t="s">
        <v>14</v>
      </c>
      <c r="W9" s="664">
        <f t="shared" si="2"/>
        <v>100</v>
      </c>
      <c r="X9" s="665"/>
      <c r="Y9" s="3290" t="s">
        <v>1687</v>
      </c>
      <c r="Z9" s="50" t="str">
        <f t="shared" ref="Z9:Z15" si="7">Q9</f>
        <v>用途</v>
      </c>
      <c r="AA9" s="50">
        <f t="shared" si="3"/>
        <v>1</v>
      </c>
      <c r="AB9" s="50">
        <f t="shared" si="4"/>
        <v>1</v>
      </c>
      <c r="AC9" s="50">
        <f t="shared" si="5"/>
        <v>1</v>
      </c>
    </row>
    <row r="10" spans="1:29" s="365" customFormat="1" ht="28.8">
      <c r="A10" s="362"/>
      <c r="B10" s="363" t="s">
        <v>1688</v>
      </c>
      <c r="C10" s="3130"/>
      <c r="D10" s="118">
        <v>100</v>
      </c>
      <c r="E10" s="3130"/>
      <c r="F10" s="118">
        <f>SUMIF(59:59,E10,60:60)-SUMIF(59:59,C10,60:60)+100</f>
        <v>100</v>
      </c>
      <c r="G10" s="3131"/>
      <c r="H10" s="118">
        <f>SUMIF(59:59,G10,60:60)-SUMIF(59:59,C10,60:60)+100</f>
        <v>100</v>
      </c>
      <c r="I10" s="3130"/>
      <c r="J10" s="118">
        <f>SUMIF(59:59,I10,60:60)-SUMIF(59:59,C10,60:60)+100</f>
        <v>100</v>
      </c>
      <c r="K10" s="38"/>
      <c r="L10" s="864"/>
      <c r="M10" s="865"/>
      <c r="N10" s="865"/>
      <c r="O10" s="866"/>
      <c r="P10" s="3383"/>
      <c r="Q10" s="529" t="str">
        <f t="shared" si="6"/>
        <v>土地使用年限（年）</v>
      </c>
      <c r="R10" s="663" t="s">
        <v>14</v>
      </c>
      <c r="S10" s="664">
        <f t="shared" si="0"/>
        <v>100</v>
      </c>
      <c r="T10" s="663" t="s">
        <v>14</v>
      </c>
      <c r="U10" s="664">
        <f t="shared" si="1"/>
        <v>100</v>
      </c>
      <c r="V10" s="663" t="s">
        <v>14</v>
      </c>
      <c r="W10" s="664">
        <f t="shared" si="2"/>
        <v>100</v>
      </c>
      <c r="X10" s="665"/>
      <c r="Y10" s="3290"/>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383"/>
      <c r="Q11" s="529" t="str">
        <f t="shared" si="6"/>
        <v>容积率</v>
      </c>
      <c r="R11" s="663" t="s">
        <v>14</v>
      </c>
      <c r="S11" s="664">
        <f t="shared" si="0"/>
        <v>100</v>
      </c>
      <c r="T11" s="663" t="s">
        <v>14</v>
      </c>
      <c r="U11" s="664">
        <f t="shared" si="1"/>
        <v>100</v>
      </c>
      <c r="V11" s="663" t="s">
        <v>14</v>
      </c>
      <c r="W11" s="664">
        <f t="shared" si="2"/>
        <v>100</v>
      </c>
      <c r="X11" s="665"/>
      <c r="Y11" s="3290"/>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383"/>
      <c r="Q12" s="529">
        <f t="shared" si="6"/>
        <v>111</v>
      </c>
      <c r="R12" s="663" t="s">
        <v>14</v>
      </c>
      <c r="S12" s="664">
        <f t="shared" si="0"/>
        <v>100</v>
      </c>
      <c r="T12" s="663" t="s">
        <v>14</v>
      </c>
      <c r="U12" s="664">
        <f t="shared" si="1"/>
        <v>100</v>
      </c>
      <c r="V12" s="663" t="s">
        <v>14</v>
      </c>
      <c r="W12" s="664">
        <f t="shared" si="2"/>
        <v>100</v>
      </c>
      <c r="X12" s="665"/>
      <c r="Y12" s="3290"/>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383"/>
      <c r="Q13" s="529">
        <f t="shared" si="6"/>
        <v>111</v>
      </c>
      <c r="R13" s="663" t="s">
        <v>14</v>
      </c>
      <c r="S13" s="664">
        <f t="shared" si="0"/>
        <v>100</v>
      </c>
      <c r="T13" s="663" t="s">
        <v>14</v>
      </c>
      <c r="U13" s="664">
        <f t="shared" si="1"/>
        <v>100</v>
      </c>
      <c r="V13" s="663" t="s">
        <v>14</v>
      </c>
      <c r="W13" s="664">
        <f t="shared" si="2"/>
        <v>100</v>
      </c>
      <c r="X13" s="665"/>
      <c r="Y13" s="3290"/>
      <c r="Z13" s="50">
        <f t="shared" si="7"/>
        <v>111</v>
      </c>
      <c r="AA13" s="50">
        <f t="shared" si="3"/>
        <v>1</v>
      </c>
      <c r="AB13" s="50">
        <f t="shared" si="4"/>
        <v>1</v>
      </c>
      <c r="AC13" s="50">
        <f t="shared" si="5"/>
        <v>1</v>
      </c>
    </row>
    <row r="14" spans="1:29" ht="15.6"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383"/>
      <c r="Q14" s="529">
        <f t="shared" si="6"/>
        <v>111</v>
      </c>
      <c r="R14" s="663" t="s">
        <v>14</v>
      </c>
      <c r="S14" s="664">
        <f t="shared" si="0"/>
        <v>100</v>
      </c>
      <c r="T14" s="663" t="s">
        <v>14</v>
      </c>
      <c r="U14" s="664">
        <f t="shared" si="1"/>
        <v>100</v>
      </c>
      <c r="V14" s="663" t="s">
        <v>14</v>
      </c>
      <c r="W14" s="664">
        <f t="shared" si="2"/>
        <v>100</v>
      </c>
      <c r="X14" s="665"/>
      <c r="Y14" s="3290"/>
      <c r="Z14" s="50">
        <f t="shared" si="7"/>
        <v>111</v>
      </c>
      <c r="AA14" s="50">
        <f t="shared" si="3"/>
        <v>1</v>
      </c>
      <c r="AB14" s="50">
        <f t="shared" si="4"/>
        <v>1</v>
      </c>
      <c r="AC14" s="50">
        <f t="shared" si="5"/>
        <v>1</v>
      </c>
    </row>
    <row r="15" spans="1:29" ht="69">
      <c r="A15" s="378" t="s">
        <v>1690</v>
      </c>
      <c r="B15" s="58" t="s">
        <v>1827</v>
      </c>
      <c r="C15" s="1818"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390" t="s">
        <v>1691</v>
      </c>
      <c r="Q15" s="1262" t="str">
        <f t="shared" si="6"/>
        <v>产业集聚程度</v>
      </c>
      <c r="R15" s="666" t="s">
        <v>14</v>
      </c>
      <c r="S15" s="667">
        <f t="shared" si="0"/>
        <v>100</v>
      </c>
      <c r="T15" s="666" t="s">
        <v>14</v>
      </c>
      <c r="U15" s="667">
        <f t="shared" si="1"/>
        <v>100</v>
      </c>
      <c r="V15" s="666" t="s">
        <v>14</v>
      </c>
      <c r="W15" s="667">
        <f t="shared" si="2"/>
        <v>100</v>
      </c>
      <c r="X15" s="1264"/>
      <c r="Y15" s="3390"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391"/>
      <c r="Q16" s="1262"/>
      <c r="R16" s="666"/>
      <c r="S16" s="667"/>
      <c r="T16" s="666"/>
      <c r="U16" s="667"/>
      <c r="V16" s="666"/>
      <c r="W16" s="667"/>
      <c r="X16" s="1264"/>
      <c r="Y16" s="3391"/>
      <c r="Z16" s="1263"/>
      <c r="AA16" s="1263">
        <v>1</v>
      </c>
      <c r="AB16" s="1263">
        <v>1</v>
      </c>
      <c r="AC16" s="1263">
        <v>1</v>
      </c>
    </row>
    <row r="17" spans="1:29" ht="96.6">
      <c r="A17" s="366"/>
      <c r="B17" s="389" t="s">
        <v>1259</v>
      </c>
      <c r="C17" s="1753"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391"/>
      <c r="Q17" s="1262" t="str">
        <f>B17</f>
        <v>交通便捷度</v>
      </c>
      <c r="R17" s="666" t="s">
        <v>14</v>
      </c>
      <c r="S17" s="667">
        <f>F17</f>
        <v>100</v>
      </c>
      <c r="T17" s="666" t="s">
        <v>14</v>
      </c>
      <c r="U17" s="667">
        <f>H17</f>
        <v>100</v>
      </c>
      <c r="V17" s="666" t="s">
        <v>14</v>
      </c>
      <c r="W17" s="667">
        <f>J17</f>
        <v>100</v>
      </c>
      <c r="X17" s="1264"/>
      <c r="Y17" s="3391"/>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391"/>
      <c r="Q18" s="1262"/>
      <c r="R18" s="666"/>
      <c r="S18" s="667"/>
      <c r="T18" s="666"/>
      <c r="U18" s="667"/>
      <c r="V18" s="666"/>
      <c r="W18" s="667"/>
      <c r="X18" s="1264"/>
      <c r="Y18" s="3391"/>
      <c r="Z18" s="1263"/>
      <c r="AA18" s="1263">
        <v>1</v>
      </c>
      <c r="AB18" s="1263">
        <v>1</v>
      </c>
      <c r="AC18" s="1263">
        <v>1</v>
      </c>
    </row>
    <row r="19" spans="1:29" ht="41.4">
      <c r="A19" s="366"/>
      <c r="B19" s="389" t="s">
        <v>1812</v>
      </c>
      <c r="C19" s="1753"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391"/>
      <c r="Q19" s="1262" t="str">
        <f>B19</f>
        <v>公共配套设施</v>
      </c>
      <c r="R19" s="666" t="s">
        <v>14</v>
      </c>
      <c r="S19" s="667">
        <f>F19</f>
        <v>100</v>
      </c>
      <c r="T19" s="666" t="s">
        <v>14</v>
      </c>
      <c r="U19" s="667">
        <f>H19</f>
        <v>100</v>
      </c>
      <c r="V19" s="666" t="s">
        <v>14</v>
      </c>
      <c r="W19" s="667">
        <f>J19</f>
        <v>100</v>
      </c>
      <c r="X19" s="1264"/>
      <c r="Y19" s="3391"/>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391"/>
      <c r="Q20" s="1262"/>
      <c r="R20" s="666"/>
      <c r="S20" s="667"/>
      <c r="T20" s="666"/>
      <c r="U20" s="667"/>
      <c r="V20" s="666"/>
      <c r="W20" s="667"/>
      <c r="X20" s="1264"/>
      <c r="Y20" s="3391"/>
      <c r="Z20" s="1263"/>
      <c r="AA20" s="1263">
        <v>1</v>
      </c>
      <c r="AB20" s="1263">
        <v>1</v>
      </c>
      <c r="AC20" s="1263">
        <v>1</v>
      </c>
    </row>
    <row r="21" spans="1:29" ht="41.4">
      <c r="A21" s="366"/>
      <c r="B21" s="585" t="s">
        <v>1813</v>
      </c>
      <c r="C21" s="1753"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391"/>
      <c r="Q21" s="1262" t="str">
        <f>B21</f>
        <v>基础设施水平</v>
      </c>
      <c r="R21" s="666" t="s">
        <v>14</v>
      </c>
      <c r="S21" s="667">
        <f>F21</f>
        <v>100</v>
      </c>
      <c r="T21" s="666" t="s">
        <v>14</v>
      </c>
      <c r="U21" s="667">
        <f>H21</f>
        <v>100</v>
      </c>
      <c r="V21" s="666" t="s">
        <v>14</v>
      </c>
      <c r="W21" s="667">
        <f>J21</f>
        <v>100</v>
      </c>
      <c r="X21" s="1264"/>
      <c r="Y21" s="3391"/>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391"/>
      <c r="Q22" s="1262"/>
      <c r="R22" s="666"/>
      <c r="S22" s="667"/>
      <c r="T22" s="666"/>
      <c r="U22" s="667"/>
      <c r="V22" s="666"/>
      <c r="W22" s="667"/>
      <c r="X22" s="1264"/>
      <c r="Y22" s="3391"/>
      <c r="Z22" s="1263"/>
      <c r="AA22" s="1263">
        <v>1</v>
      </c>
      <c r="AB22" s="1263">
        <v>1</v>
      </c>
      <c r="AC22" s="1263">
        <v>1</v>
      </c>
    </row>
    <row r="23" spans="1:29" ht="82.8">
      <c r="A23" s="366"/>
      <c r="B23" s="389" t="s">
        <v>1814</v>
      </c>
      <c r="C23" s="1753"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391"/>
      <c r="Q23" s="1262" t="str">
        <f>B23</f>
        <v>环境质量</v>
      </c>
      <c r="R23" s="666" t="s">
        <v>14</v>
      </c>
      <c r="S23" s="667">
        <f>F23</f>
        <v>100</v>
      </c>
      <c r="T23" s="666" t="s">
        <v>14</v>
      </c>
      <c r="U23" s="667">
        <f>H23</f>
        <v>100</v>
      </c>
      <c r="V23" s="666" t="s">
        <v>14</v>
      </c>
      <c r="W23" s="667">
        <f>J23</f>
        <v>100</v>
      </c>
      <c r="X23" s="1264"/>
      <c r="Y23" s="3391"/>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391"/>
      <c r="Q24" s="1262"/>
      <c r="R24" s="666"/>
      <c r="S24" s="667"/>
      <c r="T24" s="666"/>
      <c r="U24" s="667"/>
      <c r="V24" s="666"/>
      <c r="W24" s="667"/>
      <c r="X24" s="1264"/>
      <c r="Y24" s="3391"/>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391"/>
      <c r="Q25" s="1262">
        <f>B25</f>
        <v>111</v>
      </c>
      <c r="R25" s="666" t="s">
        <v>14</v>
      </c>
      <c r="S25" s="667">
        <f>F25</f>
        <v>100</v>
      </c>
      <c r="T25" s="666" t="s">
        <v>14</v>
      </c>
      <c r="U25" s="667">
        <f>H25</f>
        <v>100</v>
      </c>
      <c r="V25" s="666" t="s">
        <v>14</v>
      </c>
      <c r="W25" s="667">
        <f>J25</f>
        <v>100</v>
      </c>
      <c r="X25" s="1264"/>
      <c r="Y25" s="3391"/>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391"/>
      <c r="Q26" s="1262">
        <f t="shared" ref="Q26:Q40" si="11">B26</f>
        <v>111</v>
      </c>
      <c r="R26" s="666" t="s">
        <v>14</v>
      </c>
      <c r="S26" s="667">
        <f>F26</f>
        <v>100</v>
      </c>
      <c r="T26" s="666" t="s">
        <v>14</v>
      </c>
      <c r="U26" s="667">
        <f>H26</f>
        <v>100</v>
      </c>
      <c r="V26" s="666" t="s">
        <v>14</v>
      </c>
      <c r="W26" s="667">
        <f>J26</f>
        <v>100</v>
      </c>
      <c r="X26" s="1264"/>
      <c r="Y26" s="3391"/>
      <c r="Z26" s="1263">
        <f>Q26</f>
        <v>111</v>
      </c>
      <c r="AA26" s="1263">
        <f t="shared" si="3"/>
        <v>1</v>
      </c>
      <c r="AB26" s="1263">
        <f t="shared" si="4"/>
        <v>1</v>
      </c>
      <c r="AC26" s="1263">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391"/>
      <c r="Q27" s="529">
        <f t="shared" si="11"/>
        <v>111</v>
      </c>
      <c r="R27" s="663" t="s">
        <v>14</v>
      </c>
      <c r="S27" s="664">
        <f>F27</f>
        <v>100</v>
      </c>
      <c r="T27" s="663" t="s">
        <v>14</v>
      </c>
      <c r="U27" s="664">
        <f>H27</f>
        <v>100</v>
      </c>
      <c r="V27" s="663" t="s">
        <v>14</v>
      </c>
      <c r="W27" s="664">
        <f>J27</f>
        <v>100</v>
      </c>
      <c r="X27" s="665"/>
      <c r="Y27" s="3391"/>
      <c r="Z27" s="50">
        <f>Q27</f>
        <v>111</v>
      </c>
      <c r="AA27" s="1263">
        <f>D27/F27</f>
        <v>1</v>
      </c>
      <c r="AB27" s="1263">
        <f>D27/H27</f>
        <v>1</v>
      </c>
      <c r="AC27" s="1263">
        <f>D27/J27</f>
        <v>1</v>
      </c>
    </row>
    <row r="28" spans="1:29" ht="15.6"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391"/>
      <c r="Q28" s="1262">
        <f t="shared" si="11"/>
        <v>111</v>
      </c>
      <c r="R28" s="666" t="s">
        <v>14</v>
      </c>
      <c r="S28" s="667">
        <f t="shared" ref="S28:S40" si="12">F28</f>
        <v>100</v>
      </c>
      <c r="T28" s="666" t="s">
        <v>14</v>
      </c>
      <c r="U28" s="667">
        <f t="shared" ref="U28:U40" si="13">H28</f>
        <v>100</v>
      </c>
      <c r="V28" s="666" t="s">
        <v>14</v>
      </c>
      <c r="W28" s="667">
        <f t="shared" ref="W28:W40" si="14">J28</f>
        <v>100</v>
      </c>
      <c r="X28" s="1264"/>
      <c r="Y28" s="3391"/>
      <c r="Z28" s="1263">
        <f t="shared" ref="Z28:Z40" si="15">Q28</f>
        <v>111</v>
      </c>
      <c r="AA28" s="1263">
        <f t="shared" si="3"/>
        <v>1</v>
      </c>
      <c r="AB28" s="1263">
        <f t="shared" si="4"/>
        <v>1</v>
      </c>
      <c r="AC28" s="1263">
        <f t="shared" si="5"/>
        <v>1</v>
      </c>
    </row>
    <row r="29" spans="1:29" ht="30">
      <c r="A29" s="403" t="s">
        <v>1694</v>
      </c>
      <c r="B29" s="60"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65" t="s">
        <v>1696</v>
      </c>
      <c r="Q29" s="1262" t="str">
        <f t="shared" si="11"/>
        <v>建筑类型</v>
      </c>
      <c r="R29" s="666" t="s">
        <v>14</v>
      </c>
      <c r="S29" s="667">
        <f t="shared" si="12"/>
        <v>100</v>
      </c>
      <c r="T29" s="666" t="s">
        <v>14</v>
      </c>
      <c r="U29" s="667">
        <f t="shared" si="13"/>
        <v>100</v>
      </c>
      <c r="V29" s="666" t="s">
        <v>14</v>
      </c>
      <c r="W29" s="667">
        <f t="shared" si="14"/>
        <v>100</v>
      </c>
      <c r="X29" s="1264"/>
      <c r="Y29" s="3395"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395"/>
      <c r="Q30" s="530" t="str">
        <f t="shared" si="11"/>
        <v>项目建筑规模</v>
      </c>
      <c r="R30" s="668" t="s">
        <v>14</v>
      </c>
      <c r="S30" s="669" t="e">
        <f t="shared" si="12"/>
        <v>#N/A</v>
      </c>
      <c r="T30" s="668" t="s">
        <v>14</v>
      </c>
      <c r="U30" s="669" t="e">
        <f t="shared" si="13"/>
        <v>#N/A</v>
      </c>
      <c r="V30" s="668" t="s">
        <v>14</v>
      </c>
      <c r="W30" s="669" t="e">
        <f t="shared" si="14"/>
        <v>#N/A</v>
      </c>
      <c r="X30" s="670"/>
      <c r="Y30" s="3395"/>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395"/>
      <c r="Q31" s="1262" t="str">
        <f t="shared" si="11"/>
        <v>建筑结构</v>
      </c>
      <c r="R31" s="666" t="s">
        <v>14</v>
      </c>
      <c r="S31" s="667">
        <f t="shared" si="12"/>
        <v>100</v>
      </c>
      <c r="T31" s="666" t="s">
        <v>14</v>
      </c>
      <c r="U31" s="667">
        <f t="shared" si="13"/>
        <v>100</v>
      </c>
      <c r="V31" s="666" t="s">
        <v>14</v>
      </c>
      <c r="W31" s="667">
        <f t="shared" si="14"/>
        <v>100</v>
      </c>
      <c r="X31" s="1264"/>
      <c r="Y31" s="3395"/>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395"/>
      <c r="Q32" s="1262" t="str">
        <f t="shared" si="11"/>
        <v>公共部分装修</v>
      </c>
      <c r="R32" s="666" t="s">
        <v>14</v>
      </c>
      <c r="S32" s="667">
        <f t="shared" si="12"/>
        <v>100</v>
      </c>
      <c r="T32" s="666" t="s">
        <v>14</v>
      </c>
      <c r="U32" s="667">
        <f t="shared" si="13"/>
        <v>100</v>
      </c>
      <c r="V32" s="666" t="s">
        <v>14</v>
      </c>
      <c r="W32" s="667">
        <f t="shared" si="14"/>
        <v>100</v>
      </c>
      <c r="X32" s="1264"/>
      <c r="Y32" s="3395"/>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395"/>
      <c r="Q33" s="1262" t="str">
        <f t="shared" si="11"/>
        <v>成新度</v>
      </c>
      <c r="R33" s="666" t="s">
        <v>14</v>
      </c>
      <c r="S33" s="667" t="e">
        <f t="shared" si="12"/>
        <v>#N/A</v>
      </c>
      <c r="T33" s="666" t="s">
        <v>14</v>
      </c>
      <c r="U33" s="667" t="e">
        <f t="shared" si="13"/>
        <v>#N/A</v>
      </c>
      <c r="V33" s="666" t="s">
        <v>14</v>
      </c>
      <c r="W33" s="667" t="e">
        <f t="shared" si="14"/>
        <v>#N/A</v>
      </c>
      <c r="X33" s="1264"/>
      <c r="Y33" s="3395"/>
      <c r="Z33" s="1263" t="str">
        <f t="shared" si="15"/>
        <v>成新度</v>
      </c>
      <c r="AA33" s="1263" t="e">
        <f t="shared" si="3"/>
        <v>#N/A</v>
      </c>
      <c r="AB33" s="1263" t="e">
        <f t="shared" si="4"/>
        <v>#N/A</v>
      </c>
      <c r="AC33" s="1263"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395"/>
      <c r="Q34" s="529" t="str">
        <f t="shared" si="11"/>
        <v>物业管理</v>
      </c>
      <c r="R34" s="663" t="s">
        <v>14</v>
      </c>
      <c r="S34" s="664">
        <f t="shared" si="12"/>
        <v>100</v>
      </c>
      <c r="T34" s="663" t="s">
        <v>14</v>
      </c>
      <c r="U34" s="664">
        <f t="shared" si="13"/>
        <v>100</v>
      </c>
      <c r="V34" s="663" t="s">
        <v>14</v>
      </c>
      <c r="W34" s="664">
        <f t="shared" si="14"/>
        <v>100</v>
      </c>
      <c r="X34" s="665"/>
      <c r="Y34" s="3395"/>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395" t="s">
        <v>1696</v>
      </c>
      <c r="Q35" s="1262" t="str">
        <f t="shared" si="11"/>
        <v>市政基础设施</v>
      </c>
      <c r="R35" s="666" t="s">
        <v>14</v>
      </c>
      <c r="S35" s="667">
        <f t="shared" si="12"/>
        <v>100</v>
      </c>
      <c r="T35" s="666" t="s">
        <v>14</v>
      </c>
      <c r="U35" s="667">
        <f t="shared" si="13"/>
        <v>100</v>
      </c>
      <c r="V35" s="666" t="s">
        <v>14</v>
      </c>
      <c r="W35" s="667">
        <f t="shared" si="14"/>
        <v>100</v>
      </c>
      <c r="X35" s="1264"/>
      <c r="Y35" s="3395"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395"/>
      <c r="Q36" s="1262" t="str">
        <f t="shared" si="11"/>
        <v>内部装修</v>
      </c>
      <c r="R36" s="666" t="s">
        <v>14</v>
      </c>
      <c r="S36" s="667">
        <f t="shared" si="12"/>
        <v>100</v>
      </c>
      <c r="T36" s="666" t="s">
        <v>14</v>
      </c>
      <c r="U36" s="667">
        <f t="shared" si="13"/>
        <v>100</v>
      </c>
      <c r="V36" s="666" t="s">
        <v>14</v>
      </c>
      <c r="W36" s="667">
        <f t="shared" si="14"/>
        <v>100</v>
      </c>
      <c r="X36" s="1264"/>
      <c r="Y36" s="3395"/>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395"/>
      <c r="Q37" s="1262" t="str">
        <f t="shared" si="11"/>
        <v>内部装修状况</v>
      </c>
      <c r="R37" s="666" t="s">
        <v>14</v>
      </c>
      <c r="S37" s="667">
        <f t="shared" si="12"/>
        <v>100</v>
      </c>
      <c r="T37" s="666" t="s">
        <v>14</v>
      </c>
      <c r="U37" s="667">
        <f t="shared" si="13"/>
        <v>100</v>
      </c>
      <c r="V37" s="666" t="s">
        <v>14</v>
      </c>
      <c r="W37" s="667">
        <f t="shared" si="14"/>
        <v>100</v>
      </c>
      <c r="X37" s="1264"/>
      <c r="Y37" s="3395"/>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395"/>
      <c r="Q38" s="530">
        <f t="shared" si="11"/>
        <v>111</v>
      </c>
      <c r="R38" s="668" t="s">
        <v>14</v>
      </c>
      <c r="S38" s="669">
        <f t="shared" si="12"/>
        <v>100</v>
      </c>
      <c r="T38" s="668" t="s">
        <v>14</v>
      </c>
      <c r="U38" s="669">
        <f t="shared" si="13"/>
        <v>100</v>
      </c>
      <c r="V38" s="668" t="s">
        <v>14</v>
      </c>
      <c r="W38" s="669">
        <f t="shared" si="14"/>
        <v>100</v>
      </c>
      <c r="X38" s="670"/>
      <c r="Y38" s="3395"/>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395"/>
      <c r="Q39" s="1262">
        <f t="shared" si="11"/>
        <v>111</v>
      </c>
      <c r="R39" s="666" t="s">
        <v>14</v>
      </c>
      <c r="S39" s="667">
        <f t="shared" si="12"/>
        <v>100</v>
      </c>
      <c r="T39" s="666" t="s">
        <v>14</v>
      </c>
      <c r="U39" s="667">
        <f t="shared" si="13"/>
        <v>100</v>
      </c>
      <c r="V39" s="666" t="s">
        <v>14</v>
      </c>
      <c r="W39" s="667">
        <f t="shared" si="14"/>
        <v>100</v>
      </c>
      <c r="X39" s="1264"/>
      <c r="Y39" s="3395"/>
      <c r="Z39" s="1263">
        <f t="shared" si="15"/>
        <v>111</v>
      </c>
      <c r="AA39" s="1263">
        <f t="shared" si="3"/>
        <v>1</v>
      </c>
      <c r="AB39" s="1263">
        <f t="shared" si="4"/>
        <v>1</v>
      </c>
      <c r="AC39" s="1263">
        <f t="shared" si="5"/>
        <v>1</v>
      </c>
    </row>
    <row r="40" spans="1:29" ht="15.6"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396"/>
      <c r="Q40" s="1262">
        <f t="shared" si="11"/>
        <v>111</v>
      </c>
      <c r="R40" s="666" t="s">
        <v>14</v>
      </c>
      <c r="S40" s="667">
        <f t="shared" si="12"/>
        <v>100</v>
      </c>
      <c r="T40" s="666" t="s">
        <v>14</v>
      </c>
      <c r="U40" s="667">
        <f t="shared" si="13"/>
        <v>100</v>
      </c>
      <c r="V40" s="666" t="s">
        <v>14</v>
      </c>
      <c r="W40" s="667">
        <f t="shared" si="14"/>
        <v>100</v>
      </c>
      <c r="X40" s="1264"/>
      <c r="Y40" s="3396"/>
      <c r="Z40" s="1263">
        <f t="shared" si="15"/>
        <v>111</v>
      </c>
      <c r="AA40" s="1263">
        <f t="shared" si="3"/>
        <v>1</v>
      </c>
      <c r="AB40" s="1263">
        <f t="shared" si="4"/>
        <v>1</v>
      </c>
      <c r="AC40" s="1263">
        <f t="shared" si="5"/>
        <v>1</v>
      </c>
    </row>
    <row r="41" spans="1:29" ht="14.4">
      <c r="A41" s="415" t="s">
        <v>1708</v>
      </c>
      <c r="B41" s="416"/>
      <c r="C41" s="1080" t="s">
        <v>0</v>
      </c>
      <c r="D41" s="417"/>
      <c r="E41" s="418"/>
      <c r="F41" s="419"/>
      <c r="G41" s="420"/>
      <c r="H41" s="421"/>
      <c r="I41" s="418"/>
      <c r="J41" s="421"/>
      <c r="K41" s="673"/>
      <c r="L41" s="872"/>
      <c r="M41" s="860"/>
      <c r="N41" s="860"/>
      <c r="O41" s="860"/>
      <c r="P41" s="3383" t="str">
        <f>A41</f>
        <v>成交单价（元/平方米）</v>
      </c>
      <c r="Q41" s="3383"/>
      <c r="R41" s="3384">
        <f>E41</f>
        <v>0</v>
      </c>
      <c r="S41" s="3384"/>
      <c r="T41" s="3384">
        <f>G41</f>
        <v>0</v>
      </c>
      <c r="U41" s="3384"/>
      <c r="V41" s="3384">
        <f>I41</f>
        <v>0</v>
      </c>
      <c r="W41" s="3384"/>
      <c r="X41" s="384"/>
      <c r="Y41" s="672"/>
      <c r="Z41" s="384"/>
      <c r="AA41" s="384"/>
      <c r="AB41" s="384"/>
      <c r="AC41" s="384"/>
    </row>
    <row r="42" spans="1:29" ht="15" thickBot="1">
      <c r="A42" s="422" t="s">
        <v>1793</v>
      </c>
      <c r="B42" s="423"/>
      <c r="C42" s="1081" t="e">
        <f>R43</f>
        <v>#DIV/0!</v>
      </c>
      <c r="D42" s="2140" t="s">
        <v>2138</v>
      </c>
      <c r="E42" s="1082" t="e">
        <f>R42</f>
        <v>#DIV/0!</v>
      </c>
      <c r="F42" s="2141"/>
      <c r="G42" s="1081" t="e">
        <f>T42</f>
        <v>#DIV/0!</v>
      </c>
      <c r="H42" s="2141"/>
      <c r="I42" s="1082" t="e">
        <f>V42</f>
        <v>#DIV/0!</v>
      </c>
      <c r="J42" s="2141"/>
      <c r="K42" s="2143">
        <f>F42+H42+J42</f>
        <v>0</v>
      </c>
      <c r="L42" s="872"/>
      <c r="M42" s="860"/>
      <c r="N42" s="860"/>
      <c r="O42" s="860"/>
      <c r="P42" s="3383" t="str">
        <f>A42</f>
        <v>比较价值（元/平方米）</v>
      </c>
      <c r="Q42" s="3383"/>
      <c r="R42" s="3384" t="e">
        <f>IF(F1="售价",ROUND(PRODUCT(R41,AA7:AA40),0),ROUND(PRODUCT(R41,AA7:AA40),1))</f>
        <v>#DIV/0!</v>
      </c>
      <c r="S42" s="3384"/>
      <c r="T42" s="3384" t="e">
        <f>IF(F1="售价",ROUND(PRODUCT(T41,AB7:AB40),0),ROUND(PRODUCT(T41,AB7:AB40),1))</f>
        <v>#DIV/0!</v>
      </c>
      <c r="U42" s="3384"/>
      <c r="V42" s="3384" t="e">
        <f>IF(F1="售价",ROUND(PRODUCT(V41,AC7:AC40),0),ROUND(PRODUCT(V41,AC7:AC40),1))</f>
        <v>#DIV/0!</v>
      </c>
      <c r="W42" s="3384"/>
      <c r="X42" s="384"/>
      <c r="Y42" s="384"/>
      <c r="Z42" s="384"/>
      <c r="AA42" s="384"/>
      <c r="AB42" s="384"/>
      <c r="AC42" s="384"/>
    </row>
    <row r="43" spans="1:29" ht="15" thickBot="1">
      <c r="A43" s="426" t="s">
        <v>1794</v>
      </c>
      <c r="B43" s="427"/>
      <c r="C43" s="350" t="e">
        <f>R43</f>
        <v>#DIV/0!</v>
      </c>
      <c r="D43" s="350"/>
      <c r="E43" s="350"/>
      <c r="F43" s="350"/>
      <c r="G43" s="350"/>
      <c r="H43" s="350"/>
      <c r="I43" s="350"/>
      <c r="J43" s="350"/>
      <c r="K43" s="674"/>
      <c r="L43" s="872"/>
      <c r="M43" s="860"/>
      <c r="N43" s="860"/>
      <c r="O43" s="860"/>
      <c r="P43" s="3385" t="str">
        <f>A43</f>
        <v>估价对象XX用房的比较价值（楼面单价，元/平方米）</v>
      </c>
      <c r="Q43" s="3386"/>
      <c r="R43" s="3387" t="e">
        <f>IF(F1="售价",ROUND(IF(D42="简单平均",AVERAGE(R42:V42),R42*F42+T42*H42+V42*J42),0),ROUND(IF(D42="简单平均",AVERAGE(R42:V42),R42*F42+T42*H42+V42*J42),1))</f>
        <v>#DIV/0!</v>
      </c>
      <c r="S43" s="3387"/>
      <c r="T43" s="3387"/>
      <c r="U43" s="3387"/>
      <c r="V43" s="3387"/>
      <c r="W43" s="3387"/>
      <c r="X43" s="384"/>
      <c r="Y43" s="384"/>
      <c r="Z43" s="384"/>
      <c r="AA43" s="384"/>
      <c r="AB43" s="384"/>
      <c r="AC43" s="384"/>
    </row>
    <row r="44" spans="1:29">
      <c r="A44" s="2485"/>
      <c r="B44" s="2485"/>
      <c r="C44" s="2485"/>
      <c r="D44" s="2485"/>
      <c r="E44" s="2485"/>
      <c r="F44" s="2485"/>
      <c r="G44" s="2496"/>
      <c r="H44" s="2485"/>
      <c r="I44" s="2485"/>
      <c r="J44" s="2485"/>
      <c r="K44" s="2497"/>
      <c r="L44" s="835"/>
      <c r="M44" s="860"/>
      <c r="N44" s="860"/>
      <c r="O44" s="860"/>
    </row>
    <row r="45" spans="1:29">
      <c r="A45" s="2485"/>
      <c r="B45" s="2485"/>
      <c r="C45" s="2485"/>
      <c r="D45" s="2485"/>
      <c r="E45" s="2485"/>
      <c r="F45" s="2485"/>
      <c r="G45" s="2485"/>
      <c r="H45" s="2485"/>
      <c r="I45" s="2485"/>
      <c r="J45" s="2485"/>
      <c r="K45" s="2497"/>
      <c r="L45" s="835"/>
      <c r="M45" s="860"/>
      <c r="N45" s="860"/>
      <c r="O45" s="860"/>
    </row>
    <row r="46" spans="1:29" ht="13.5" customHeight="1">
      <c r="A46" s="2485"/>
      <c r="B46" s="2485"/>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7"/>
      <c r="L46" s="835"/>
      <c r="M46" s="860"/>
      <c r="N46" s="860"/>
      <c r="O46" s="860"/>
    </row>
    <row r="47" spans="1:29" ht="13.5" customHeight="1">
      <c r="A47" s="2485"/>
      <c r="B47" s="2485"/>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7"/>
      <c r="L47" s="835"/>
      <c r="M47" s="860"/>
      <c r="N47" s="860"/>
      <c r="O47" s="860"/>
    </row>
    <row r="48" spans="1:29" s="436" customFormat="1" ht="13.5" customHeight="1">
      <c r="A48" s="2495"/>
      <c r="B48" s="2495"/>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0"/>
      <c r="L48" s="875"/>
      <c r="M48" s="873"/>
      <c r="N48" s="873"/>
      <c r="O48" s="873"/>
    </row>
    <row r="49" spans="1:17" s="436" customFormat="1">
      <c r="A49" s="2495"/>
      <c r="B49" s="2498"/>
      <c r="C49" s="2499"/>
      <c r="D49" s="2495"/>
      <c r="E49" s="2495"/>
      <c r="F49" s="2495"/>
      <c r="G49" s="2495"/>
      <c r="H49" s="2495"/>
      <c r="I49" s="2495"/>
      <c r="J49" s="2495"/>
      <c r="K49" s="2500"/>
      <c r="L49" s="875"/>
      <c r="M49" s="873"/>
      <c r="N49" s="873"/>
      <c r="O49" s="873"/>
    </row>
    <row r="50" spans="1:17">
      <c r="A50" s="2485"/>
      <c r="B50" s="2498"/>
      <c r="C50" s="2499"/>
      <c r="D50" s="2485"/>
      <c r="E50" s="2485"/>
      <c r="F50" s="2485"/>
      <c r="G50" s="2485"/>
      <c r="H50" s="2485"/>
      <c r="I50" s="2485"/>
      <c r="J50" s="2485"/>
      <c r="K50" s="2497"/>
      <c r="L50" s="835"/>
      <c r="M50" s="860"/>
      <c r="N50" s="860"/>
      <c r="O50" s="860"/>
    </row>
    <row r="51" spans="1:17" ht="22.2" thickBot="1">
      <c r="A51" s="657" t="s">
        <v>1798</v>
      </c>
      <c r="B51" s="384"/>
      <c r="C51" s="658"/>
      <c r="D51" s="658"/>
      <c r="E51" s="658"/>
      <c r="F51" s="659"/>
      <c r="G51" s="659"/>
      <c r="H51" s="658"/>
      <c r="I51" s="658"/>
      <c r="J51" s="658"/>
      <c r="K51" s="886"/>
      <c r="L51" s="887"/>
      <c r="M51" s="885"/>
      <c r="N51" s="885"/>
      <c r="O51" s="885"/>
      <c r="P51" s="437"/>
      <c r="Q51" s="438"/>
    </row>
    <row r="52" spans="1:17" s="441" customFormat="1" ht="14.4">
      <c r="A52" s="439" t="s">
        <v>1679</v>
      </c>
      <c r="B52" s="440"/>
      <c r="C52" s="1102" t="str">
        <f>YEAR(C7)&amp;"-"&amp;MONTH(C7)</f>
        <v>2024-9</v>
      </c>
      <c r="D52" s="1103">
        <f>EDATE(C52,-1)</f>
        <v>45505</v>
      </c>
      <c r="E52" s="1103">
        <f t="shared" ref="E52:O52" si="16">EDATE(D52,-1)</f>
        <v>45474</v>
      </c>
      <c r="F52" s="1103">
        <f t="shared" si="16"/>
        <v>45444</v>
      </c>
      <c r="G52" s="1103">
        <f t="shared" si="16"/>
        <v>45413</v>
      </c>
      <c r="H52" s="1103">
        <f t="shared" si="16"/>
        <v>45383</v>
      </c>
      <c r="I52" s="1103">
        <f t="shared" si="16"/>
        <v>45352</v>
      </c>
      <c r="J52" s="1103">
        <f t="shared" si="16"/>
        <v>45323</v>
      </c>
      <c r="K52" s="1103">
        <f t="shared" si="16"/>
        <v>45292</v>
      </c>
      <c r="L52" s="1103">
        <f t="shared" si="16"/>
        <v>45261</v>
      </c>
      <c r="M52" s="1103">
        <f t="shared" si="16"/>
        <v>45231</v>
      </c>
      <c r="N52" s="1103">
        <f t="shared" si="16"/>
        <v>45200</v>
      </c>
      <c r="O52" s="1103">
        <f t="shared" si="16"/>
        <v>45170</v>
      </c>
    </row>
    <row r="53" spans="1:17" s="101" customFormat="1">
      <c r="A53" s="442"/>
      <c r="B53" s="443"/>
      <c r="C53" s="1101">
        <v>100</v>
      </c>
      <c r="D53" s="445"/>
      <c r="E53" s="445"/>
      <c r="F53" s="445"/>
      <c r="G53" s="445"/>
      <c r="H53" s="445"/>
      <c r="I53" s="445"/>
      <c r="J53" s="445"/>
      <c r="K53" s="445"/>
      <c r="L53" s="445"/>
      <c r="M53" s="446"/>
      <c r="N53" s="445"/>
      <c r="O53" s="447"/>
      <c r="P53" s="438"/>
    </row>
    <row r="54" spans="1:17" s="101" customFormat="1" ht="15" thickBot="1">
      <c r="A54" s="448" t="s">
        <v>1716</v>
      </c>
      <c r="B54" s="449"/>
      <c r="C54" s="450"/>
      <c r="D54" s="451"/>
      <c r="E54" s="451"/>
      <c r="F54" s="451"/>
      <c r="G54" s="451"/>
      <c r="H54" s="451"/>
      <c r="I54" s="451"/>
      <c r="J54" s="451"/>
      <c r="K54" s="451"/>
      <c r="L54" s="451"/>
      <c r="M54" s="452"/>
      <c r="N54" s="2536"/>
      <c r="O54" s="2537"/>
      <c r="P54" s="438"/>
      <c r="Q54" s="438"/>
    </row>
    <row r="55" spans="1:17" s="101" customFormat="1" ht="14.4">
      <c r="A55" s="454" t="s">
        <v>1681</v>
      </c>
      <c r="B55" s="443"/>
      <c r="C55" s="455" t="s">
        <v>1776</v>
      </c>
      <c r="D55" s="31"/>
      <c r="E55" s="31"/>
      <c r="F55" s="31"/>
      <c r="G55" s="31"/>
      <c r="H55" s="31"/>
      <c r="I55" s="31"/>
      <c r="J55" s="31"/>
      <c r="K55" s="31"/>
      <c r="L55" s="456"/>
      <c r="M55" s="457"/>
      <c r="N55" s="877"/>
      <c r="O55" s="877"/>
      <c r="P55" s="458"/>
      <c r="Q55" s="438"/>
    </row>
    <row r="56" spans="1:17" s="101" customFormat="1" ht="14.4" thickBot="1">
      <c r="A56" s="454"/>
      <c r="B56" s="443"/>
      <c r="C56" s="562">
        <v>100</v>
      </c>
      <c r="D56" s="445"/>
      <c r="E56" s="445"/>
      <c r="F56" s="445"/>
      <c r="G56" s="445"/>
      <c r="H56" s="445"/>
      <c r="I56" s="445"/>
      <c r="J56" s="445"/>
      <c r="K56" s="445"/>
      <c r="L56" s="445"/>
      <c r="M56" s="447"/>
      <c r="N56" s="877"/>
      <c r="O56" s="877"/>
      <c r="P56" s="438"/>
      <c r="Q56" s="438"/>
    </row>
    <row r="57" spans="1:17" ht="14.4">
      <c r="A57" s="378" t="s">
        <v>1719</v>
      </c>
      <c r="B57" s="459" t="s">
        <v>1685</v>
      </c>
      <c r="C57" s="460">
        <f>C9</f>
        <v>0</v>
      </c>
      <c r="D57" s="461"/>
      <c r="E57" s="461"/>
      <c r="F57" s="461"/>
      <c r="G57" s="461"/>
      <c r="H57" s="461"/>
      <c r="I57" s="461"/>
      <c r="J57" s="461"/>
      <c r="K57" s="462"/>
      <c r="L57" s="463"/>
      <c r="M57" s="464"/>
      <c r="N57" s="878"/>
      <c r="O57" s="878"/>
      <c r="P57" s="40"/>
      <c r="Q57" s="438"/>
    </row>
    <row r="58" spans="1:17" ht="14.4" thickBot="1">
      <c r="A58" s="366"/>
      <c r="B58" s="465"/>
      <c r="C58" s="466">
        <v>100</v>
      </c>
      <c r="D58" s="466"/>
      <c r="E58" s="466"/>
      <c r="F58" s="466"/>
      <c r="G58" s="466"/>
      <c r="H58" s="466"/>
      <c r="I58" s="466"/>
      <c r="J58" s="466"/>
      <c r="K58" s="466"/>
      <c r="L58" s="466"/>
      <c r="M58" s="467"/>
      <c r="N58" s="879"/>
      <c r="O58" s="879"/>
      <c r="P58" s="40"/>
      <c r="Q58" s="438"/>
    </row>
    <row r="59" spans="1:17" ht="29.4" thickTop="1">
      <c r="A59" s="366"/>
      <c r="B59" s="468" t="s">
        <v>1688</v>
      </c>
      <c r="C59" s="512"/>
      <c r="D59" s="512"/>
      <c r="E59" s="512"/>
      <c r="F59" s="512"/>
      <c r="G59" s="512"/>
      <c r="H59" s="512"/>
      <c r="I59" s="512"/>
      <c r="J59" s="512"/>
      <c r="K59" s="513"/>
      <c r="L59" s="514"/>
      <c r="M59" s="515"/>
      <c r="N59" s="878"/>
      <c r="O59" s="878"/>
      <c r="P59" s="40"/>
      <c r="Q59" s="438"/>
    </row>
    <row r="60" spans="1:17" ht="14.4" thickBot="1">
      <c r="A60" s="366"/>
      <c r="B60" s="473"/>
      <c r="C60" s="466"/>
      <c r="D60" s="466"/>
      <c r="E60" s="466"/>
      <c r="F60" s="466"/>
      <c r="G60" s="466"/>
      <c r="H60" s="466"/>
      <c r="I60" s="466"/>
      <c r="J60" s="466"/>
      <c r="K60" s="466"/>
      <c r="L60" s="466"/>
      <c r="M60" s="467"/>
      <c r="N60" s="879"/>
      <c r="O60" s="879"/>
      <c r="P60" s="40"/>
      <c r="Q60" s="438"/>
    </row>
    <row r="61" spans="1:17" ht="1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c r="A62" s="366"/>
      <c r="B62" s="478"/>
      <c r="C62" s="479">
        <v>0</v>
      </c>
      <c r="D62" s="479">
        <v>2</v>
      </c>
      <c r="E62" s="479"/>
      <c r="F62" s="479"/>
      <c r="G62" s="479"/>
      <c r="H62" s="479"/>
      <c r="I62" s="479"/>
      <c r="J62" s="479"/>
      <c r="K62" s="480"/>
      <c r="L62" s="481"/>
      <c r="M62" s="482"/>
      <c r="N62" s="878"/>
      <c r="O62" s="878"/>
      <c r="P62" s="40"/>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4.4" thickTop="1">
      <c r="A64" s="483"/>
      <c r="B64" s="468">
        <f>B12</f>
        <v>111</v>
      </c>
      <c r="C64" s="484"/>
      <c r="D64" s="484"/>
      <c r="E64" s="484"/>
      <c r="F64" s="484"/>
      <c r="G64" s="484"/>
      <c r="H64" s="485"/>
      <c r="I64" s="485"/>
      <c r="J64" s="485"/>
      <c r="K64" s="485"/>
      <c r="L64" s="486"/>
      <c r="M64" s="487"/>
      <c r="N64" s="880"/>
      <c r="O64" s="880"/>
      <c r="P64" s="488"/>
      <c r="Q64" s="489"/>
    </row>
    <row r="65" spans="1:17" s="407" customFormat="1" ht="14.4" thickBot="1">
      <c r="A65" s="483"/>
      <c r="B65" s="473"/>
      <c r="C65" s="490"/>
      <c r="D65" s="466"/>
      <c r="E65" s="466"/>
      <c r="F65" s="466"/>
      <c r="G65" s="466"/>
      <c r="H65" s="466"/>
      <c r="I65" s="466"/>
      <c r="J65" s="466"/>
      <c r="K65" s="466"/>
      <c r="L65" s="466"/>
      <c r="M65" s="467"/>
      <c r="N65" s="879"/>
      <c r="O65" s="879"/>
      <c r="P65" s="488"/>
      <c r="Q65" s="489"/>
    </row>
    <row r="66" spans="1:17" s="407" customFormat="1" ht="14.4" thickTop="1">
      <c r="A66" s="483"/>
      <c r="B66" s="468">
        <f>B13</f>
        <v>111</v>
      </c>
      <c r="C66" s="484"/>
      <c r="D66" s="484"/>
      <c r="E66" s="484"/>
      <c r="F66" s="484"/>
      <c r="G66" s="484"/>
      <c r="H66" s="485"/>
      <c r="I66" s="485"/>
      <c r="J66" s="485"/>
      <c r="K66" s="485"/>
      <c r="L66" s="486"/>
      <c r="M66" s="487"/>
      <c r="N66" s="880"/>
      <c r="O66" s="880"/>
      <c r="Q66" s="491"/>
    </row>
    <row r="67" spans="1:17" s="407" customFormat="1" ht="14.4" thickBot="1">
      <c r="A67" s="483"/>
      <c r="B67" s="473"/>
      <c r="C67" s="490"/>
      <c r="D67" s="466"/>
      <c r="E67" s="466"/>
      <c r="F67" s="466"/>
      <c r="G67" s="490"/>
      <c r="H67" s="492"/>
      <c r="I67" s="492"/>
      <c r="J67" s="492"/>
      <c r="K67" s="492"/>
      <c r="L67" s="492"/>
      <c r="M67" s="493"/>
      <c r="N67" s="880"/>
      <c r="O67" s="880"/>
      <c r="P67" s="488"/>
      <c r="Q67" s="489"/>
    </row>
    <row r="68" spans="1:17" s="407" customFormat="1" ht="14.4" thickTop="1">
      <c r="A68" s="483"/>
      <c r="B68" s="476">
        <f>B14</f>
        <v>111</v>
      </c>
      <c r="C68" s="31"/>
      <c r="D68" s="31"/>
      <c r="E68" s="31"/>
      <c r="F68" s="31"/>
      <c r="G68" s="31"/>
      <c r="H68" s="494"/>
      <c r="I68" s="494"/>
      <c r="J68" s="494"/>
      <c r="K68" s="494"/>
      <c r="L68" s="495"/>
      <c r="M68" s="496"/>
      <c r="N68" s="880"/>
      <c r="O68" s="880"/>
      <c r="P68" s="497"/>
      <c r="Q68" s="489"/>
    </row>
    <row r="69" spans="1:17" s="407" customFormat="1" ht="14.4" thickBot="1">
      <c r="A69" s="498"/>
      <c r="B69" s="499"/>
      <c r="C69" s="500"/>
      <c r="D69" s="500"/>
      <c r="E69" s="500"/>
      <c r="F69" s="500"/>
      <c r="G69" s="500"/>
      <c r="H69" s="501"/>
      <c r="I69" s="501"/>
      <c r="J69" s="501"/>
      <c r="K69" s="501"/>
      <c r="L69" s="501"/>
      <c r="M69" s="502"/>
      <c r="N69" s="880"/>
      <c r="O69" s="880"/>
      <c r="P69" s="488"/>
      <c r="Q69" s="489"/>
    </row>
    <row r="70" spans="1:17" ht="14.4">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4.4"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4.4" thickTop="1">
      <c r="A80" s="369"/>
      <c r="B80" s="468">
        <f>B25</f>
        <v>111</v>
      </c>
      <c r="C80" s="484"/>
      <c r="D80" s="484"/>
      <c r="E80" s="484"/>
      <c r="F80" s="484"/>
      <c r="G80" s="484"/>
      <c r="H80" s="484"/>
      <c r="I80" s="484"/>
      <c r="J80" s="484"/>
      <c r="K80" s="484"/>
      <c r="L80" s="509"/>
      <c r="M80" s="510"/>
      <c r="N80" s="877"/>
      <c r="O80" s="877"/>
      <c r="P80" s="40"/>
      <c r="Q80" s="438"/>
    </row>
    <row r="81" spans="1:17" s="101" customFormat="1" ht="14.4" thickBot="1">
      <c r="A81" s="369"/>
      <c r="B81" s="473"/>
      <c r="C81" s="490"/>
      <c r="D81" s="466"/>
      <c r="E81" s="466"/>
      <c r="F81" s="466"/>
      <c r="G81" s="466"/>
      <c r="H81" s="466"/>
      <c r="I81" s="466"/>
      <c r="J81" s="466"/>
      <c r="K81" s="466"/>
      <c r="L81" s="466"/>
      <c r="M81" s="467"/>
      <c r="N81" s="879"/>
      <c r="O81" s="879"/>
      <c r="P81" s="40"/>
      <c r="Q81" s="438"/>
    </row>
    <row r="82" spans="1:17" s="101" customFormat="1" ht="14.4" thickTop="1">
      <c r="A82" s="369"/>
      <c r="B82" s="468">
        <f>B26</f>
        <v>111</v>
      </c>
      <c r="C82" s="484"/>
      <c r="D82" s="484"/>
      <c r="E82" s="484"/>
      <c r="F82" s="484"/>
      <c r="G82" s="484"/>
      <c r="H82" s="484"/>
      <c r="I82" s="484"/>
      <c r="J82" s="484"/>
      <c r="K82" s="484"/>
      <c r="L82" s="509"/>
      <c r="M82" s="510"/>
      <c r="N82" s="877"/>
      <c r="O82" s="877"/>
      <c r="P82" s="40"/>
      <c r="Q82" s="438"/>
    </row>
    <row r="83" spans="1:17" s="101" customFormat="1" ht="14.4" thickBot="1">
      <c r="A83" s="369"/>
      <c r="B83" s="473"/>
      <c r="C83" s="490"/>
      <c r="D83" s="466"/>
      <c r="E83" s="466"/>
      <c r="F83" s="466"/>
      <c r="G83" s="466"/>
      <c r="H83" s="466"/>
      <c r="I83" s="466"/>
      <c r="J83" s="466"/>
      <c r="K83" s="466"/>
      <c r="L83" s="466"/>
      <c r="M83" s="467"/>
      <c r="N83" s="879"/>
      <c r="O83" s="879"/>
      <c r="P83" s="40"/>
      <c r="Q83" s="438"/>
    </row>
    <row r="84" spans="1:17" s="407" customFormat="1" ht="14.4" thickTop="1">
      <c r="A84" s="483"/>
      <c r="B84" s="468">
        <f>B27</f>
        <v>111</v>
      </c>
      <c r="C84" s="484"/>
      <c r="D84" s="484"/>
      <c r="E84" s="484"/>
      <c r="F84" s="484"/>
      <c r="G84" s="484"/>
      <c r="H84" s="484"/>
      <c r="I84" s="484"/>
      <c r="J84" s="484"/>
      <c r="K84" s="484"/>
      <c r="L84" s="509"/>
      <c r="M84" s="510"/>
      <c r="N84" s="880"/>
      <c r="O84" s="880"/>
      <c r="P84" s="488"/>
      <c r="Q84" s="489"/>
    </row>
    <row r="85" spans="1:17" s="407" customFormat="1" ht="14.4" thickBot="1">
      <c r="A85" s="483"/>
      <c r="B85" s="473"/>
      <c r="C85" s="490"/>
      <c r="D85" s="466"/>
      <c r="E85" s="466"/>
      <c r="F85" s="466"/>
      <c r="G85" s="466"/>
      <c r="H85" s="466"/>
      <c r="I85" s="466"/>
      <c r="J85" s="466"/>
      <c r="K85" s="466"/>
      <c r="L85" s="466"/>
      <c r="M85" s="467"/>
      <c r="N85" s="880"/>
      <c r="O85" s="880"/>
      <c r="P85" s="488"/>
      <c r="Q85" s="489"/>
    </row>
    <row r="86" spans="1:17" ht="14.4" thickTop="1">
      <c r="A86" s="366"/>
      <c r="B86" s="476">
        <f>B28</f>
        <v>111</v>
      </c>
      <c r="C86" s="31"/>
      <c r="D86" s="31"/>
      <c r="E86" s="31"/>
      <c r="F86" s="31"/>
      <c r="G86" s="516"/>
      <c r="H86" s="516"/>
      <c r="I86" s="516"/>
      <c r="J86" s="516"/>
      <c r="K86" s="517"/>
      <c r="L86" s="518"/>
      <c r="M86" s="519"/>
      <c r="N86" s="878"/>
      <c r="O86" s="878"/>
      <c r="P86" s="40"/>
      <c r="Q86" s="438"/>
    </row>
    <row r="87" spans="1:17" ht="14.4" thickBot="1">
      <c r="A87" s="374"/>
      <c r="B87" s="499"/>
      <c r="C87" s="500"/>
      <c r="D87" s="500"/>
      <c r="E87" s="500"/>
      <c r="F87" s="500"/>
      <c r="G87" s="520"/>
      <c r="H87" s="520"/>
      <c r="I87" s="520"/>
      <c r="J87" s="520"/>
      <c r="K87" s="520"/>
      <c r="L87" s="520"/>
      <c r="M87" s="521"/>
      <c r="N87" s="879"/>
      <c r="O87" s="879"/>
      <c r="P87" s="40"/>
      <c r="Q87" s="438"/>
    </row>
    <row r="88" spans="1:17" ht="14.4">
      <c r="A88" s="378" t="s">
        <v>1694</v>
      </c>
      <c r="B88" s="459" t="s">
        <v>1736</v>
      </c>
      <c r="C88" s="461"/>
      <c r="D88" s="461"/>
      <c r="E88" s="461"/>
      <c r="F88" s="461"/>
      <c r="G88" s="461"/>
      <c r="H88" s="461"/>
      <c r="I88" s="461"/>
      <c r="J88" s="461"/>
      <c r="K88" s="462"/>
      <c r="L88" s="463"/>
      <c r="M88" s="464"/>
      <c r="N88" s="878"/>
      <c r="O88" s="878"/>
      <c r="P88" s="40"/>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4.4"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29.4"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4.4"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4.4" thickBot="1">
      <c r="A109" s="483"/>
      <c r="B109" s="465"/>
      <c r="C109" s="490"/>
      <c r="D109" s="466"/>
      <c r="E109" s="466"/>
      <c r="F109" s="466"/>
      <c r="G109" s="490"/>
      <c r="H109" s="492"/>
      <c r="I109" s="492"/>
      <c r="J109" s="492"/>
      <c r="K109" s="492"/>
      <c r="L109" s="492"/>
      <c r="M109" s="493"/>
      <c r="N109" s="880"/>
      <c r="O109" s="880"/>
      <c r="P109" s="488"/>
      <c r="Q109" s="489"/>
    </row>
    <row r="110" spans="1:17" ht="14.4" thickTop="1">
      <c r="A110" s="408"/>
      <c r="B110" s="468">
        <f>B39</f>
        <v>111</v>
      </c>
      <c r="C110" s="484"/>
      <c r="D110" s="484"/>
      <c r="E110" s="484"/>
      <c r="F110" s="484"/>
      <c r="G110" s="484"/>
      <c r="H110" s="485"/>
      <c r="I110" s="485"/>
      <c r="J110" s="485"/>
      <c r="K110" s="485"/>
      <c r="L110" s="486"/>
      <c r="M110" s="487"/>
      <c r="N110" s="878"/>
      <c r="O110" s="878"/>
      <c r="P110" s="40"/>
      <c r="Q110" s="438"/>
    </row>
    <row r="111" spans="1:17" ht="14.4" thickBot="1">
      <c r="A111" s="366"/>
      <c r="B111" s="473"/>
      <c r="C111" s="490"/>
      <c r="D111" s="466"/>
      <c r="E111" s="466"/>
      <c r="F111" s="466"/>
      <c r="G111" s="490"/>
      <c r="H111" s="492"/>
      <c r="I111" s="492"/>
      <c r="J111" s="492"/>
      <c r="K111" s="492"/>
      <c r="L111" s="492"/>
      <c r="M111" s="493"/>
      <c r="N111" s="879"/>
      <c r="O111" s="879"/>
      <c r="P111" s="40"/>
      <c r="Q111" s="438"/>
    </row>
    <row r="112" spans="1:17" ht="14.4" thickTop="1">
      <c r="A112" s="408"/>
      <c r="B112" s="476">
        <f>B40</f>
        <v>111</v>
      </c>
      <c r="C112" s="31"/>
      <c r="D112" s="31"/>
      <c r="E112" s="31"/>
      <c r="F112" s="31"/>
      <c r="G112" s="516"/>
      <c r="H112" s="516"/>
      <c r="I112" s="516"/>
      <c r="J112" s="516"/>
      <c r="K112" s="31"/>
      <c r="L112" s="456"/>
      <c r="M112" s="519"/>
      <c r="N112" s="878"/>
      <c r="O112" s="878"/>
      <c r="P112" s="40"/>
      <c r="Q112" s="438"/>
    </row>
    <row r="113" spans="1:17" ht="14.4"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103" priority="16" stopIfTrue="1">
      <formula>$F$46="超过30%"</formula>
    </cfRule>
  </conditionalFormatting>
  <conditionalFormatting sqref="E47">
    <cfRule type="expression" dxfId="102" priority="15" stopIfTrue="1">
      <formula>$F$47="超过20%"</formula>
    </cfRule>
  </conditionalFormatting>
  <conditionalFormatting sqref="E48">
    <cfRule type="expression" dxfId="101" priority="14" stopIfTrue="1">
      <formula>$F$48="超过30%"</formula>
    </cfRule>
  </conditionalFormatting>
  <conditionalFormatting sqref="F7:F40 H7:H40 J7:J40">
    <cfRule type="cellIs" dxfId="100" priority="1" operator="notEqual">
      <formula>100</formula>
    </cfRule>
  </conditionalFormatting>
  <conditionalFormatting sqref="F42">
    <cfRule type="expression" dxfId="99" priority="4">
      <formula>$D$42="简单平均"</formula>
    </cfRule>
  </conditionalFormatting>
  <conditionalFormatting sqref="F46:F48 H46:H48">
    <cfRule type="containsText" dxfId="98" priority="17" stopIfTrue="1" operator="containsText" text="超过">
      <formula>NOT(ISERROR(SEARCH("超过",F46)))</formula>
    </cfRule>
  </conditionalFormatting>
  <conditionalFormatting sqref="G46">
    <cfRule type="expression" dxfId="97" priority="12" stopIfTrue="1">
      <formula>$H$46="超过30%"</formula>
    </cfRule>
  </conditionalFormatting>
  <conditionalFormatting sqref="G47">
    <cfRule type="expression" dxfId="96" priority="11" stopIfTrue="1">
      <formula>$H$47="超过20%"</formula>
    </cfRule>
  </conditionalFormatting>
  <conditionalFormatting sqref="G48">
    <cfRule type="expression" dxfId="95" priority="13" stopIfTrue="1">
      <formula>$H$48="超过30%"</formula>
    </cfRule>
  </conditionalFormatting>
  <conditionalFormatting sqref="H42">
    <cfRule type="expression" dxfId="94" priority="3">
      <formula>$D$42="简单平均"</formula>
    </cfRule>
  </conditionalFormatting>
  <conditionalFormatting sqref="I46">
    <cfRule type="expression" dxfId="93" priority="7" stopIfTrue="1">
      <formula>$J$46="超过30%"</formula>
    </cfRule>
  </conditionalFormatting>
  <conditionalFormatting sqref="I47">
    <cfRule type="expression" dxfId="92" priority="6" stopIfTrue="1">
      <formula>$J$47="超过20%"</formula>
    </cfRule>
  </conditionalFormatting>
  <conditionalFormatting sqref="I48">
    <cfRule type="expression" dxfId="91" priority="5" stopIfTrue="1">
      <formula>$J$48="超过30%"</formula>
    </cfRule>
  </conditionalFormatting>
  <conditionalFormatting sqref="J42">
    <cfRule type="expression" dxfId="90" priority="2">
      <formula>$D$42="简单平均"</formula>
    </cfRule>
  </conditionalFormatting>
  <conditionalFormatting sqref="J46:J48">
    <cfRule type="containsText" dxfId="89"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C20 G20 E20 I20" xr:uid="{00000000-0002-0000-1F00-000001000000}">
      <formula1>公共配套设施</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4 G24 I24 C24" xr:uid="{00000000-0002-0000-1F00-000003000000}">
      <formula1>环境</formula1>
    </dataValidation>
    <dataValidation type="list" allowBlank="1" showInputMessage="1" showErrorMessage="1" sqref="C8 E8 G8 I8" xr:uid="{00000000-0002-0000-1F00-000004000000}">
      <formula1>工业交易情况</formula1>
    </dataValidation>
    <dataValidation type="list" allowBlank="1" showInputMessage="1" showErrorMessage="1" sqref="E9 G9 I9" xr:uid="{00000000-0002-0000-1F00-000005000000}">
      <formula1>工业用途</formula1>
    </dataValidation>
    <dataValidation type="list" allowBlank="1" showInputMessage="1" showErrorMessage="1" sqref="C29 E29 G29 I29" xr:uid="{00000000-0002-0000-1F00-000006000000}">
      <formula1>工业建筑类型</formula1>
    </dataValidation>
    <dataValidation type="list" allowBlank="1" showInputMessage="1" showErrorMessage="1" sqref="C31 E31 G31 I31" xr:uid="{00000000-0002-0000-1F00-000007000000}">
      <formula1>工业建筑结构</formula1>
    </dataValidation>
    <dataValidation type="list" allowBlank="1" showInputMessage="1" showErrorMessage="1" sqref="C32 E32 G32 I32" xr:uid="{00000000-0002-0000-1F00-000008000000}">
      <formula1>工业公共部分装修</formula1>
    </dataValidation>
    <dataValidation type="list" allowBlank="1" showInputMessage="1" showErrorMessage="1" sqref="C34 E34 G34 I34" xr:uid="{00000000-0002-0000-1F00-000009000000}">
      <formula1>工业物业管理</formula1>
    </dataValidation>
    <dataValidation type="list" allowBlank="1" showInputMessage="1" showErrorMessage="1" sqref="C35 E35 G35 I35" xr:uid="{00000000-0002-0000-1F00-00000A000000}">
      <formula1>工业基础设施水平</formula1>
    </dataValidation>
    <dataValidation type="list" allowBlank="1" showInputMessage="1" showErrorMessage="1" sqref="C36 E36 G36 I36" xr:uid="{00000000-0002-0000-1F00-00000B000000}">
      <formula1>工业内部装修</formula1>
    </dataValidation>
    <dataValidation type="list" allowBlank="1" showInputMessage="1" showErrorMessage="1" sqref="C37 E37 G37 I37" xr:uid="{00000000-0002-0000-1F00-00000C000000}">
      <formula1>内部装修维护情况</formula1>
    </dataValidation>
    <dataValidation type="list" allowBlank="1" showInputMessage="1" showErrorMessage="1" sqref="C16 E16 G16 I16" xr:uid="{00000000-0002-0000-1F00-00000D000000}">
      <formula1>产业集聚程度</formula1>
    </dataValidation>
    <dataValidation type="list" allowBlank="1" showInputMessage="1" showErrorMessage="1" sqref="C22 E22 G22 I22"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42"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3332</v>
      </c>
      <c r="C1" s="1140" t="s">
        <v>1662</v>
      </c>
      <c r="D1" s="1141"/>
      <c r="E1" s="3129"/>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1"/>
      <c r="M2" s="2502"/>
      <c r="N2" s="2502"/>
      <c r="O2" s="2502"/>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1"/>
      <c r="M3" s="2502" t="e">
        <f ca="1">IF(C2="——",IF(B37="元/平方米",ROUND(C39*D3/10000,0),ROUND(F3*C39/10000,0)),IF(B37="元/平方米",ROUND(C39*D3/10000,0),ROUND(F3*C39/10000,0))-D2)</f>
        <v>#DIV/0!</v>
      </c>
      <c r="N3" s="2502"/>
      <c r="O3" s="2502"/>
      <c r="P3" s="1085"/>
      <c r="Q3" s="340"/>
      <c r="R3" s="340"/>
      <c r="S3" s="340"/>
      <c r="T3" s="340"/>
      <c r="U3" s="340"/>
      <c r="V3" s="340"/>
      <c r="W3" s="340"/>
      <c r="X3" s="340"/>
      <c r="Y3" s="340"/>
      <c r="Z3" s="340"/>
      <c r="AA3" s="340"/>
      <c r="AB3" s="675"/>
      <c r="AC3" s="662"/>
    </row>
    <row r="4" spans="1:29" ht="14.4">
      <c r="A4" s="344" t="s">
        <v>1769</v>
      </c>
      <c r="B4" s="345"/>
      <c r="C4" s="3401" t="s">
        <v>1770</v>
      </c>
      <c r="D4" s="3402"/>
      <c r="E4" s="3403" t="s">
        <v>1771</v>
      </c>
      <c r="F4" s="3404"/>
      <c r="G4" s="3401" t="s">
        <v>1772</v>
      </c>
      <c r="H4" s="3402"/>
      <c r="I4" s="3401" t="s">
        <v>1773</v>
      </c>
      <c r="J4" s="3402"/>
      <c r="K4" s="536" t="s">
        <v>1774</v>
      </c>
      <c r="L4" s="2484"/>
      <c r="M4" s="2485"/>
      <c r="N4" s="2485"/>
      <c r="O4" s="2485"/>
      <c r="P4" s="3405" t="s">
        <v>1775</v>
      </c>
      <c r="Q4" s="3406"/>
      <c r="R4" s="3411" t="s">
        <v>1771</v>
      </c>
      <c r="S4" s="3412"/>
      <c r="T4" s="3411" t="s">
        <v>1772</v>
      </c>
      <c r="U4" s="3412"/>
      <c r="V4" s="3384" t="s">
        <v>1773</v>
      </c>
      <c r="W4" s="3384"/>
      <c r="X4" s="1264"/>
      <c r="Y4" s="3411" t="s">
        <v>1775</v>
      </c>
      <c r="Z4" s="3412"/>
      <c r="AA4" s="3398" t="s">
        <v>1771</v>
      </c>
      <c r="AB4" s="3399" t="s">
        <v>1772</v>
      </c>
      <c r="AC4" s="3398" t="s">
        <v>1773</v>
      </c>
    </row>
    <row r="5" spans="1:29">
      <c r="A5" s="347"/>
      <c r="B5" s="348"/>
      <c r="C5" s="3419" t="s">
        <v>1673</v>
      </c>
      <c r="D5" s="3420"/>
      <c r="E5" s="3427" t="s">
        <v>1674</v>
      </c>
      <c r="F5" s="3428"/>
      <c r="G5" s="3419" t="s">
        <v>1675</v>
      </c>
      <c r="H5" s="3420"/>
      <c r="I5" s="3419" t="s">
        <v>1676</v>
      </c>
      <c r="J5" s="3420"/>
      <c r="K5" s="536"/>
      <c r="L5" s="2484"/>
      <c r="M5" s="2485"/>
      <c r="N5" s="2485"/>
      <c r="O5" s="2485"/>
      <c r="P5" s="3407"/>
      <c r="Q5" s="3408"/>
      <c r="R5" s="3413"/>
      <c r="S5" s="3414"/>
      <c r="T5" s="3413"/>
      <c r="U5" s="3414"/>
      <c r="V5" s="3384"/>
      <c r="W5" s="3384"/>
      <c r="X5" s="1264"/>
      <c r="Y5" s="3413"/>
      <c r="Z5" s="3414"/>
      <c r="AA5" s="3399"/>
      <c r="AB5" s="3399"/>
      <c r="AC5" s="3399"/>
    </row>
    <row r="6" spans="1:29" ht="15" thickBot="1">
      <c r="A6" s="349"/>
      <c r="B6" s="350"/>
      <c r="C6" s="3417" t="s">
        <v>1677</v>
      </c>
      <c r="D6" s="3418"/>
      <c r="E6" s="3425" t="s">
        <v>1677</v>
      </c>
      <c r="F6" s="3426"/>
      <c r="G6" s="3417" t="s">
        <v>1677</v>
      </c>
      <c r="H6" s="3418"/>
      <c r="I6" s="3417" t="s">
        <v>1677</v>
      </c>
      <c r="J6" s="3418"/>
      <c r="K6" s="536" t="s">
        <v>1678</v>
      </c>
      <c r="L6" s="2484"/>
      <c r="M6" s="2485"/>
      <c r="N6" s="2485"/>
      <c r="O6" s="2485"/>
      <c r="P6" s="3409"/>
      <c r="Q6" s="3410"/>
      <c r="R6" s="3413"/>
      <c r="S6" s="3414"/>
      <c r="T6" s="3415"/>
      <c r="U6" s="3416"/>
      <c r="V6" s="3384"/>
      <c r="W6" s="3384"/>
      <c r="X6" s="1264"/>
      <c r="Y6" s="3415"/>
      <c r="Z6" s="3416"/>
      <c r="AA6" s="3400"/>
      <c r="AB6" s="3400"/>
      <c r="AC6" s="3400"/>
    </row>
    <row r="7" spans="1:29" s="101" customFormat="1" ht="15" thickBot="1">
      <c r="A7" s="351" t="s">
        <v>1679</v>
      </c>
      <c r="B7" s="352"/>
      <c r="C7" s="353">
        <f>'数据-取费表'!B2</f>
        <v>45562</v>
      </c>
      <c r="D7" s="354">
        <v>100</v>
      </c>
      <c r="E7" s="355"/>
      <c r="F7" s="356">
        <f>SUMIF(48:48,YEAR(E7)&amp;"-"&amp;MONTH(E7),49:49)</f>
        <v>0</v>
      </c>
      <c r="G7" s="355"/>
      <c r="H7" s="354">
        <f>SUMIF(48:48,YEAR(G7)&amp;"-"&amp;MONTH(G7),49:49)</f>
        <v>0</v>
      </c>
      <c r="I7" s="355"/>
      <c r="J7" s="354">
        <f>SUMIF(48:48,YEAR(I7)&amp;"-"&amp;MONTH(I7),49:49)</f>
        <v>0</v>
      </c>
      <c r="K7" s="38"/>
      <c r="L7" s="2486"/>
      <c r="M7" s="2438"/>
      <c r="N7" s="2438"/>
      <c r="O7" s="2438"/>
      <c r="P7" s="3421" t="s">
        <v>1680</v>
      </c>
      <c r="Q7" s="3423"/>
      <c r="R7" s="663" t="s">
        <v>14</v>
      </c>
      <c r="S7" s="664">
        <f t="shared" ref="S7:S14" si="0">F7</f>
        <v>0</v>
      </c>
      <c r="T7" s="663" t="s">
        <v>14</v>
      </c>
      <c r="U7" s="664">
        <f t="shared" ref="U7:U14" si="1">H7</f>
        <v>0</v>
      </c>
      <c r="V7" s="663" t="s">
        <v>14</v>
      </c>
      <c r="W7" s="664">
        <f t="shared" ref="W7:W14" si="2">J7</f>
        <v>0</v>
      </c>
      <c r="X7" s="665"/>
      <c r="Y7" s="3421" t="s">
        <v>1680</v>
      </c>
      <c r="Z7" s="3422"/>
      <c r="AA7" s="50" t="e">
        <f>D7/F7</f>
        <v>#DIV/0!</v>
      </c>
      <c r="AB7" s="50" t="e">
        <f>D7/H7</f>
        <v>#DIV/0!</v>
      </c>
      <c r="AC7" s="50" t="e">
        <f>D7/J7</f>
        <v>#DIV/0!</v>
      </c>
    </row>
    <row r="8" spans="1:29" s="101" customFormat="1" ht="1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6"/>
      <c r="M8" s="2438"/>
      <c r="N8" s="2438"/>
      <c r="O8" s="2438"/>
      <c r="P8" s="3421" t="s">
        <v>1683</v>
      </c>
      <c r="Q8" s="3422"/>
      <c r="R8" s="663" t="s">
        <v>14</v>
      </c>
      <c r="S8" s="664">
        <f t="shared" si="0"/>
        <v>100</v>
      </c>
      <c r="T8" s="663" t="s">
        <v>14</v>
      </c>
      <c r="U8" s="664">
        <f t="shared" si="1"/>
        <v>100</v>
      </c>
      <c r="V8" s="663" t="s">
        <v>14</v>
      </c>
      <c r="W8" s="664">
        <f t="shared" si="2"/>
        <v>100</v>
      </c>
      <c r="X8" s="665"/>
      <c r="Y8" s="3421" t="s">
        <v>1683</v>
      </c>
      <c r="Z8" s="3422"/>
      <c r="AA8" s="50">
        <f t="shared" ref="AA8:AA36" si="3">D8/F8</f>
        <v>1</v>
      </c>
      <c r="AB8" s="50">
        <f t="shared" ref="AB8:AB36" si="4">D8/H8</f>
        <v>1</v>
      </c>
      <c r="AC8" s="50">
        <f t="shared" ref="AC8:AC36" si="5">D8/J8</f>
        <v>1</v>
      </c>
    </row>
    <row r="9" spans="1:29" s="101" customFormat="1" ht="14.4">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6"/>
      <c r="M9" s="2438"/>
      <c r="N9" s="2438"/>
      <c r="O9" s="2438"/>
      <c r="P9" s="3383" t="s">
        <v>1686</v>
      </c>
      <c r="Q9" s="529" t="str">
        <f t="shared" ref="Q9:Q14" si="6">B9</f>
        <v>用途</v>
      </c>
      <c r="R9" s="663" t="s">
        <v>14</v>
      </c>
      <c r="S9" s="664">
        <f t="shared" si="0"/>
        <v>100</v>
      </c>
      <c r="T9" s="663" t="s">
        <v>14</v>
      </c>
      <c r="U9" s="664">
        <f t="shared" si="1"/>
        <v>100</v>
      </c>
      <c r="V9" s="663" t="s">
        <v>14</v>
      </c>
      <c r="W9" s="664">
        <f t="shared" si="2"/>
        <v>100</v>
      </c>
      <c r="X9" s="665"/>
      <c r="Y9" s="3290" t="s">
        <v>1687</v>
      </c>
      <c r="Z9" s="50" t="str">
        <f t="shared" ref="Z9:Z14" si="7">Q9</f>
        <v>用途</v>
      </c>
      <c r="AA9" s="50">
        <f t="shared" si="3"/>
        <v>1</v>
      </c>
      <c r="AB9" s="50">
        <f t="shared" si="4"/>
        <v>1</v>
      </c>
      <c r="AC9" s="50">
        <f t="shared" si="5"/>
        <v>1</v>
      </c>
    </row>
    <row r="10" spans="1:29" s="365" customFormat="1" ht="28.8">
      <c r="A10" s="564"/>
      <c r="B10" s="565" t="s">
        <v>1688</v>
      </c>
      <c r="C10" s="3130"/>
      <c r="D10" s="118">
        <v>100</v>
      </c>
      <c r="E10" s="3130"/>
      <c r="F10" s="118">
        <f>SUMIF(55:55,E10,56:56)-SUMIF(55:55,C10,56:56)+100</f>
        <v>100</v>
      </c>
      <c r="G10" s="3131"/>
      <c r="H10" s="118">
        <f>SUMIF(55:55,G10,56:56)-SUMIF(55:55,C10,56:56)+100</f>
        <v>100</v>
      </c>
      <c r="I10" s="3130"/>
      <c r="J10" s="118">
        <f>SUMIF(55:55,I10,56:56)-SUMIF(55:55,C10,56:56)+100</f>
        <v>100</v>
      </c>
      <c r="K10" s="38"/>
      <c r="L10" s="2487"/>
      <c r="M10" s="2488"/>
      <c r="N10" s="2488"/>
      <c r="O10" s="2488"/>
      <c r="P10" s="3383"/>
      <c r="Q10" s="529" t="str">
        <f t="shared" si="6"/>
        <v>土地使用年限（年）</v>
      </c>
      <c r="R10" s="663" t="s">
        <v>14</v>
      </c>
      <c r="S10" s="664">
        <f t="shared" si="0"/>
        <v>100</v>
      </c>
      <c r="T10" s="663" t="s">
        <v>14</v>
      </c>
      <c r="U10" s="664">
        <f t="shared" si="1"/>
        <v>100</v>
      </c>
      <c r="V10" s="663" t="s">
        <v>14</v>
      </c>
      <c r="W10" s="664">
        <f t="shared" si="2"/>
        <v>100</v>
      </c>
      <c r="X10" s="665"/>
      <c r="Y10" s="3290"/>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9"/>
      <c r="M11" s="2485"/>
      <c r="N11" s="2485"/>
      <c r="O11" s="2485"/>
      <c r="P11" s="3383"/>
      <c r="Q11" s="529">
        <f t="shared" si="6"/>
        <v>111</v>
      </c>
      <c r="R11" s="663" t="s">
        <v>14</v>
      </c>
      <c r="S11" s="664">
        <f t="shared" si="0"/>
        <v>100</v>
      </c>
      <c r="T11" s="663" t="s">
        <v>14</v>
      </c>
      <c r="U11" s="664">
        <f t="shared" si="1"/>
        <v>100</v>
      </c>
      <c r="V11" s="663" t="s">
        <v>14</v>
      </c>
      <c r="W11" s="664">
        <f t="shared" si="2"/>
        <v>100</v>
      </c>
      <c r="X11" s="665"/>
      <c r="Y11" s="3290"/>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6"/>
      <c r="M12" s="2438"/>
      <c r="N12" s="2438"/>
      <c r="O12" s="2438"/>
      <c r="P12" s="3383"/>
      <c r="Q12" s="529">
        <f t="shared" si="6"/>
        <v>111</v>
      </c>
      <c r="R12" s="663" t="s">
        <v>14</v>
      </c>
      <c r="S12" s="664">
        <f t="shared" si="0"/>
        <v>100</v>
      </c>
      <c r="T12" s="663" t="s">
        <v>14</v>
      </c>
      <c r="U12" s="664">
        <f t="shared" si="1"/>
        <v>100</v>
      </c>
      <c r="V12" s="663" t="s">
        <v>14</v>
      </c>
      <c r="W12" s="664">
        <f t="shared" si="2"/>
        <v>100</v>
      </c>
      <c r="X12" s="665"/>
      <c r="Y12" s="3290"/>
      <c r="Z12" s="50">
        <f t="shared" si="7"/>
        <v>111</v>
      </c>
      <c r="AA12" s="50">
        <f>D12/F12</f>
        <v>1</v>
      </c>
      <c r="AB12" s="50">
        <f>D12/H12</f>
        <v>1</v>
      </c>
      <c r="AC12" s="50">
        <f>D12/J12</f>
        <v>1</v>
      </c>
    </row>
    <row r="13" spans="1:29" ht="15.6"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0"/>
      <c r="M13" s="2485"/>
      <c r="N13" s="2485"/>
      <c r="O13" s="2485"/>
      <c r="P13" s="3383"/>
      <c r="Q13" s="529">
        <f t="shared" si="6"/>
        <v>111</v>
      </c>
      <c r="R13" s="663" t="s">
        <v>14</v>
      </c>
      <c r="S13" s="664">
        <f t="shared" si="0"/>
        <v>100</v>
      </c>
      <c r="T13" s="663" t="s">
        <v>14</v>
      </c>
      <c r="U13" s="664">
        <f t="shared" si="1"/>
        <v>100</v>
      </c>
      <c r="V13" s="663" t="s">
        <v>14</v>
      </c>
      <c r="W13" s="664">
        <f t="shared" si="2"/>
        <v>100</v>
      </c>
      <c r="X13" s="665"/>
      <c r="Y13" s="3290"/>
      <c r="Z13" s="50">
        <f t="shared" si="7"/>
        <v>111</v>
      </c>
      <c r="AA13" s="50">
        <f t="shared" si="3"/>
        <v>1</v>
      </c>
      <c r="AB13" s="50">
        <f t="shared" si="4"/>
        <v>1</v>
      </c>
      <c r="AC13" s="50">
        <f t="shared" si="5"/>
        <v>1</v>
      </c>
    </row>
    <row r="14" spans="1:29" ht="138">
      <c r="A14" s="344" t="s">
        <v>1690</v>
      </c>
      <c r="B14" s="553" t="s">
        <v>1833</v>
      </c>
      <c r="C14" s="1818" t="str">
        <f>IF(B1="工业",估价对象房地状况!G4,估价对象房地状况!C6)</f>
        <v>估价对象临城市主干道--妫川路，周边有Y9路、919路、920路公交车，门口可停车，停车便捷程度较好，综合评价交通便捷度一般</v>
      </c>
      <c r="D14" s="379">
        <v>100</v>
      </c>
      <c r="E14" s="380"/>
      <c r="F14" s="381">
        <f>SUMIF(63:63,E15,64:64)-SUMIF(63:63,C15,64:64)+100</f>
        <v>100</v>
      </c>
      <c r="G14" s="382"/>
      <c r="H14" s="379">
        <f>SUMIF(63:63,G15,64:64)-SUMIF(63:63,C15,64:64)+100</f>
        <v>100</v>
      </c>
      <c r="I14" s="380"/>
      <c r="J14" s="379">
        <f>SUMIF(63:63,I15,64:64)-SUMIF(63:63,C15,64:64)+100</f>
        <v>100</v>
      </c>
      <c r="K14" s="539"/>
      <c r="L14" s="2490"/>
      <c r="M14" s="2485"/>
      <c r="N14" s="2485"/>
      <c r="O14" s="2485"/>
      <c r="P14" s="3390" t="s">
        <v>1691</v>
      </c>
      <c r="Q14" s="1262" t="str">
        <f t="shared" si="6"/>
        <v>交通便捷度</v>
      </c>
      <c r="R14" s="666" t="s">
        <v>14</v>
      </c>
      <c r="S14" s="667">
        <f t="shared" si="0"/>
        <v>100</v>
      </c>
      <c r="T14" s="666" t="s">
        <v>14</v>
      </c>
      <c r="U14" s="667">
        <f t="shared" si="1"/>
        <v>100</v>
      </c>
      <c r="V14" s="666" t="s">
        <v>14</v>
      </c>
      <c r="W14" s="667">
        <f t="shared" si="2"/>
        <v>100</v>
      </c>
      <c r="X14" s="1264"/>
      <c r="Y14" s="3390"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90"/>
      <c r="M15" s="2485"/>
      <c r="N15" s="2485"/>
      <c r="O15" s="2485"/>
      <c r="P15" s="3391"/>
      <c r="Q15" s="1262"/>
      <c r="R15" s="666"/>
      <c r="S15" s="667"/>
      <c r="T15" s="666"/>
      <c r="U15" s="667"/>
      <c r="V15" s="666"/>
      <c r="W15" s="667"/>
      <c r="X15" s="1264"/>
      <c r="Y15" s="3391"/>
      <c r="Z15" s="1263"/>
      <c r="AA15" s="1263">
        <v>1</v>
      </c>
      <c r="AB15" s="1263">
        <v>1</v>
      </c>
      <c r="AC15" s="1263">
        <v>1</v>
      </c>
    </row>
    <row r="16" spans="1:29" ht="207">
      <c r="A16" s="347"/>
      <c r="B16" s="555" t="s">
        <v>1812</v>
      </c>
      <c r="C16" s="1753" t="str">
        <f>IF(B1="工业",估价对象房地状况!G5,估价对象房地状况!C7)</f>
        <v>估价对象所在区域公共配套设施齐备情况：农业银行、农业发展银行、中国银行，司家营小学、北京市延庆区第二中学，国润家园社区卫生服务站、北京中医医院延庆医院，百尚购物中心</v>
      </c>
      <c r="D16" s="393">
        <v>100</v>
      </c>
      <c r="E16" s="395"/>
      <c r="F16" s="396">
        <f>SUMIF(65:65,E17,66:66)-SUMIF(65:65,C17,66:66)+100</f>
        <v>100</v>
      </c>
      <c r="G16" s="397"/>
      <c r="H16" s="393">
        <f>SUMIF(65:65,G17,66:66)-SUMIF(65:65,C17,66:66)+100</f>
        <v>100</v>
      </c>
      <c r="I16" s="395"/>
      <c r="J16" s="393">
        <f>SUMIF(65:65,I17,66:66)-SUMIF(65:65,C17,66:66)+100</f>
        <v>100</v>
      </c>
      <c r="K16" s="539"/>
      <c r="L16" s="2490"/>
      <c r="M16" s="2485"/>
      <c r="N16" s="2485"/>
      <c r="O16" s="2485"/>
      <c r="P16" s="3391"/>
      <c r="Q16" s="1262" t="str">
        <f>B16</f>
        <v>公共配套设施</v>
      </c>
      <c r="R16" s="666" t="s">
        <v>14</v>
      </c>
      <c r="S16" s="667">
        <f>F16</f>
        <v>100</v>
      </c>
      <c r="T16" s="666" t="s">
        <v>14</v>
      </c>
      <c r="U16" s="667">
        <f>H16</f>
        <v>100</v>
      </c>
      <c r="V16" s="666" t="s">
        <v>14</v>
      </c>
      <c r="W16" s="667">
        <f>J16</f>
        <v>100</v>
      </c>
      <c r="X16" s="1264"/>
      <c r="Y16" s="3391"/>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90"/>
      <c r="M17" s="2485"/>
      <c r="N17" s="2485"/>
      <c r="O17" s="2485"/>
      <c r="P17" s="3391"/>
      <c r="Q17" s="1262"/>
      <c r="R17" s="666"/>
      <c r="S17" s="667"/>
      <c r="T17" s="666"/>
      <c r="U17" s="667"/>
      <c r="V17" s="666"/>
      <c r="W17" s="667"/>
      <c r="X17" s="1264"/>
      <c r="Y17" s="3391"/>
      <c r="Z17" s="1263"/>
      <c r="AA17" s="1263">
        <v>1</v>
      </c>
      <c r="AB17" s="1263">
        <v>1</v>
      </c>
      <c r="AC17" s="1263">
        <v>1</v>
      </c>
    </row>
    <row r="18" spans="1:29" ht="41.4">
      <c r="A18" s="347"/>
      <c r="B18" s="556" t="s">
        <v>1813</v>
      </c>
      <c r="C18" s="1753"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90"/>
      <c r="M18" s="2485"/>
      <c r="N18" s="2485"/>
      <c r="O18" s="2485"/>
      <c r="P18" s="3391"/>
      <c r="Q18" s="1262" t="str">
        <f>B18</f>
        <v>基础设施水平</v>
      </c>
      <c r="R18" s="666" t="s">
        <v>14</v>
      </c>
      <c r="S18" s="667">
        <f>F18</f>
        <v>100</v>
      </c>
      <c r="T18" s="666" t="s">
        <v>14</v>
      </c>
      <c r="U18" s="667">
        <f>H18</f>
        <v>100</v>
      </c>
      <c r="V18" s="666" t="s">
        <v>14</v>
      </c>
      <c r="W18" s="667">
        <f>J18</f>
        <v>100</v>
      </c>
      <c r="X18" s="1264"/>
      <c r="Y18" s="3391"/>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90"/>
      <c r="M19" s="2485"/>
      <c r="N19" s="2485"/>
      <c r="O19" s="2485"/>
      <c r="P19" s="3391"/>
      <c r="Q19" s="1262"/>
      <c r="R19" s="666"/>
      <c r="S19" s="667"/>
      <c r="T19" s="666"/>
      <c r="U19" s="667"/>
      <c r="V19" s="666"/>
      <c r="W19" s="667"/>
      <c r="X19" s="1264"/>
      <c r="Y19" s="3391"/>
      <c r="Z19" s="1263"/>
      <c r="AA19" s="1263">
        <v>1</v>
      </c>
      <c r="AB19" s="1263">
        <v>1</v>
      </c>
      <c r="AC19" s="1263">
        <v>1</v>
      </c>
    </row>
    <row r="20" spans="1:29" ht="179.4">
      <c r="A20" s="347"/>
      <c r="B20" s="555" t="s">
        <v>1834</v>
      </c>
      <c r="C20" s="1753" t="str">
        <f>IF(B1="工业",估价对象房地状况!G7,估价对象房地状况!C9)</f>
        <v>区域自然环境：迎宾公园、百泉公园、夏都公园、北京延庆世界地质公园；人文环境：延庆区职业学院、妫川宝塔、延庆地质博物馆、水生野生博物馆；综合评价环境状况较好</v>
      </c>
      <c r="D20" s="393">
        <v>100</v>
      </c>
      <c r="E20" s="395"/>
      <c r="F20" s="396">
        <f>SUMIF(69:69,E21,70:70)-SUMIF(69:69,C21,70:70)+100</f>
        <v>100</v>
      </c>
      <c r="G20" s="397"/>
      <c r="H20" s="388">
        <f>SUMIF(69:69,G21,70:70)-SUMIF(69:69,C21,70:70)+100</f>
        <v>100</v>
      </c>
      <c r="I20" s="390"/>
      <c r="J20" s="388">
        <f>SUMIF(69:69,I21,70:70)-SUMIF(69:69,C21,70:70)+100</f>
        <v>100</v>
      </c>
      <c r="K20" s="539"/>
      <c r="L20" s="2490"/>
      <c r="M20" s="2485"/>
      <c r="N20" s="2485"/>
      <c r="O20" s="2485"/>
      <c r="P20" s="3391"/>
      <c r="Q20" s="1262" t="str">
        <f>B20</f>
        <v>自然及人文环境</v>
      </c>
      <c r="R20" s="666" t="s">
        <v>14</v>
      </c>
      <c r="S20" s="667">
        <f>F20</f>
        <v>100</v>
      </c>
      <c r="T20" s="666" t="s">
        <v>14</v>
      </c>
      <c r="U20" s="667">
        <f>H20</f>
        <v>100</v>
      </c>
      <c r="V20" s="666" t="s">
        <v>14</v>
      </c>
      <c r="W20" s="667">
        <f>J20</f>
        <v>100</v>
      </c>
      <c r="X20" s="1264"/>
      <c r="Y20" s="3391"/>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90"/>
      <c r="M21" s="2485"/>
      <c r="N21" s="2485"/>
      <c r="O21" s="2485"/>
      <c r="P21" s="3391"/>
      <c r="Q21" s="1262"/>
      <c r="R21" s="666"/>
      <c r="S21" s="667"/>
      <c r="T21" s="666"/>
      <c r="U21" s="667"/>
      <c r="V21" s="666"/>
      <c r="W21" s="667"/>
      <c r="X21" s="1264"/>
      <c r="Y21" s="3391"/>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90"/>
      <c r="M22" s="2485"/>
      <c r="N22" s="2485"/>
      <c r="O22" s="2485"/>
      <c r="P22" s="3391"/>
      <c r="Q22" s="1262" t="str">
        <f>B22</f>
        <v>楼层</v>
      </c>
      <c r="R22" s="666" t="s">
        <v>14</v>
      </c>
      <c r="S22" s="667">
        <f>F22</f>
        <v>100</v>
      </c>
      <c r="T22" s="666" t="s">
        <v>14</v>
      </c>
      <c r="U22" s="667">
        <f>H22</f>
        <v>100</v>
      </c>
      <c r="V22" s="666" t="s">
        <v>14</v>
      </c>
      <c r="W22" s="667">
        <f>J22</f>
        <v>100</v>
      </c>
      <c r="X22" s="1264"/>
      <c r="Y22" s="3391"/>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0"/>
      <c r="M23" s="2485"/>
      <c r="N23" s="2485"/>
      <c r="O23" s="2485"/>
      <c r="P23" s="3391"/>
      <c r="Q23" s="1262">
        <f>B23</f>
        <v>111</v>
      </c>
      <c r="R23" s="666" t="s">
        <v>14</v>
      </c>
      <c r="S23" s="667">
        <f>F23</f>
        <v>100</v>
      </c>
      <c r="T23" s="666" t="s">
        <v>14</v>
      </c>
      <c r="U23" s="667">
        <f>H23</f>
        <v>100</v>
      </c>
      <c r="V23" s="666" t="s">
        <v>14</v>
      </c>
      <c r="W23" s="667">
        <f>J23</f>
        <v>100</v>
      </c>
      <c r="X23" s="1264"/>
      <c r="Y23" s="3391"/>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0"/>
      <c r="M24" s="2485"/>
      <c r="N24" s="2485"/>
      <c r="O24" s="2485"/>
      <c r="P24" s="3391"/>
      <c r="Q24" s="1262">
        <f t="shared" ref="Q24:Q36" si="11">B24</f>
        <v>111</v>
      </c>
      <c r="R24" s="666" t="s">
        <v>14</v>
      </c>
      <c r="S24" s="667">
        <f>F24</f>
        <v>100</v>
      </c>
      <c r="T24" s="666" t="s">
        <v>14</v>
      </c>
      <c r="U24" s="667">
        <f>H24</f>
        <v>100</v>
      </c>
      <c r="V24" s="666" t="s">
        <v>14</v>
      </c>
      <c r="W24" s="667">
        <f>J24</f>
        <v>100</v>
      </c>
      <c r="X24" s="1264"/>
      <c r="Y24" s="3391"/>
      <c r="Z24" s="1263">
        <f>Q24</f>
        <v>111</v>
      </c>
      <c r="AA24" s="1263">
        <f t="shared" si="3"/>
        <v>1</v>
      </c>
      <c r="AB24" s="1263">
        <f t="shared" si="4"/>
        <v>1</v>
      </c>
      <c r="AC24" s="1263">
        <f t="shared" si="5"/>
        <v>1</v>
      </c>
    </row>
    <row r="25" spans="1:29" s="101" customFormat="1" ht="15.6"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6"/>
      <c r="M25" s="2438"/>
      <c r="N25" s="2438"/>
      <c r="O25" s="2438"/>
      <c r="P25" s="3391"/>
      <c r="Q25" s="529">
        <f t="shared" si="11"/>
        <v>111</v>
      </c>
      <c r="R25" s="663" t="s">
        <v>14</v>
      </c>
      <c r="S25" s="664">
        <f>F25</f>
        <v>100</v>
      </c>
      <c r="T25" s="663" t="s">
        <v>14</v>
      </c>
      <c r="U25" s="664">
        <f>H25</f>
        <v>100</v>
      </c>
      <c r="V25" s="663" t="s">
        <v>14</v>
      </c>
      <c r="W25" s="664">
        <f>J25</f>
        <v>100</v>
      </c>
      <c r="X25" s="665"/>
      <c r="Y25" s="3391"/>
      <c r="Z25" s="50">
        <f>Q25</f>
        <v>111</v>
      </c>
      <c r="AA25" s="1263">
        <f>D25/F25</f>
        <v>1</v>
      </c>
      <c r="AB25" s="1263">
        <f>D25/H25</f>
        <v>1</v>
      </c>
      <c r="AC25" s="1263">
        <f>D25/J25</f>
        <v>1</v>
      </c>
    </row>
    <row r="26" spans="1:29" ht="30">
      <c r="A26" s="573" t="s">
        <v>1694</v>
      </c>
      <c r="B26" s="59"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90"/>
      <c r="M26" s="2485"/>
      <c r="N26" s="2485"/>
      <c r="O26" s="2485"/>
      <c r="P26" s="3465"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395"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89"/>
      <c r="M27" s="2491"/>
      <c r="N27" s="2491"/>
      <c r="O27" s="2491"/>
      <c r="P27" s="3395"/>
      <c r="Q27" s="530" t="str">
        <f t="shared" si="11"/>
        <v>项目停车位配比</v>
      </c>
      <c r="R27" s="668" t="s">
        <v>14</v>
      </c>
      <c r="S27" s="669">
        <f t="shared" si="12"/>
        <v>100</v>
      </c>
      <c r="T27" s="668" t="s">
        <v>14</v>
      </c>
      <c r="U27" s="669">
        <f t="shared" si="13"/>
        <v>100</v>
      </c>
      <c r="V27" s="668" t="s">
        <v>14</v>
      </c>
      <c r="W27" s="669">
        <f t="shared" si="14"/>
        <v>100</v>
      </c>
      <c r="X27" s="670"/>
      <c r="Y27" s="3395"/>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90"/>
      <c r="M28" s="2485"/>
      <c r="N28" s="2485"/>
      <c r="O28" s="2485"/>
      <c r="P28" s="3395"/>
      <c r="Q28" s="1262" t="str">
        <f t="shared" si="11"/>
        <v>公共部分装修</v>
      </c>
      <c r="R28" s="666" t="s">
        <v>14</v>
      </c>
      <c r="S28" s="667">
        <f t="shared" si="12"/>
        <v>100</v>
      </c>
      <c r="T28" s="666" t="s">
        <v>14</v>
      </c>
      <c r="U28" s="667">
        <f t="shared" si="13"/>
        <v>100</v>
      </c>
      <c r="V28" s="666" t="s">
        <v>14</v>
      </c>
      <c r="W28" s="667">
        <f t="shared" si="14"/>
        <v>100</v>
      </c>
      <c r="X28" s="1264"/>
      <c r="Y28" s="3395"/>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0"/>
      <c r="M29" s="2485"/>
      <c r="N29" s="2485"/>
      <c r="O29" s="2485"/>
      <c r="P29" s="3395"/>
      <c r="Q29" s="1262" t="str">
        <f t="shared" si="11"/>
        <v>成新率</v>
      </c>
      <c r="R29" s="666" t="s">
        <v>14</v>
      </c>
      <c r="S29" s="667" t="e">
        <f t="shared" si="12"/>
        <v>#N/A</v>
      </c>
      <c r="T29" s="666" t="s">
        <v>14</v>
      </c>
      <c r="U29" s="667" t="e">
        <f t="shared" si="13"/>
        <v>#N/A</v>
      </c>
      <c r="V29" s="666" t="s">
        <v>14</v>
      </c>
      <c r="W29" s="667" t="e">
        <f t="shared" si="14"/>
        <v>#N/A</v>
      </c>
      <c r="X29" s="1264"/>
      <c r="Y29" s="3395"/>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90"/>
      <c r="M30" s="2485"/>
      <c r="N30" s="2485"/>
      <c r="O30" s="2485"/>
      <c r="P30" s="3395"/>
      <c r="Q30" s="1262" t="str">
        <f t="shared" si="11"/>
        <v>物业等级</v>
      </c>
      <c r="R30" s="666" t="s">
        <v>14</v>
      </c>
      <c r="S30" s="667">
        <f t="shared" si="12"/>
        <v>100</v>
      </c>
      <c r="T30" s="666" t="s">
        <v>14</v>
      </c>
      <c r="U30" s="667">
        <f t="shared" si="13"/>
        <v>100</v>
      </c>
      <c r="V30" s="666" t="s">
        <v>14</v>
      </c>
      <c r="W30" s="667">
        <f t="shared" si="14"/>
        <v>100</v>
      </c>
      <c r="X30" s="1264"/>
      <c r="Y30" s="3395"/>
      <c r="Z30" s="1263" t="str">
        <f t="shared" si="15"/>
        <v>物业等级</v>
      </c>
      <c r="AA30" s="1263">
        <f t="shared" si="3"/>
        <v>1</v>
      </c>
      <c r="AB30" s="1263">
        <f t="shared" si="4"/>
        <v>1</v>
      </c>
      <c r="AC30" s="1263">
        <f t="shared" si="5"/>
        <v>1</v>
      </c>
    </row>
    <row r="31" spans="1:29" s="101"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6"/>
      <c r="M31" s="2438"/>
      <c r="N31" s="2438"/>
      <c r="O31" s="2438"/>
      <c r="P31" s="3395"/>
      <c r="Q31" s="529" t="str">
        <f t="shared" si="11"/>
        <v>停车位面积</v>
      </c>
      <c r="R31" s="663" t="s">
        <v>14</v>
      </c>
      <c r="S31" s="664" t="e">
        <f t="shared" si="12"/>
        <v>#N/A</v>
      </c>
      <c r="T31" s="663" t="s">
        <v>14</v>
      </c>
      <c r="U31" s="664" t="e">
        <f t="shared" si="13"/>
        <v>#N/A</v>
      </c>
      <c r="V31" s="663" t="s">
        <v>14</v>
      </c>
      <c r="W31" s="664" t="e">
        <f t="shared" si="14"/>
        <v>#N/A</v>
      </c>
      <c r="X31" s="665"/>
      <c r="Y31" s="3395"/>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90"/>
      <c r="M32" s="2485"/>
      <c r="N32" s="2485"/>
      <c r="O32" s="2485"/>
      <c r="P32" s="3395" t="s">
        <v>1696</v>
      </c>
      <c r="Q32" s="1262" t="str">
        <f t="shared" si="11"/>
        <v>车位类型</v>
      </c>
      <c r="R32" s="666" t="s">
        <v>14</v>
      </c>
      <c r="S32" s="667">
        <f t="shared" si="12"/>
        <v>100</v>
      </c>
      <c r="T32" s="666" t="s">
        <v>14</v>
      </c>
      <c r="U32" s="667">
        <f t="shared" si="13"/>
        <v>100</v>
      </c>
      <c r="V32" s="666" t="s">
        <v>14</v>
      </c>
      <c r="W32" s="667">
        <f t="shared" si="14"/>
        <v>100</v>
      </c>
      <c r="X32" s="1264"/>
      <c r="Y32" s="3395"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90"/>
      <c r="M33" s="2485"/>
      <c r="N33" s="2485"/>
      <c r="O33" s="2485"/>
      <c r="P33" s="3395"/>
      <c r="Q33" s="1262" t="str">
        <f t="shared" si="11"/>
        <v>是否直接入户</v>
      </c>
      <c r="R33" s="666" t="s">
        <v>14</v>
      </c>
      <c r="S33" s="667">
        <f t="shared" si="12"/>
        <v>100</v>
      </c>
      <c r="T33" s="666" t="s">
        <v>14</v>
      </c>
      <c r="U33" s="667">
        <f t="shared" si="13"/>
        <v>100</v>
      </c>
      <c r="V33" s="666" t="s">
        <v>14</v>
      </c>
      <c r="W33" s="667">
        <f t="shared" si="14"/>
        <v>100</v>
      </c>
      <c r="X33" s="1264"/>
      <c r="Y33" s="3395"/>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0"/>
      <c r="M34" s="2485"/>
      <c r="N34" s="2485"/>
      <c r="O34" s="2485"/>
      <c r="P34" s="3395"/>
      <c r="Q34" s="1262">
        <f t="shared" si="11"/>
        <v>111</v>
      </c>
      <c r="R34" s="666" t="s">
        <v>14</v>
      </c>
      <c r="S34" s="667">
        <f t="shared" si="12"/>
        <v>100</v>
      </c>
      <c r="T34" s="666" t="s">
        <v>14</v>
      </c>
      <c r="U34" s="667">
        <f t="shared" si="13"/>
        <v>100</v>
      </c>
      <c r="V34" s="666" t="s">
        <v>14</v>
      </c>
      <c r="W34" s="667">
        <f t="shared" si="14"/>
        <v>100</v>
      </c>
      <c r="X34" s="1264"/>
      <c r="Y34" s="3395"/>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9"/>
      <c r="M35" s="2491"/>
      <c r="N35" s="2491"/>
      <c r="O35" s="2491"/>
      <c r="P35" s="3395"/>
      <c r="Q35" s="530">
        <f t="shared" si="11"/>
        <v>111</v>
      </c>
      <c r="R35" s="668" t="s">
        <v>14</v>
      </c>
      <c r="S35" s="669">
        <f t="shared" si="12"/>
        <v>100</v>
      </c>
      <c r="T35" s="668" t="s">
        <v>14</v>
      </c>
      <c r="U35" s="669">
        <f t="shared" si="13"/>
        <v>100</v>
      </c>
      <c r="V35" s="668" t="s">
        <v>14</v>
      </c>
      <c r="W35" s="669">
        <f t="shared" si="14"/>
        <v>100</v>
      </c>
      <c r="X35" s="670"/>
      <c r="Y35" s="3395"/>
      <c r="Z35" s="671">
        <f t="shared" si="15"/>
        <v>111</v>
      </c>
      <c r="AA35" s="1263">
        <f t="shared" si="3"/>
        <v>1</v>
      </c>
      <c r="AB35" s="1263">
        <f t="shared" si="4"/>
        <v>1</v>
      </c>
      <c r="AC35" s="1263">
        <f t="shared" si="5"/>
        <v>1</v>
      </c>
    </row>
    <row r="36" spans="1:29" ht="15.6"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0"/>
      <c r="M36" s="2485"/>
      <c r="N36" s="2485"/>
      <c r="O36" s="2485"/>
      <c r="P36" s="3395"/>
      <c r="Q36" s="1262">
        <f t="shared" si="11"/>
        <v>111</v>
      </c>
      <c r="R36" s="666" t="s">
        <v>14</v>
      </c>
      <c r="S36" s="667">
        <f t="shared" si="12"/>
        <v>100</v>
      </c>
      <c r="T36" s="666" t="s">
        <v>14</v>
      </c>
      <c r="U36" s="667">
        <f t="shared" si="13"/>
        <v>100</v>
      </c>
      <c r="V36" s="666" t="s">
        <v>14</v>
      </c>
      <c r="W36" s="667">
        <f t="shared" si="14"/>
        <v>100</v>
      </c>
      <c r="X36" s="1264"/>
      <c r="Y36" s="3395"/>
      <c r="Z36" s="1263">
        <f t="shared" si="15"/>
        <v>111</v>
      </c>
      <c r="AA36" s="1263">
        <f t="shared" si="3"/>
        <v>1</v>
      </c>
      <c r="AB36" s="1263">
        <f t="shared" si="4"/>
        <v>1</v>
      </c>
      <c r="AC36" s="1263">
        <f t="shared" si="5"/>
        <v>1</v>
      </c>
    </row>
    <row r="37" spans="1:29" ht="14.4">
      <c r="A37" s="415" t="s">
        <v>1844</v>
      </c>
      <c r="B37" s="1820" t="s">
        <v>3352</v>
      </c>
      <c r="C37" s="1080" t="s">
        <v>0</v>
      </c>
      <c r="D37" s="417"/>
      <c r="E37" s="418"/>
      <c r="F37" s="419"/>
      <c r="G37" s="420"/>
      <c r="H37" s="421"/>
      <c r="I37" s="418"/>
      <c r="J37" s="421"/>
      <c r="K37" s="544"/>
      <c r="L37" s="2492"/>
      <c r="M37" s="2485"/>
      <c r="N37" s="2485"/>
      <c r="O37" s="2485"/>
      <c r="P37" s="3383" t="str">
        <f>A37</f>
        <v>成交单价</v>
      </c>
      <c r="Q37" s="3383"/>
      <c r="R37" s="3384">
        <f>E37</f>
        <v>0</v>
      </c>
      <c r="S37" s="3384"/>
      <c r="T37" s="3384">
        <f>G37</f>
        <v>0</v>
      </c>
      <c r="U37" s="3384"/>
      <c r="V37" s="3384">
        <f>I37</f>
        <v>0</v>
      </c>
      <c r="W37" s="3384"/>
      <c r="X37" s="384"/>
      <c r="Y37" s="672"/>
      <c r="Z37" s="384"/>
      <c r="AA37" s="384"/>
      <c r="AB37" s="384"/>
      <c r="AC37" s="384"/>
    </row>
    <row r="38" spans="1:29" ht="15" thickBot="1">
      <c r="A38" s="422" t="s">
        <v>1845</v>
      </c>
      <c r="B38" s="423" t="str">
        <f>B37</f>
        <v>元/平方米</v>
      </c>
      <c r="C38" s="1081" t="e">
        <f>R39</f>
        <v>#DIV/0!</v>
      </c>
      <c r="D38" s="2140" t="s">
        <v>2138</v>
      </c>
      <c r="E38" s="1082" t="e">
        <f>R38</f>
        <v>#DIV/0!</v>
      </c>
      <c r="F38" s="2141"/>
      <c r="G38" s="1081" t="e">
        <f>T38</f>
        <v>#DIV/0!</v>
      </c>
      <c r="H38" s="2141"/>
      <c r="I38" s="1082" t="e">
        <f>V38</f>
        <v>#DIV/0!</v>
      </c>
      <c r="J38" s="2141"/>
      <c r="K38" s="2143">
        <f>F38+H38+J38</f>
        <v>0</v>
      </c>
      <c r="L38" s="2492"/>
      <c r="M38" s="2485"/>
      <c r="N38" s="2485"/>
      <c r="O38" s="2485"/>
      <c r="P38" s="3383" t="str">
        <f>A38</f>
        <v>比较价值（元/平方米）</v>
      </c>
      <c r="Q38" s="3383"/>
      <c r="R38" s="3384" t="e">
        <f>IF(F1="售价",ROUND(PRODUCT(R37,AA7:AA36),0),ROUND(PRODUCT(R37,AA7:AA36),1))</f>
        <v>#DIV/0!</v>
      </c>
      <c r="S38" s="3384"/>
      <c r="T38" s="3384" t="e">
        <f>IF(F1="售价",ROUND(PRODUCT(T37,AB7:AB36),0),ROUND(PRODUCT(T37,AB7:AB36),1))</f>
        <v>#DIV/0!</v>
      </c>
      <c r="U38" s="3384"/>
      <c r="V38" s="3384" t="e">
        <f>IF(F1="售价",ROUND(PRODUCT(V37,AC7:AC36),0),ROUND(PRODUCT(V37,AC7:AC36),1))</f>
        <v>#DIV/0!</v>
      </c>
      <c r="W38" s="3384"/>
      <c r="X38" s="384"/>
      <c r="Y38" s="384"/>
      <c r="Z38" s="384"/>
      <c r="AA38" s="384"/>
      <c r="AB38" s="384"/>
      <c r="AC38" s="384"/>
    </row>
    <row r="39" spans="1:29" ht="15" thickBot="1">
      <c r="A39" s="426" t="s">
        <v>1846</v>
      </c>
      <c r="B39" s="427"/>
      <c r="C39" s="350" t="e">
        <f>R39</f>
        <v>#DIV/0!</v>
      </c>
      <c r="D39" s="350"/>
      <c r="E39" s="350"/>
      <c r="F39" s="350"/>
      <c r="G39" s="350"/>
      <c r="H39" s="350"/>
      <c r="I39" s="350"/>
      <c r="J39" s="350"/>
      <c r="K39" s="545"/>
      <c r="L39" s="2492"/>
      <c r="M39" s="2485"/>
      <c r="N39" s="2485"/>
      <c r="O39" s="2485"/>
      <c r="P39" s="3385" t="str">
        <f>A39</f>
        <v>估价对象XX用房的比较价值（楼面单价，元/平方米）</v>
      </c>
      <c r="Q39" s="3386"/>
      <c r="R39" s="3466" t="e">
        <f>IF(F1="售价",ROUND(IF(D38="简单平均",AVERAGE(R38:W38),R38*F38+T38*H38+V38*J38),0),ROUND(IF(D38="简单平均",AVERAGE(R38:V38),R38*F38+T38*H38+V38*J38),1))</f>
        <v>#DIV/0!</v>
      </c>
      <c r="S39" s="3466"/>
      <c r="T39" s="3466"/>
      <c r="U39" s="3466"/>
      <c r="V39" s="3466"/>
      <c r="W39" s="3466"/>
      <c r="X39" s="384"/>
      <c r="Y39" s="384"/>
      <c r="Z39" s="384"/>
      <c r="AA39" s="384"/>
      <c r="AB39" s="384"/>
      <c r="AC39" s="384"/>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6" customFormat="1" ht="13.5" customHeight="1">
      <c r="A44" s="2495"/>
      <c r="B44" s="2495"/>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6"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6" t="s">
        <v>1850</v>
      </c>
      <c r="B47" s="860"/>
      <c r="C47" s="885"/>
      <c r="D47" s="885"/>
      <c r="E47" s="885"/>
      <c r="F47" s="1087"/>
      <c r="G47" s="1087"/>
      <c r="H47" s="885"/>
      <c r="I47" s="885"/>
      <c r="J47" s="885"/>
      <c r="K47" s="886"/>
      <c r="L47" s="887"/>
      <c r="M47" s="885"/>
      <c r="N47" s="2535"/>
      <c r="O47" s="2535"/>
      <c r="P47" s="2524"/>
      <c r="Q47" s="2506"/>
      <c r="R47" s="2485"/>
      <c r="S47" s="2485"/>
      <c r="T47" s="2485"/>
      <c r="U47" s="2485"/>
      <c r="V47" s="2485"/>
      <c r="W47" s="2485"/>
      <c r="X47" s="2485"/>
      <c r="Y47" s="2485"/>
      <c r="Z47" s="2485"/>
      <c r="AA47" s="2485"/>
      <c r="AB47" s="2485"/>
      <c r="AC47" s="2485"/>
    </row>
    <row r="48" spans="1:29" s="441" customFormat="1" ht="14.4">
      <c r="A48" s="439" t="s">
        <v>1851</v>
      </c>
      <c r="B48" s="440"/>
      <c r="C48" s="1102" t="str">
        <f>YEAR(C7)&amp;"-"&amp;MONTH(C7)</f>
        <v>2024-9</v>
      </c>
      <c r="D48" s="1103">
        <f>EDATE(C48,-1)</f>
        <v>45505</v>
      </c>
      <c r="E48" s="1103">
        <f t="shared" ref="E48:O48" si="16">EDATE(D48,-1)</f>
        <v>45474</v>
      </c>
      <c r="F48" s="1103">
        <f t="shared" si="16"/>
        <v>45444</v>
      </c>
      <c r="G48" s="1103">
        <f t="shared" si="16"/>
        <v>45413</v>
      </c>
      <c r="H48" s="1103">
        <f t="shared" si="16"/>
        <v>45383</v>
      </c>
      <c r="I48" s="1103">
        <f t="shared" si="16"/>
        <v>45352</v>
      </c>
      <c r="J48" s="1103">
        <f t="shared" si="16"/>
        <v>45323</v>
      </c>
      <c r="K48" s="1103">
        <f t="shared" si="16"/>
        <v>45292</v>
      </c>
      <c r="L48" s="1103">
        <f t="shared" si="16"/>
        <v>45261</v>
      </c>
      <c r="M48" s="1103">
        <f t="shared" si="16"/>
        <v>45231</v>
      </c>
      <c r="N48" s="1103">
        <f t="shared" si="16"/>
        <v>45200</v>
      </c>
      <c r="O48" s="1103">
        <f t="shared" si="16"/>
        <v>45170</v>
      </c>
      <c r="P48" s="2525"/>
      <c r="Q48" s="2508"/>
      <c r="R48" s="2508"/>
      <c r="S48" s="2508"/>
      <c r="T48" s="2508"/>
      <c r="U48" s="2508"/>
      <c r="V48" s="2508"/>
      <c r="W48" s="2508"/>
      <c r="X48" s="2508"/>
      <c r="Y48" s="2508"/>
      <c r="Z48" s="2508"/>
      <c r="AA48" s="2508"/>
      <c r="AB48" s="2508"/>
      <c r="AC48" s="2508"/>
    </row>
    <row r="49" spans="1:29" s="101" customFormat="1">
      <c r="A49" s="442"/>
      <c r="B49" s="443"/>
      <c r="C49" s="1096">
        <v>100</v>
      </c>
      <c r="D49" s="445"/>
      <c r="E49" s="445"/>
      <c r="F49" s="445"/>
      <c r="G49" s="445"/>
      <c r="H49" s="445"/>
      <c r="I49" s="445"/>
      <c r="J49" s="445"/>
      <c r="K49" s="445"/>
      <c r="L49" s="445"/>
      <c r="M49" s="446"/>
      <c r="N49" s="445"/>
      <c r="O49" s="446"/>
      <c r="P49" s="2526"/>
      <c r="Q49" s="2438"/>
      <c r="R49" s="2438"/>
      <c r="S49" s="2438"/>
      <c r="T49" s="2438"/>
      <c r="U49" s="2438"/>
      <c r="V49" s="2438"/>
      <c r="W49" s="2438"/>
      <c r="X49" s="2438"/>
      <c r="Y49" s="2438"/>
      <c r="Z49" s="2438"/>
      <c r="AA49" s="2438"/>
      <c r="AB49" s="2438"/>
      <c r="AC49" s="2438"/>
    </row>
    <row r="50" spans="1:29" s="101" customFormat="1" ht="15" thickBot="1">
      <c r="A50" s="448" t="s">
        <v>1716</v>
      </c>
      <c r="B50" s="449"/>
      <c r="C50" s="450"/>
      <c r="D50" s="451"/>
      <c r="E50" s="451"/>
      <c r="F50" s="451"/>
      <c r="G50" s="451"/>
      <c r="H50" s="451"/>
      <c r="I50" s="451"/>
      <c r="J50" s="451"/>
      <c r="K50" s="451"/>
      <c r="L50" s="451"/>
      <c r="M50" s="452"/>
      <c r="N50" s="451"/>
      <c r="O50" s="452"/>
      <c r="P50" s="2526"/>
      <c r="Q50" s="2506"/>
      <c r="R50" s="2438"/>
      <c r="S50" s="2438"/>
      <c r="T50" s="2438"/>
      <c r="U50" s="2438"/>
      <c r="V50" s="2438"/>
      <c r="W50" s="2438"/>
      <c r="X50" s="2438"/>
      <c r="Y50" s="2438"/>
      <c r="Z50" s="2438"/>
      <c r="AA50" s="2438"/>
      <c r="AB50" s="2438"/>
      <c r="AC50" s="2438"/>
    </row>
    <row r="51" spans="1:29" s="101" customFormat="1" ht="14.4">
      <c r="A51" s="454" t="s">
        <v>1681</v>
      </c>
      <c r="B51" s="443"/>
      <c r="C51" s="455" t="s">
        <v>1776</v>
      </c>
      <c r="D51" s="31"/>
      <c r="E51" s="31"/>
      <c r="F51" s="31"/>
      <c r="G51" s="31"/>
      <c r="H51" s="31"/>
      <c r="I51" s="31"/>
      <c r="J51" s="31"/>
      <c r="K51" s="31"/>
      <c r="L51" s="456"/>
      <c r="M51" s="457"/>
      <c r="N51" s="2518"/>
      <c r="O51" s="2518"/>
      <c r="P51" s="2527"/>
      <c r="Q51" s="2506"/>
      <c r="R51" s="2438"/>
      <c r="S51" s="2438"/>
      <c r="T51" s="2438"/>
      <c r="U51" s="2438"/>
      <c r="V51" s="2438"/>
      <c r="W51" s="2438"/>
      <c r="X51" s="2438"/>
      <c r="Y51" s="2438"/>
      <c r="Z51" s="2438"/>
      <c r="AA51" s="2438"/>
      <c r="AB51" s="2438"/>
      <c r="AC51" s="2438"/>
    </row>
    <row r="52" spans="1:29" s="101" customFormat="1" ht="14.4" thickBot="1">
      <c r="A52" s="454"/>
      <c r="B52" s="443"/>
      <c r="C52" s="562">
        <v>100</v>
      </c>
      <c r="D52" s="445"/>
      <c r="E52" s="445"/>
      <c r="F52" s="445"/>
      <c r="G52" s="445"/>
      <c r="H52" s="445"/>
      <c r="I52" s="445"/>
      <c r="J52" s="445"/>
      <c r="K52" s="445"/>
      <c r="L52" s="445"/>
      <c r="M52" s="447"/>
      <c r="N52" s="2518"/>
      <c r="O52" s="2518"/>
      <c r="P52" s="2526"/>
      <c r="Q52" s="2506"/>
      <c r="R52" s="2438"/>
      <c r="S52" s="2438"/>
      <c r="T52" s="2438"/>
      <c r="U52" s="2438"/>
      <c r="V52" s="2438"/>
      <c r="W52" s="2438"/>
      <c r="X52" s="2438"/>
      <c r="Y52" s="2438"/>
      <c r="Z52" s="2438"/>
      <c r="AA52" s="2438"/>
      <c r="AB52" s="2438"/>
      <c r="AC52" s="2438"/>
    </row>
    <row r="53" spans="1:29" ht="14.4">
      <c r="A53" s="378" t="s">
        <v>1719</v>
      </c>
      <c r="B53" s="459" t="s">
        <v>1685</v>
      </c>
      <c r="C53" s="460">
        <f>C9</f>
        <v>0</v>
      </c>
      <c r="D53" s="461"/>
      <c r="E53" s="461"/>
      <c r="F53" s="461"/>
      <c r="G53" s="461"/>
      <c r="H53" s="461"/>
      <c r="I53" s="461"/>
      <c r="J53" s="461"/>
      <c r="K53" s="462"/>
      <c r="L53" s="463"/>
      <c r="M53" s="464"/>
      <c r="N53" s="2519"/>
      <c r="O53" s="2519"/>
      <c r="P53" s="2528"/>
      <c r="Q53" s="2506"/>
      <c r="R53" s="2485"/>
      <c r="S53" s="2485"/>
      <c r="T53" s="2485"/>
      <c r="U53" s="2485"/>
      <c r="V53" s="2485"/>
      <c r="W53" s="2485"/>
      <c r="X53" s="2485"/>
      <c r="Y53" s="2485"/>
      <c r="Z53" s="2485"/>
      <c r="AA53" s="2485"/>
      <c r="AB53" s="2485"/>
      <c r="AC53" s="2485"/>
    </row>
    <row r="54" spans="1:29" ht="14.4" thickBot="1">
      <c r="A54" s="366"/>
      <c r="B54" s="465"/>
      <c r="C54" s="466">
        <v>100</v>
      </c>
      <c r="D54" s="466"/>
      <c r="E54" s="466"/>
      <c r="F54" s="466"/>
      <c r="G54" s="466"/>
      <c r="H54" s="466"/>
      <c r="I54" s="466"/>
      <c r="J54" s="466"/>
      <c r="K54" s="466"/>
      <c r="L54" s="466"/>
      <c r="M54" s="467"/>
      <c r="N54" s="2520"/>
      <c r="O54" s="2520"/>
      <c r="P54" s="2528"/>
      <c r="Q54" s="2506"/>
      <c r="R54" s="2485"/>
      <c r="S54" s="2485"/>
      <c r="T54" s="2485"/>
      <c r="U54" s="2485"/>
      <c r="V54" s="2485"/>
      <c r="W54" s="2485"/>
      <c r="X54" s="2485"/>
      <c r="Y54" s="2485"/>
      <c r="Z54" s="2485"/>
      <c r="AA54" s="2485"/>
      <c r="AB54" s="2485"/>
      <c r="AC54" s="2485"/>
    </row>
    <row r="55" spans="1:29" ht="29.4" thickTop="1">
      <c r="A55" s="366"/>
      <c r="B55" s="468" t="s">
        <v>1688</v>
      </c>
      <c r="C55" s="512"/>
      <c r="D55" s="512"/>
      <c r="E55" s="512"/>
      <c r="F55" s="512"/>
      <c r="G55" s="512"/>
      <c r="H55" s="512"/>
      <c r="I55" s="512"/>
      <c r="J55" s="512"/>
      <c r="K55" s="513"/>
      <c r="L55" s="514"/>
      <c r="M55" s="515"/>
      <c r="N55" s="2519"/>
      <c r="O55" s="2519"/>
      <c r="P55" s="2528"/>
      <c r="Q55" s="2506"/>
      <c r="R55" s="2485"/>
      <c r="S55" s="2485"/>
      <c r="T55" s="2485"/>
      <c r="U55" s="2485"/>
      <c r="V55" s="2485"/>
      <c r="W55" s="2485"/>
      <c r="X55" s="2485"/>
      <c r="Y55" s="2485"/>
      <c r="Z55" s="2485"/>
      <c r="AA55" s="2485"/>
      <c r="AB55" s="2485"/>
      <c r="AC55" s="2485"/>
    </row>
    <row r="56" spans="1:29" ht="14.4" thickBot="1">
      <c r="A56" s="366"/>
      <c r="B56" s="473"/>
      <c r="C56" s="466"/>
      <c r="D56" s="466"/>
      <c r="E56" s="466"/>
      <c r="F56" s="466"/>
      <c r="G56" s="466"/>
      <c r="H56" s="466"/>
      <c r="I56" s="466"/>
      <c r="J56" s="466"/>
      <c r="K56" s="466"/>
      <c r="L56" s="466"/>
      <c r="M56" s="467"/>
      <c r="N56" s="2520"/>
      <c r="O56" s="2520"/>
      <c r="P56" s="2528"/>
      <c r="Q56" s="2506"/>
      <c r="R56" s="2485"/>
      <c r="S56" s="2485"/>
      <c r="T56" s="2485"/>
      <c r="U56" s="2485"/>
      <c r="V56" s="2485"/>
      <c r="W56" s="2485"/>
      <c r="X56" s="2485"/>
      <c r="Y56" s="2485"/>
      <c r="Z56" s="2485"/>
      <c r="AA56" s="2485"/>
      <c r="AB56" s="2485"/>
      <c r="AC56" s="2485"/>
    </row>
    <row r="57" spans="1:29" ht="14.4" thickTop="1">
      <c r="A57" s="366"/>
      <c r="B57" s="580">
        <f>B11</f>
        <v>111</v>
      </c>
      <c r="C57" s="479"/>
      <c r="D57" s="479"/>
      <c r="E57" s="479"/>
      <c r="F57" s="479"/>
      <c r="G57" s="479"/>
      <c r="H57" s="479"/>
      <c r="I57" s="479"/>
      <c r="J57" s="479"/>
      <c r="K57" s="480"/>
      <c r="L57" s="481"/>
      <c r="M57" s="482"/>
      <c r="N57" s="2519"/>
      <c r="O57" s="2519"/>
      <c r="P57" s="2528"/>
      <c r="Q57" s="2506"/>
      <c r="R57" s="2485"/>
      <c r="S57" s="2485"/>
      <c r="T57" s="2485"/>
      <c r="U57" s="2485"/>
      <c r="V57" s="2485"/>
      <c r="W57" s="2485"/>
      <c r="X57" s="2485"/>
      <c r="Y57" s="2485"/>
      <c r="Z57" s="2485"/>
      <c r="AA57" s="2485"/>
      <c r="AB57" s="2485"/>
      <c r="AC57" s="2485"/>
    </row>
    <row r="58" spans="1:29" ht="14.4" thickBot="1">
      <c r="A58" s="366"/>
      <c r="B58" s="465"/>
      <c r="C58" s="490"/>
      <c r="D58" s="466"/>
      <c r="E58" s="466"/>
      <c r="F58" s="466"/>
      <c r="G58" s="466"/>
      <c r="H58" s="466"/>
      <c r="I58" s="466"/>
      <c r="J58" s="466"/>
      <c r="K58" s="466"/>
      <c r="L58" s="466"/>
      <c r="M58" s="467"/>
      <c r="N58" s="2520"/>
      <c r="O58" s="2520"/>
      <c r="P58" s="2528"/>
      <c r="Q58" s="2506"/>
      <c r="R58" s="2485"/>
      <c r="S58" s="2485"/>
      <c r="T58" s="2485"/>
      <c r="U58" s="2485"/>
      <c r="V58" s="2485"/>
      <c r="W58" s="2485"/>
      <c r="X58" s="2485"/>
      <c r="Y58" s="2485"/>
      <c r="Z58" s="2485"/>
      <c r="AA58" s="2485"/>
      <c r="AB58" s="2485"/>
      <c r="AC58" s="2485"/>
    </row>
    <row r="59" spans="1:29" s="407" customFormat="1" ht="14.4" thickTop="1">
      <c r="A59" s="483"/>
      <c r="B59" s="468">
        <f>B12</f>
        <v>111</v>
      </c>
      <c r="C59" s="479"/>
      <c r="D59" s="479"/>
      <c r="E59" s="479"/>
      <c r="F59" s="479"/>
      <c r="G59" s="484"/>
      <c r="H59" s="485"/>
      <c r="I59" s="485"/>
      <c r="J59" s="485"/>
      <c r="K59" s="485"/>
      <c r="L59" s="486"/>
      <c r="M59" s="487"/>
      <c r="N59" s="2521"/>
      <c r="O59" s="2521"/>
      <c r="P59" s="2529"/>
      <c r="Q59" s="2513"/>
      <c r="R59" s="2491"/>
      <c r="S59" s="2491"/>
      <c r="T59" s="2491"/>
      <c r="U59" s="2491"/>
      <c r="V59" s="2491"/>
      <c r="W59" s="2491"/>
      <c r="X59" s="2491"/>
      <c r="Y59" s="2491"/>
      <c r="Z59" s="2491"/>
      <c r="AA59" s="2491"/>
      <c r="AB59" s="2491"/>
      <c r="AC59" s="2491"/>
    </row>
    <row r="60" spans="1:29" s="407" customFormat="1" ht="14.4" thickBot="1">
      <c r="A60" s="483"/>
      <c r="B60" s="473"/>
      <c r="C60" s="490"/>
      <c r="D60" s="466"/>
      <c r="E60" s="466"/>
      <c r="F60" s="466"/>
      <c r="G60" s="466"/>
      <c r="H60" s="466"/>
      <c r="I60" s="466"/>
      <c r="J60" s="466"/>
      <c r="K60" s="466"/>
      <c r="L60" s="466"/>
      <c r="M60" s="467"/>
      <c r="N60" s="2520"/>
      <c r="O60" s="2520"/>
      <c r="P60" s="2529"/>
      <c r="Q60" s="2513"/>
      <c r="R60" s="2491"/>
      <c r="S60" s="2491"/>
      <c r="T60" s="2491"/>
      <c r="U60" s="2491"/>
      <c r="V60" s="2491"/>
      <c r="W60" s="2491"/>
      <c r="X60" s="2491"/>
      <c r="Y60" s="2491"/>
      <c r="Z60" s="2491"/>
      <c r="AA60" s="2491"/>
      <c r="AB60" s="2491"/>
      <c r="AC60" s="2491"/>
    </row>
    <row r="61" spans="1:29" s="407" customFormat="1" ht="14.4" thickTop="1">
      <c r="A61" s="483"/>
      <c r="B61" s="468">
        <f>B13</f>
        <v>111</v>
      </c>
      <c r="C61" s="484"/>
      <c r="D61" s="484"/>
      <c r="E61" s="484"/>
      <c r="F61" s="484"/>
      <c r="G61" s="484"/>
      <c r="H61" s="485"/>
      <c r="I61" s="485"/>
      <c r="J61" s="485"/>
      <c r="K61" s="485"/>
      <c r="L61" s="486"/>
      <c r="M61" s="487"/>
      <c r="N61" s="2521"/>
      <c r="O61" s="2521"/>
      <c r="P61" s="2530"/>
      <c r="Q61" s="2515"/>
      <c r="R61" s="2491"/>
      <c r="S61" s="2491"/>
      <c r="T61" s="2491"/>
      <c r="U61" s="2491"/>
      <c r="V61" s="2491"/>
      <c r="W61" s="2491"/>
      <c r="X61" s="2491"/>
      <c r="Y61" s="2491"/>
      <c r="Z61" s="2491"/>
      <c r="AA61" s="2491"/>
      <c r="AB61" s="2491"/>
      <c r="AC61" s="2491"/>
    </row>
    <row r="62" spans="1:29" s="407" customFormat="1" ht="14.4" thickBot="1">
      <c r="A62" s="483"/>
      <c r="B62" s="473"/>
      <c r="C62" s="490"/>
      <c r="D62" s="490"/>
      <c r="E62" s="490"/>
      <c r="F62" s="490"/>
      <c r="G62" s="490"/>
      <c r="H62" s="492"/>
      <c r="I62" s="492"/>
      <c r="J62" s="492"/>
      <c r="K62" s="492"/>
      <c r="L62" s="492"/>
      <c r="M62" s="493"/>
      <c r="N62" s="2521"/>
      <c r="O62" s="2521"/>
      <c r="P62" s="2529"/>
      <c r="Q62" s="2513"/>
      <c r="R62" s="2491"/>
      <c r="S62" s="2491"/>
      <c r="T62" s="2491"/>
      <c r="U62" s="2491"/>
      <c r="V62" s="2491"/>
      <c r="W62" s="2491"/>
      <c r="X62" s="2491"/>
      <c r="Y62" s="2491"/>
      <c r="Z62" s="2491"/>
      <c r="AA62" s="2491"/>
      <c r="AB62" s="2491"/>
      <c r="AC62" s="2491"/>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9"/>
      <c r="O63" s="2519"/>
      <c r="P63" s="2532"/>
      <c r="Q63" s="2506"/>
      <c r="R63" s="2485"/>
      <c r="S63" s="2485"/>
      <c r="T63" s="2485"/>
      <c r="U63" s="2485"/>
      <c r="V63" s="2485"/>
      <c r="W63" s="2485"/>
      <c r="X63" s="2485"/>
      <c r="Y63" s="2485"/>
      <c r="Z63" s="2485"/>
      <c r="AA63" s="2485"/>
      <c r="AB63" s="2485"/>
      <c r="AC63" s="2485"/>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20"/>
      <c r="O64" s="2520"/>
      <c r="P64" s="2528"/>
      <c r="Q64" s="2506"/>
      <c r="R64" s="2485"/>
      <c r="S64" s="2485"/>
      <c r="T64" s="2485"/>
      <c r="U64" s="2485"/>
      <c r="V64" s="2485"/>
      <c r="W64" s="2485"/>
      <c r="X64" s="2485"/>
      <c r="Y64" s="2485"/>
      <c r="Z64" s="2485"/>
      <c r="AA64" s="2485"/>
      <c r="AB64" s="2485"/>
      <c r="AC64" s="2485"/>
    </row>
    <row r="65" spans="1:29" ht="15" thickTop="1">
      <c r="A65" s="366"/>
      <c r="B65" s="468" t="s">
        <v>1727</v>
      </c>
      <c r="C65" s="508" t="s">
        <v>1721</v>
      </c>
      <c r="D65" s="508" t="s">
        <v>1722</v>
      </c>
      <c r="E65" s="508" t="s">
        <v>1723</v>
      </c>
      <c r="F65" s="508" t="s">
        <v>1724</v>
      </c>
      <c r="G65" s="508" t="s">
        <v>1725</v>
      </c>
      <c r="H65" s="469"/>
      <c r="I65" s="469"/>
      <c r="J65" s="469"/>
      <c r="K65" s="470"/>
      <c r="L65" s="471"/>
      <c r="M65" s="472"/>
      <c r="N65" s="2519"/>
      <c r="O65" s="2519"/>
      <c r="P65" s="2528"/>
      <c r="Q65" s="2506"/>
      <c r="R65" s="2485"/>
      <c r="S65" s="2485"/>
      <c r="T65" s="2485"/>
      <c r="U65" s="2485"/>
      <c r="V65" s="2485"/>
      <c r="W65" s="2485"/>
      <c r="X65" s="2485"/>
      <c r="Y65" s="2485"/>
      <c r="Z65" s="2485"/>
      <c r="AA65" s="2485"/>
      <c r="AB65" s="2485"/>
      <c r="AC65" s="2485"/>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20"/>
      <c r="O66" s="2520"/>
      <c r="P66" s="2528"/>
      <c r="Q66" s="2506"/>
      <c r="R66" s="2485"/>
      <c r="S66" s="2485"/>
      <c r="T66" s="2485"/>
      <c r="U66" s="2485"/>
      <c r="V66" s="2485"/>
      <c r="W66" s="2485"/>
      <c r="X66" s="2485"/>
      <c r="Y66" s="2485"/>
      <c r="Z66" s="2485"/>
      <c r="AA66" s="2485"/>
      <c r="AB66" s="2485"/>
      <c r="AC66" s="2485"/>
    </row>
    <row r="67" spans="1:29" ht="15" thickTop="1">
      <c r="A67" s="366"/>
      <c r="B67" s="476" t="s">
        <v>1813</v>
      </c>
      <c r="C67" s="580" t="s">
        <v>1799</v>
      </c>
      <c r="D67" s="580" t="s">
        <v>1800</v>
      </c>
      <c r="E67" s="580" t="s">
        <v>1801</v>
      </c>
      <c r="F67" s="580" t="s">
        <v>1802</v>
      </c>
      <c r="G67" s="580" t="s">
        <v>1803</v>
      </c>
      <c r="H67" s="469"/>
      <c r="I67" s="469"/>
      <c r="J67" s="469"/>
      <c r="K67" s="469"/>
      <c r="L67" s="469"/>
      <c r="M67" s="1062"/>
      <c r="N67" s="2520"/>
      <c r="O67" s="2520"/>
      <c r="P67" s="2528"/>
      <c r="Q67" s="2506"/>
      <c r="R67" s="2485"/>
      <c r="S67" s="2485"/>
      <c r="T67" s="2485"/>
      <c r="U67" s="2485"/>
      <c r="V67" s="2485"/>
      <c r="W67" s="2485"/>
      <c r="X67" s="2485"/>
      <c r="Y67" s="2485"/>
      <c r="Z67" s="2485"/>
      <c r="AA67" s="2485"/>
      <c r="AB67" s="2485"/>
      <c r="AC67" s="2485"/>
    </row>
    <row r="68" spans="1:29" ht="14.4" thickBot="1">
      <c r="A68" s="366"/>
      <c r="B68" s="476"/>
      <c r="C68" s="474">
        <v>100</v>
      </c>
      <c r="D68" s="474">
        <f>C68-$K18</f>
        <v>100</v>
      </c>
      <c r="E68" s="474">
        <f>D68-$K18</f>
        <v>100</v>
      </c>
      <c r="F68" s="474">
        <f>E68-$K18</f>
        <v>100</v>
      </c>
      <c r="G68" s="474">
        <f>F68-$K18</f>
        <v>100</v>
      </c>
      <c r="H68" s="580"/>
      <c r="I68" s="580"/>
      <c r="J68" s="580"/>
      <c r="K68" s="580"/>
      <c r="L68" s="580"/>
      <c r="M68" s="388"/>
      <c r="N68" s="2520"/>
      <c r="O68" s="2520"/>
      <c r="P68" s="2528"/>
      <c r="Q68" s="2506"/>
      <c r="R68" s="2485"/>
      <c r="S68" s="2485"/>
      <c r="T68" s="2485"/>
      <c r="U68" s="2485"/>
      <c r="V68" s="2485"/>
      <c r="W68" s="2485"/>
      <c r="X68" s="2485"/>
      <c r="Y68" s="2485"/>
      <c r="Z68" s="2485"/>
      <c r="AA68" s="2485"/>
      <c r="AB68" s="2485"/>
      <c r="AC68" s="2485"/>
    </row>
    <row r="69" spans="1:29" ht="15" thickTop="1">
      <c r="A69" s="366"/>
      <c r="B69" s="468" t="s">
        <v>1733</v>
      </c>
      <c r="C69" s="508" t="s">
        <v>1721</v>
      </c>
      <c r="D69" s="508" t="s">
        <v>1722</v>
      </c>
      <c r="E69" s="508" t="s">
        <v>1723</v>
      </c>
      <c r="F69" s="508" t="s">
        <v>1724</v>
      </c>
      <c r="G69" s="508" t="s">
        <v>1725</v>
      </c>
      <c r="H69" s="469"/>
      <c r="I69" s="469"/>
      <c r="J69" s="469"/>
      <c r="K69" s="470"/>
      <c r="L69" s="471"/>
      <c r="M69" s="472"/>
      <c r="N69" s="2519"/>
      <c r="O69" s="2519"/>
      <c r="P69" s="2528"/>
      <c r="Q69" s="2506"/>
      <c r="R69" s="2485"/>
      <c r="S69" s="2485"/>
      <c r="T69" s="2485"/>
      <c r="U69" s="2485"/>
      <c r="V69" s="2485"/>
      <c r="W69" s="2485"/>
      <c r="X69" s="2485"/>
      <c r="Y69" s="2485"/>
      <c r="Z69" s="2485"/>
      <c r="AA69" s="2485"/>
      <c r="AB69" s="2485"/>
      <c r="AC69" s="2485"/>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20"/>
      <c r="O70" s="2520"/>
      <c r="P70" s="2528"/>
      <c r="Q70" s="2506"/>
      <c r="R70" s="2485"/>
      <c r="S70" s="2485"/>
      <c r="T70" s="2485"/>
      <c r="U70" s="2485"/>
      <c r="V70" s="2485"/>
      <c r="W70" s="2485"/>
      <c r="X70" s="2485"/>
      <c r="Y70" s="2485"/>
      <c r="Z70" s="2485"/>
      <c r="AA70" s="2485"/>
      <c r="AB70" s="2485"/>
      <c r="AC70" s="2485"/>
    </row>
    <row r="71" spans="1:29" ht="15" thickTop="1">
      <c r="A71" s="366"/>
      <c r="B71" s="468" t="s">
        <v>1852</v>
      </c>
      <c r="C71" s="484"/>
      <c r="D71" s="484"/>
      <c r="E71" s="484"/>
      <c r="F71" s="484"/>
      <c r="G71" s="484"/>
      <c r="H71" s="512"/>
      <c r="I71" s="512"/>
      <c r="J71" s="512"/>
      <c r="K71" s="513"/>
      <c r="L71" s="514"/>
      <c r="M71" s="515"/>
      <c r="N71" s="2519"/>
      <c r="O71" s="2519"/>
      <c r="P71" s="2528"/>
      <c r="Q71" s="2506"/>
      <c r="R71" s="2485"/>
      <c r="S71" s="2485"/>
      <c r="T71" s="2485"/>
      <c r="U71" s="2485"/>
      <c r="V71" s="2485"/>
      <c r="W71" s="2485"/>
      <c r="X71" s="2485"/>
      <c r="Y71" s="2485"/>
      <c r="Z71" s="2485"/>
      <c r="AA71" s="2485"/>
      <c r="AB71" s="2485"/>
      <c r="AC71" s="2485"/>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20"/>
      <c r="O72" s="2520"/>
      <c r="P72" s="2528"/>
      <c r="Q72" s="2506"/>
      <c r="R72" s="2485"/>
      <c r="S72" s="2485"/>
      <c r="T72" s="2485"/>
      <c r="U72" s="2485"/>
      <c r="V72" s="2485"/>
      <c r="W72" s="2485"/>
      <c r="X72" s="2485"/>
      <c r="Y72" s="2485"/>
      <c r="Z72" s="2485"/>
      <c r="AA72" s="2485"/>
      <c r="AB72" s="2485"/>
      <c r="AC72" s="2485"/>
    </row>
    <row r="73" spans="1:29" s="101" customFormat="1" ht="14.4" thickTop="1">
      <c r="A73" s="369"/>
      <c r="B73" s="468">
        <f>B23</f>
        <v>111</v>
      </c>
      <c r="C73" s="479"/>
      <c r="D73" s="479"/>
      <c r="E73" s="479"/>
      <c r="F73" s="479"/>
      <c r="G73" s="484"/>
      <c r="H73" s="484"/>
      <c r="I73" s="484"/>
      <c r="J73" s="484"/>
      <c r="K73" s="484"/>
      <c r="L73" s="509"/>
      <c r="M73" s="510"/>
      <c r="N73" s="2518"/>
      <c r="O73" s="2518"/>
      <c r="P73" s="2528"/>
      <c r="Q73" s="2506"/>
      <c r="R73" s="2438"/>
      <c r="S73" s="2438"/>
      <c r="T73" s="2438"/>
      <c r="U73" s="2438"/>
      <c r="V73" s="2438"/>
      <c r="W73" s="2438"/>
      <c r="X73" s="2438"/>
      <c r="Y73" s="2438"/>
      <c r="Z73" s="2438"/>
      <c r="AA73" s="2438"/>
      <c r="AB73" s="2438"/>
      <c r="AC73" s="2438"/>
    </row>
    <row r="74" spans="1:29" s="101" customFormat="1" ht="14.4" thickBot="1">
      <c r="A74" s="369"/>
      <c r="B74" s="473"/>
      <c r="C74" s="490"/>
      <c r="D74" s="466"/>
      <c r="E74" s="466"/>
      <c r="F74" s="466"/>
      <c r="G74" s="466"/>
      <c r="H74" s="466"/>
      <c r="I74" s="466"/>
      <c r="J74" s="466"/>
      <c r="K74" s="466"/>
      <c r="L74" s="466"/>
      <c r="M74" s="467"/>
      <c r="N74" s="2520"/>
      <c r="O74" s="2520"/>
      <c r="P74" s="2528"/>
      <c r="Q74" s="2506"/>
      <c r="R74" s="2438"/>
      <c r="S74" s="2438"/>
      <c r="T74" s="2438"/>
      <c r="U74" s="2438"/>
      <c r="V74" s="2438"/>
      <c r="W74" s="2438"/>
      <c r="X74" s="2438"/>
      <c r="Y74" s="2438"/>
      <c r="Z74" s="2438"/>
      <c r="AA74" s="2438"/>
      <c r="AB74" s="2438"/>
      <c r="AC74" s="2438"/>
    </row>
    <row r="75" spans="1:29" s="101" customFormat="1" ht="14.4" thickTop="1">
      <c r="A75" s="369"/>
      <c r="B75" s="468">
        <f>B24</f>
        <v>111</v>
      </c>
      <c r="C75" s="479"/>
      <c r="D75" s="479"/>
      <c r="E75" s="479"/>
      <c r="F75" s="479"/>
      <c r="G75" s="484"/>
      <c r="H75" s="484"/>
      <c r="I75" s="484"/>
      <c r="J75" s="484"/>
      <c r="K75" s="484"/>
      <c r="L75" s="484"/>
      <c r="M75" s="510"/>
      <c r="N75" s="2518"/>
      <c r="O75" s="2518"/>
      <c r="P75" s="2528"/>
      <c r="Q75" s="2506"/>
      <c r="R75" s="2438"/>
      <c r="S75" s="2438"/>
      <c r="T75" s="2438"/>
      <c r="U75" s="2438"/>
      <c r="V75" s="2438"/>
      <c r="W75" s="2438"/>
      <c r="X75" s="2438"/>
      <c r="Y75" s="2438"/>
      <c r="Z75" s="2438"/>
      <c r="AA75" s="2438"/>
      <c r="AB75" s="2438"/>
      <c r="AC75" s="2438"/>
    </row>
    <row r="76" spans="1:29" s="101" customFormat="1" ht="14.4" thickBot="1">
      <c r="A76" s="369"/>
      <c r="B76" s="473"/>
      <c r="C76" s="490"/>
      <c r="D76" s="466"/>
      <c r="E76" s="466"/>
      <c r="F76" s="466"/>
      <c r="G76" s="466"/>
      <c r="H76" s="466"/>
      <c r="I76" s="466"/>
      <c r="J76" s="466"/>
      <c r="K76" s="466"/>
      <c r="L76" s="466"/>
      <c r="M76" s="467"/>
      <c r="N76" s="2520"/>
      <c r="O76" s="2520"/>
      <c r="P76" s="2528"/>
      <c r="Q76" s="2506"/>
      <c r="R76" s="2438"/>
      <c r="S76" s="2438"/>
      <c r="T76" s="2438"/>
      <c r="U76" s="2438"/>
      <c r="V76" s="2438"/>
      <c r="W76" s="2438"/>
      <c r="X76" s="2438"/>
      <c r="Y76" s="2438"/>
      <c r="Z76" s="2438"/>
      <c r="AA76" s="2438"/>
      <c r="AB76" s="2438"/>
      <c r="AC76" s="2438"/>
    </row>
    <row r="77" spans="1:29" s="407" customFormat="1" ht="14.4" thickTop="1">
      <c r="A77" s="483"/>
      <c r="B77" s="468">
        <f>B25</f>
        <v>111</v>
      </c>
      <c r="C77" s="484"/>
      <c r="D77" s="484"/>
      <c r="E77" s="484"/>
      <c r="F77" s="484"/>
      <c r="G77" s="484"/>
      <c r="H77" s="485"/>
      <c r="I77" s="485"/>
      <c r="J77" s="485"/>
      <c r="K77" s="485"/>
      <c r="L77" s="486"/>
      <c r="M77" s="487"/>
      <c r="N77" s="2521"/>
      <c r="O77" s="2521"/>
      <c r="P77" s="2529"/>
      <c r="Q77" s="2513"/>
      <c r="R77" s="2491"/>
      <c r="S77" s="2491"/>
      <c r="T77" s="2491"/>
      <c r="U77" s="2491"/>
      <c r="V77" s="2491"/>
      <c r="W77" s="2491"/>
      <c r="X77" s="2491"/>
      <c r="Y77" s="2491"/>
      <c r="Z77" s="2491"/>
      <c r="AA77" s="2491"/>
      <c r="AB77" s="2491"/>
      <c r="AC77" s="2491"/>
    </row>
    <row r="78" spans="1:29" s="407" customFormat="1" ht="14.4" thickBot="1">
      <c r="A78" s="483"/>
      <c r="B78" s="473"/>
      <c r="C78" s="490"/>
      <c r="D78" s="490"/>
      <c r="E78" s="490"/>
      <c r="F78" s="490"/>
      <c r="G78" s="466"/>
      <c r="H78" s="466"/>
      <c r="I78" s="466"/>
      <c r="J78" s="466"/>
      <c r="K78" s="466"/>
      <c r="L78" s="466"/>
      <c r="M78" s="467"/>
      <c r="N78" s="2521"/>
      <c r="O78" s="2521"/>
      <c r="P78" s="2529"/>
      <c r="Q78" s="2513"/>
      <c r="R78" s="2491"/>
      <c r="S78" s="2491"/>
      <c r="T78" s="2491"/>
      <c r="U78" s="2491"/>
      <c r="V78" s="2491"/>
      <c r="W78" s="2491"/>
      <c r="X78" s="2491"/>
      <c r="Y78" s="2491"/>
      <c r="Z78" s="2491"/>
      <c r="AA78" s="2491"/>
      <c r="AB78" s="2491"/>
      <c r="AC78" s="2491"/>
    </row>
    <row r="79" spans="1:29" ht="29.4" thickTop="1">
      <c r="A79" s="378" t="s">
        <v>1694</v>
      </c>
      <c r="B79" s="459" t="s">
        <v>1853</v>
      </c>
      <c r="C79" s="460" t="str">
        <f>C26</f>
        <v>车库</v>
      </c>
      <c r="D79" s="461"/>
      <c r="E79" s="461"/>
      <c r="F79" s="461"/>
      <c r="G79" s="461"/>
      <c r="H79" s="461"/>
      <c r="I79" s="461"/>
      <c r="J79" s="461"/>
      <c r="K79" s="462"/>
      <c r="L79" s="463"/>
      <c r="M79" s="464"/>
      <c r="N79" s="2519"/>
      <c r="O79" s="2519"/>
      <c r="P79" s="2528"/>
      <c r="Q79" s="2506"/>
      <c r="R79" s="2485"/>
      <c r="S79" s="2485"/>
      <c r="T79" s="2485"/>
      <c r="U79" s="2485"/>
      <c r="V79" s="2485"/>
      <c r="W79" s="2485"/>
      <c r="X79" s="2485"/>
      <c r="Y79" s="2485"/>
      <c r="Z79" s="2485"/>
      <c r="AA79" s="2485"/>
      <c r="AB79" s="2485"/>
      <c r="AC79" s="2485"/>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6"/>
      <c r="B81" s="468" t="s">
        <v>1854</v>
      </c>
      <c r="C81" s="581"/>
      <c r="D81" s="581"/>
      <c r="E81" s="581"/>
      <c r="F81" s="581"/>
      <c r="G81" s="581"/>
      <c r="H81" s="581"/>
      <c r="I81" s="581"/>
      <c r="J81" s="581"/>
      <c r="K81" s="582"/>
      <c r="L81" s="583"/>
      <c r="M81" s="584"/>
      <c r="N81" s="2518"/>
      <c r="O81" s="2518"/>
      <c r="P81" s="2528"/>
      <c r="Q81" s="2506"/>
      <c r="R81" s="2485"/>
      <c r="S81" s="2485"/>
      <c r="T81" s="2485"/>
      <c r="U81" s="2485"/>
      <c r="V81" s="2485"/>
      <c r="W81" s="2485"/>
      <c r="X81" s="2485"/>
      <c r="Y81" s="2485"/>
      <c r="Z81" s="2485"/>
      <c r="AA81" s="2485"/>
      <c r="AB81" s="2485"/>
      <c r="AC81" s="2485"/>
    </row>
    <row r="82" spans="1:29" s="407" customFormat="1" ht="14.4" thickBot="1">
      <c r="A82" s="483"/>
      <c r="B82" s="473"/>
      <c r="C82" s="490"/>
      <c r="D82" s="466"/>
      <c r="E82" s="466"/>
      <c r="F82" s="466"/>
      <c r="G82" s="466"/>
      <c r="H82" s="466"/>
      <c r="I82" s="466"/>
      <c r="J82" s="466"/>
      <c r="K82" s="466"/>
      <c r="L82" s="466"/>
      <c r="M82" s="467"/>
      <c r="N82" s="2520"/>
      <c r="O82" s="2520"/>
      <c r="P82" s="2529"/>
      <c r="Q82" s="2513"/>
      <c r="R82" s="2491"/>
      <c r="S82" s="2491"/>
      <c r="T82" s="2491"/>
      <c r="U82" s="2491"/>
      <c r="V82" s="2491"/>
      <c r="W82" s="2491"/>
      <c r="X82" s="2491"/>
      <c r="Y82" s="2491"/>
      <c r="Z82" s="2491"/>
      <c r="AA82" s="2491"/>
      <c r="AB82" s="2491"/>
      <c r="AC82" s="2491"/>
    </row>
    <row r="83" spans="1:29" ht="15" thickTop="1">
      <c r="A83" s="408"/>
      <c r="B83" s="468" t="s">
        <v>1740</v>
      </c>
      <c r="C83" s="484"/>
      <c r="D83" s="484"/>
      <c r="E83" s="512"/>
      <c r="F83" s="512"/>
      <c r="G83" s="512"/>
      <c r="H83" s="512"/>
      <c r="I83" s="512"/>
      <c r="J83" s="512"/>
      <c r="K83" s="513"/>
      <c r="L83" s="514"/>
      <c r="M83" s="515"/>
      <c r="N83" s="2519"/>
      <c r="O83" s="2519"/>
      <c r="P83" s="2528"/>
      <c r="Q83" s="2506"/>
      <c r="R83" s="2485"/>
      <c r="S83" s="2485"/>
      <c r="T83" s="2485"/>
      <c r="U83" s="2485"/>
      <c r="V83" s="2485"/>
      <c r="W83" s="2485"/>
      <c r="X83" s="2485"/>
      <c r="Y83" s="2485"/>
      <c r="Z83" s="2485"/>
      <c r="AA83" s="2485"/>
      <c r="AB83" s="2485"/>
      <c r="AC83" s="2485"/>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9"/>
      <c r="O85" s="2519"/>
      <c r="P85" s="2528"/>
      <c r="Q85" s="2506"/>
      <c r="R85" s="2485"/>
      <c r="S85" s="2485"/>
      <c r="T85" s="2485"/>
      <c r="U85" s="2485"/>
      <c r="V85" s="2485"/>
      <c r="W85" s="2485"/>
      <c r="X85" s="2485"/>
      <c r="Y85" s="2485"/>
      <c r="Z85" s="2485"/>
      <c r="AA85" s="2485"/>
      <c r="AB85" s="2485"/>
      <c r="AC85" s="2485"/>
    </row>
    <row r="86" spans="1:29">
      <c r="A86" s="408"/>
      <c r="B86" s="476"/>
      <c r="C86" s="529">
        <v>0.5</v>
      </c>
      <c r="D86" s="529">
        <v>0.6</v>
      </c>
      <c r="E86" s="529">
        <v>0.7</v>
      </c>
      <c r="F86" s="529">
        <v>0.8</v>
      </c>
      <c r="G86" s="529">
        <v>0.9</v>
      </c>
      <c r="H86" s="529">
        <v>1.0001</v>
      </c>
      <c r="I86" s="547"/>
      <c r="J86" s="547"/>
      <c r="K86" s="548"/>
      <c r="L86" s="549"/>
      <c r="M86" s="550"/>
      <c r="N86" s="2519"/>
      <c r="O86" s="2519"/>
      <c r="P86" s="2528"/>
      <c r="Q86" s="2506"/>
      <c r="R86" s="2485"/>
      <c r="S86" s="2485"/>
      <c r="T86" s="2485"/>
      <c r="U86" s="2485"/>
      <c r="V86" s="2485"/>
      <c r="W86" s="2485"/>
      <c r="X86" s="2485"/>
      <c r="Y86" s="2485"/>
      <c r="Z86" s="2485"/>
      <c r="AA86" s="2485"/>
      <c r="AB86" s="2485"/>
      <c r="AC86" s="2485"/>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8"/>
      <c r="B88" s="476" t="s">
        <v>1856</v>
      </c>
      <c r="C88" s="461"/>
      <c r="D88" s="461"/>
      <c r="E88" s="461"/>
      <c r="F88" s="461"/>
      <c r="G88" s="461"/>
      <c r="H88" s="461"/>
      <c r="I88" s="461"/>
      <c r="J88" s="461"/>
      <c r="K88" s="462"/>
      <c r="L88" s="463"/>
      <c r="M88" s="464"/>
      <c r="N88" s="2519"/>
      <c r="O88" s="2519"/>
      <c r="P88" s="2528"/>
      <c r="Q88" s="2506"/>
      <c r="R88" s="2485"/>
      <c r="S88" s="2485"/>
      <c r="T88" s="2485"/>
      <c r="U88" s="2485"/>
      <c r="V88" s="2485"/>
      <c r="W88" s="2485"/>
      <c r="X88" s="2485"/>
      <c r="Y88" s="2485"/>
      <c r="Z88" s="2485"/>
      <c r="AA88" s="2485"/>
      <c r="AB88" s="2485"/>
      <c r="AC88" s="2485"/>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0"/>
      <c r="O89" s="2520"/>
      <c r="P89" s="2528"/>
      <c r="Q89" s="2506"/>
      <c r="R89" s="2485"/>
      <c r="S89" s="2485"/>
      <c r="T89" s="2485"/>
      <c r="U89" s="2485"/>
      <c r="V89" s="2485"/>
      <c r="W89" s="2485"/>
      <c r="X89" s="2485"/>
      <c r="Y89" s="2485"/>
      <c r="Z89" s="2485"/>
      <c r="AA89" s="2485"/>
      <c r="AB89" s="2485"/>
      <c r="AC89" s="2485"/>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1"/>
      <c r="O90" s="2521"/>
      <c r="P90" s="2529"/>
      <c r="Q90" s="2513"/>
      <c r="R90" s="2491"/>
      <c r="S90" s="2491"/>
      <c r="T90" s="2491"/>
      <c r="U90" s="2491"/>
      <c r="V90" s="2491"/>
      <c r="W90" s="2491"/>
      <c r="X90" s="2491"/>
      <c r="Y90" s="2491"/>
      <c r="Z90" s="2491"/>
      <c r="AA90" s="2491"/>
      <c r="AB90" s="2491"/>
      <c r="AC90" s="2491"/>
    </row>
    <row r="91" spans="1:29" s="407" customFormat="1">
      <c r="A91" s="405"/>
      <c r="B91" s="476"/>
      <c r="C91" s="6"/>
      <c r="D91" s="6"/>
      <c r="E91" s="6"/>
      <c r="F91" s="6"/>
      <c r="G91" s="6"/>
      <c r="H91" s="6"/>
      <c r="I91" s="6"/>
      <c r="J91" s="523"/>
      <c r="K91" s="523"/>
      <c r="L91" s="524"/>
      <c r="M91" s="525"/>
      <c r="N91" s="2521"/>
      <c r="O91" s="2521"/>
      <c r="P91" s="2529"/>
      <c r="Q91" s="2513"/>
      <c r="R91" s="2491"/>
      <c r="S91" s="2491"/>
      <c r="T91" s="2491"/>
      <c r="U91" s="2491"/>
      <c r="V91" s="2491"/>
      <c r="W91" s="2491"/>
      <c r="X91" s="2491"/>
      <c r="Y91" s="2491"/>
      <c r="Z91" s="2491"/>
      <c r="AA91" s="2491"/>
      <c r="AB91" s="2491"/>
      <c r="AC91" s="2491"/>
    </row>
    <row r="92" spans="1:29" s="407" customFormat="1" ht="14.4" thickBot="1">
      <c r="A92" s="483"/>
      <c r="B92" s="473"/>
      <c r="C92" s="490"/>
      <c r="D92" s="466"/>
      <c r="E92" s="466"/>
      <c r="F92" s="466"/>
      <c r="G92" s="466"/>
      <c r="H92" s="466"/>
      <c r="I92" s="466"/>
      <c r="J92" s="466"/>
      <c r="K92" s="466"/>
      <c r="L92" s="466"/>
      <c r="M92" s="467"/>
      <c r="N92" s="2521"/>
      <c r="O92" s="2521"/>
      <c r="P92" s="2529"/>
      <c r="Q92" s="2513"/>
      <c r="R92" s="2491"/>
      <c r="S92" s="2491"/>
      <c r="T92" s="2491"/>
      <c r="U92" s="2491"/>
      <c r="V92" s="2491"/>
      <c r="W92" s="2491"/>
      <c r="X92" s="2491"/>
      <c r="Y92" s="2491"/>
      <c r="Z92" s="2491"/>
      <c r="AA92" s="2491"/>
      <c r="AB92" s="2491"/>
      <c r="AC92" s="2491"/>
    </row>
    <row r="93" spans="1:29" ht="15" thickTop="1">
      <c r="A93" s="408"/>
      <c r="B93" s="468" t="s">
        <v>1858</v>
      </c>
      <c r="C93" s="484"/>
      <c r="D93" s="484"/>
      <c r="E93" s="512"/>
      <c r="F93" s="512"/>
      <c r="G93" s="512"/>
      <c r="H93" s="512"/>
      <c r="I93" s="512"/>
      <c r="J93" s="512"/>
      <c r="K93" s="513"/>
      <c r="L93" s="514"/>
      <c r="M93" s="515"/>
      <c r="N93" s="2519"/>
      <c r="O93" s="2519"/>
      <c r="P93" s="2528"/>
      <c r="Q93" s="2506"/>
      <c r="R93" s="2485"/>
      <c r="S93" s="2485"/>
      <c r="T93" s="2485"/>
      <c r="U93" s="2485"/>
      <c r="V93" s="2485"/>
      <c r="W93" s="2485"/>
      <c r="X93" s="2485"/>
      <c r="Y93" s="2485"/>
      <c r="Z93" s="2485"/>
      <c r="AA93" s="2485"/>
      <c r="AB93" s="2485"/>
      <c r="AC93" s="2485"/>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8"/>
      <c r="B95" s="468" t="s">
        <v>1859</v>
      </c>
      <c r="C95" s="461"/>
      <c r="D95" s="461"/>
      <c r="E95" s="461"/>
      <c r="F95" s="461"/>
      <c r="G95" s="461"/>
      <c r="H95" s="461"/>
      <c r="I95" s="461"/>
      <c r="J95" s="461"/>
      <c r="K95" s="462"/>
      <c r="L95" s="463"/>
      <c r="M95" s="464"/>
      <c r="N95" s="2519"/>
      <c r="O95" s="2519"/>
      <c r="P95" s="2528"/>
      <c r="Q95" s="2506"/>
      <c r="R95" s="2485"/>
      <c r="S95" s="2485"/>
      <c r="T95" s="2485"/>
      <c r="U95" s="2485"/>
      <c r="V95" s="2485"/>
      <c r="W95" s="2485"/>
      <c r="X95" s="2485"/>
      <c r="Y95" s="2485"/>
      <c r="Z95" s="2485"/>
      <c r="AA95" s="2485"/>
      <c r="AB95" s="2485"/>
      <c r="AC95" s="2485"/>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20"/>
      <c r="O96" s="2520"/>
      <c r="P96" s="2528"/>
      <c r="Q96" s="2506"/>
      <c r="R96" s="2485"/>
      <c r="S96" s="2485"/>
      <c r="T96" s="2485"/>
      <c r="U96" s="2485"/>
      <c r="V96" s="2485"/>
      <c r="W96" s="2485"/>
      <c r="X96" s="2485"/>
      <c r="Y96" s="2485"/>
      <c r="Z96" s="2485"/>
      <c r="AA96" s="2485"/>
      <c r="AB96" s="2485"/>
      <c r="AC96" s="2485"/>
    </row>
    <row r="97" spans="1:29" ht="14.4" thickTop="1">
      <c r="A97" s="408"/>
      <c r="B97" s="559">
        <f>B34</f>
        <v>111</v>
      </c>
      <c r="C97" s="479"/>
      <c r="D97" s="479"/>
      <c r="E97" s="479"/>
      <c r="F97" s="479"/>
      <c r="G97" s="484"/>
      <c r="H97" s="485"/>
      <c r="I97" s="485"/>
      <c r="J97" s="485"/>
      <c r="K97" s="485"/>
      <c r="L97" s="486"/>
      <c r="M97" s="487"/>
      <c r="N97" s="2520"/>
      <c r="O97" s="2520"/>
      <c r="P97" s="2533"/>
      <c r="Q97" s="2534"/>
      <c r="R97" s="2485"/>
      <c r="S97" s="2485"/>
      <c r="T97" s="2485"/>
      <c r="U97" s="2485"/>
      <c r="V97" s="2485"/>
      <c r="W97" s="2485"/>
      <c r="X97" s="2485"/>
      <c r="Y97" s="2485"/>
      <c r="Z97" s="2485"/>
      <c r="AA97" s="2485"/>
      <c r="AB97" s="2485"/>
      <c r="AC97" s="2485"/>
    </row>
    <row r="98" spans="1:29" ht="14.4" thickBot="1">
      <c r="A98" s="366"/>
      <c r="B98" s="473"/>
      <c r="C98" s="490"/>
      <c r="D98" s="466"/>
      <c r="E98" s="466"/>
      <c r="F98" s="466"/>
      <c r="G98" s="490"/>
      <c r="H98" s="492"/>
      <c r="I98" s="492"/>
      <c r="J98" s="492"/>
      <c r="K98" s="492"/>
      <c r="L98" s="492"/>
      <c r="M98" s="493"/>
      <c r="N98" s="2520"/>
      <c r="O98" s="2520"/>
      <c r="P98" s="2528"/>
      <c r="Q98" s="2506"/>
      <c r="R98" s="2485"/>
      <c r="S98" s="2485"/>
      <c r="T98" s="2485"/>
      <c r="U98" s="2485"/>
      <c r="V98" s="2485"/>
      <c r="W98" s="2485"/>
      <c r="X98" s="2485"/>
      <c r="Y98" s="2485"/>
      <c r="Z98" s="2485"/>
      <c r="AA98" s="2485"/>
      <c r="AB98" s="2485"/>
      <c r="AC98" s="2485"/>
    </row>
    <row r="99" spans="1:29" s="407" customFormat="1" ht="14.4" thickTop="1">
      <c r="A99" s="405"/>
      <c r="B99" s="468">
        <f>B35</f>
        <v>111</v>
      </c>
      <c r="C99" s="479"/>
      <c r="D99" s="479"/>
      <c r="E99" s="479"/>
      <c r="F99" s="479"/>
      <c r="G99" s="484"/>
      <c r="H99" s="485"/>
      <c r="I99" s="485"/>
      <c r="J99" s="485"/>
      <c r="K99" s="485"/>
      <c r="L99" s="486"/>
      <c r="M99" s="487"/>
      <c r="N99" s="2521"/>
      <c r="O99" s="2521"/>
      <c r="P99" s="2529"/>
      <c r="Q99" s="2513"/>
      <c r="R99" s="2491"/>
      <c r="S99" s="2491"/>
      <c r="T99" s="2491"/>
      <c r="U99" s="2491"/>
      <c r="V99" s="2491"/>
      <c r="W99" s="2491"/>
      <c r="X99" s="2491"/>
      <c r="Y99" s="2491"/>
      <c r="Z99" s="2491"/>
      <c r="AA99" s="2491"/>
      <c r="AB99" s="2491"/>
      <c r="AC99" s="2491"/>
    </row>
    <row r="100" spans="1:29" s="407" customFormat="1" ht="14.4" thickBot="1">
      <c r="A100" s="483"/>
      <c r="B100" s="465"/>
      <c r="C100" s="490"/>
      <c r="D100" s="466"/>
      <c r="E100" s="466"/>
      <c r="F100" s="466"/>
      <c r="G100" s="490"/>
      <c r="H100" s="492"/>
      <c r="I100" s="492"/>
      <c r="J100" s="492"/>
      <c r="K100" s="492"/>
      <c r="L100" s="492"/>
      <c r="M100" s="493"/>
      <c r="N100" s="2521"/>
      <c r="O100" s="2521"/>
      <c r="P100" s="2529"/>
      <c r="Q100" s="2513"/>
      <c r="R100" s="2491"/>
      <c r="S100" s="2491"/>
      <c r="T100" s="2491"/>
      <c r="U100" s="2491"/>
      <c r="V100" s="2491"/>
      <c r="W100" s="2491"/>
      <c r="X100" s="2491"/>
      <c r="Y100" s="2491"/>
      <c r="Z100" s="2491"/>
      <c r="AA100" s="2491"/>
      <c r="AB100" s="2491"/>
      <c r="AC100" s="2491"/>
    </row>
    <row r="101" spans="1:29" ht="14.4" thickTop="1">
      <c r="A101" s="408"/>
      <c r="B101" s="468">
        <f>B36</f>
        <v>111</v>
      </c>
      <c r="C101" s="484"/>
      <c r="D101" s="484"/>
      <c r="E101" s="484"/>
      <c r="F101" s="484"/>
      <c r="G101" s="484"/>
      <c r="H101" s="485"/>
      <c r="I101" s="485"/>
      <c r="J101" s="485"/>
      <c r="K101" s="485"/>
      <c r="L101" s="486"/>
      <c r="M101" s="487"/>
      <c r="N101" s="2519"/>
      <c r="O101" s="2519"/>
      <c r="P101" s="2528"/>
      <c r="Q101" s="2506"/>
      <c r="R101" s="2485"/>
      <c r="S101" s="2485"/>
      <c r="T101" s="2485"/>
      <c r="U101" s="2485"/>
      <c r="V101" s="2485"/>
      <c r="W101" s="2485"/>
      <c r="X101" s="2485"/>
      <c r="Y101" s="2485"/>
      <c r="Z101" s="2485"/>
      <c r="AA101" s="2485"/>
      <c r="AB101" s="2485"/>
      <c r="AC101" s="2485"/>
    </row>
    <row r="102" spans="1:29" ht="14.4" thickBot="1">
      <c r="A102" s="366"/>
      <c r="B102" s="473"/>
      <c r="C102" s="490"/>
      <c r="D102" s="490"/>
      <c r="E102" s="490"/>
      <c r="F102" s="490"/>
      <c r="G102" s="490"/>
      <c r="H102" s="492"/>
      <c r="I102" s="492"/>
      <c r="J102" s="492"/>
      <c r="K102" s="492"/>
      <c r="L102" s="492"/>
      <c r="M102" s="493"/>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88" priority="13" stopIfTrue="1">
      <formula>$F$42="超过30%"</formula>
    </cfRule>
  </conditionalFormatting>
  <conditionalFormatting sqref="E43">
    <cfRule type="expression" dxfId="87" priority="11" stopIfTrue="1">
      <formula>$F$43="超过20%"</formula>
    </cfRule>
  </conditionalFormatting>
  <conditionalFormatting sqref="E44">
    <cfRule type="expression" dxfId="86" priority="10" stopIfTrue="1">
      <formula>$F$44="超过30%"</formula>
    </cfRule>
  </conditionalFormatting>
  <conditionalFormatting sqref="F7:F36 H7:H36 J7:J36">
    <cfRule type="cellIs" dxfId="85" priority="1" operator="notEqual">
      <formula>100</formula>
    </cfRule>
  </conditionalFormatting>
  <conditionalFormatting sqref="F38">
    <cfRule type="expression" dxfId="84" priority="4">
      <formula>$D$38="简单平均"</formula>
    </cfRule>
  </conditionalFormatting>
  <conditionalFormatting sqref="F42:F44 H42:H44 J42:J44">
    <cfRule type="containsText" dxfId="83" priority="14" stopIfTrue="1" operator="containsText" text="超过">
      <formula>NOT(ISERROR(SEARCH("超过",F42)))</formula>
    </cfRule>
  </conditionalFormatting>
  <conditionalFormatting sqref="G42">
    <cfRule type="expression" dxfId="82" priority="9" stopIfTrue="1">
      <formula>$H$52+$H$42="超过30%"</formula>
    </cfRule>
  </conditionalFormatting>
  <conditionalFormatting sqref="G43">
    <cfRule type="expression" dxfId="81" priority="8" stopIfTrue="1">
      <formula>$H$43="超过20%"</formula>
    </cfRule>
  </conditionalFormatting>
  <conditionalFormatting sqref="G44">
    <cfRule type="expression" dxfId="80" priority="12" stopIfTrue="1">
      <formula>$H$54+$H$44="超过30%"</formula>
    </cfRule>
  </conditionalFormatting>
  <conditionalFormatting sqref="H38">
    <cfRule type="expression" dxfId="79" priority="3">
      <formula>$D$38="简单平均"</formula>
    </cfRule>
  </conditionalFormatting>
  <conditionalFormatting sqref="I42">
    <cfRule type="expression" dxfId="78" priority="7" stopIfTrue="1">
      <formula>$J$52+$J$42="超过30%"</formula>
    </cfRule>
  </conditionalFormatting>
  <conditionalFormatting sqref="I43">
    <cfRule type="expression" dxfId="77" priority="6" stopIfTrue="1">
      <formula>$J$53+$J$43="超过20%"</formula>
    </cfRule>
  </conditionalFormatting>
  <conditionalFormatting sqref="I44">
    <cfRule type="expression" dxfId="76" priority="5" stopIfTrue="1">
      <formula>$J$44="超过30%"</formula>
    </cfRule>
  </conditionalFormatting>
  <conditionalFormatting sqref="J38">
    <cfRule type="expression" dxfId="75" priority="2">
      <formula>$D$38="简单平均"</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G15 E15 C15 I15" xr:uid="{00000000-0002-0000-2000-000002000000}">
      <formula1>交通便捷度</formula1>
    </dataValidation>
    <dataValidation type="list" allowBlank="1" showInputMessage="1" showErrorMessage="1" sqref="C8 E8 G8 I8" xr:uid="{00000000-0002-0000-2000-000003000000}">
      <formula1>车位交易情况</formula1>
    </dataValidation>
    <dataValidation type="list" allowBlank="1" showInputMessage="1" showErrorMessage="1" sqref="E9 G9 I9" xr:uid="{00000000-0002-0000-2000-000004000000}">
      <formula1>车位用途</formula1>
    </dataValidation>
    <dataValidation type="list" allowBlank="1" showInputMessage="1" showErrorMessage="1" sqref="C22 E22 G22 I22" xr:uid="{00000000-0002-0000-2000-000005000000}">
      <formula1>车位楼层</formula1>
    </dataValidation>
    <dataValidation type="list" allowBlank="1" showInputMessage="1" showErrorMessage="1" sqref="C30 E30 G30 I30" xr:uid="{00000000-0002-0000-2000-000006000000}">
      <formula1>车位物业等级</formula1>
    </dataValidation>
    <dataValidation type="list" allowBlank="1" showInputMessage="1" showErrorMessage="1" sqref="C32 E32 G32 I32" xr:uid="{00000000-0002-0000-2000-000007000000}">
      <formula1>车位类型</formula1>
    </dataValidation>
    <dataValidation type="list" allowBlank="1" showInputMessage="1" showErrorMessage="1" sqref="C33 E33 G33 I33" xr:uid="{00000000-0002-0000-2000-000008000000}">
      <formula1>是否直接入户</formula1>
    </dataValidation>
    <dataValidation type="list" allowBlank="1" showInputMessage="1" showErrorMessage="1" sqref="B1" xr:uid="{00000000-0002-0000-2000-000009000000}">
      <formula1>地类判定</formula1>
    </dataValidation>
    <dataValidation type="list" allowBlank="1" showInputMessage="1" showErrorMessage="1" sqref="I26 E26 G26" xr:uid="{00000000-0002-0000-2000-00000A000000}">
      <formula1>车位配套类型</formula1>
    </dataValidation>
    <dataValidation type="list" allowBlank="1" showInputMessage="1" showErrorMessage="1" sqref="C28 E28 G28 I28" xr:uid="{00000000-0002-0000-2000-00000B000000}">
      <formula1>车位公共部分装修</formula1>
    </dataValidation>
    <dataValidation type="list" allowBlank="1" showInputMessage="1" showErrorMessage="1" sqref="B37" xr:uid="{00000000-0002-0000-2000-00000C000000}">
      <formula1>"元/平方米,元/车位"</formula1>
    </dataValidation>
    <dataValidation type="list" allowBlank="1" showInputMessage="1" showErrorMessage="1" sqref="C21 E21 G21 I21" xr:uid="{00000000-0002-0000-2000-00000D000000}">
      <formula1>环境</formula1>
    </dataValidation>
    <dataValidation type="list" allowBlank="1" showInputMessage="1" showErrorMessage="1" sqref="C19 E19 G19 I19"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38"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3333</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1"/>
      <c r="M3" s="2502"/>
      <c r="N3" s="2502"/>
      <c r="O3" s="2502"/>
      <c r="P3" s="340"/>
      <c r="Q3" s="340"/>
      <c r="R3" s="340"/>
      <c r="S3" s="340"/>
      <c r="T3" s="340"/>
      <c r="U3" s="340"/>
      <c r="V3" s="340"/>
      <c r="W3" s="340"/>
      <c r="X3" s="340"/>
      <c r="Y3" s="340"/>
      <c r="Z3" s="340"/>
      <c r="AA3" s="340"/>
      <c r="AB3" s="675"/>
      <c r="AC3" s="662"/>
    </row>
    <row r="4" spans="1:29" ht="14.4">
      <c r="A4" s="344" t="s">
        <v>1769</v>
      </c>
      <c r="B4" s="345"/>
      <c r="C4" s="3401" t="s">
        <v>1770</v>
      </c>
      <c r="D4" s="3402"/>
      <c r="E4" s="3403" t="s">
        <v>1771</v>
      </c>
      <c r="F4" s="3404"/>
      <c r="G4" s="3401" t="s">
        <v>1772</v>
      </c>
      <c r="H4" s="3402"/>
      <c r="I4" s="3401" t="s">
        <v>1773</v>
      </c>
      <c r="J4" s="3402"/>
      <c r="K4" s="536" t="s">
        <v>1774</v>
      </c>
      <c r="L4" s="2484"/>
      <c r="M4" s="2485"/>
      <c r="N4" s="2485"/>
      <c r="O4" s="2485"/>
      <c r="P4" s="3405" t="s">
        <v>1775</v>
      </c>
      <c r="Q4" s="3406"/>
      <c r="R4" s="3411" t="s">
        <v>1771</v>
      </c>
      <c r="S4" s="3412"/>
      <c r="T4" s="3411" t="s">
        <v>1772</v>
      </c>
      <c r="U4" s="3412"/>
      <c r="V4" s="3384" t="s">
        <v>1773</v>
      </c>
      <c r="W4" s="3384"/>
      <c r="X4" s="1264"/>
      <c r="Y4" s="3411" t="s">
        <v>1775</v>
      </c>
      <c r="Z4" s="3412"/>
      <c r="AA4" s="3398" t="s">
        <v>1771</v>
      </c>
      <c r="AB4" s="3399" t="s">
        <v>1772</v>
      </c>
      <c r="AC4" s="3398" t="s">
        <v>1773</v>
      </c>
    </row>
    <row r="5" spans="1:29">
      <c r="A5" s="347"/>
      <c r="B5" s="348"/>
      <c r="C5" s="3419" t="s">
        <v>1673</v>
      </c>
      <c r="D5" s="3420"/>
      <c r="E5" s="3427" t="s">
        <v>1674</v>
      </c>
      <c r="F5" s="3428"/>
      <c r="G5" s="3419" t="s">
        <v>1675</v>
      </c>
      <c r="H5" s="3420"/>
      <c r="I5" s="3419" t="s">
        <v>1676</v>
      </c>
      <c r="J5" s="3420"/>
      <c r="K5" s="536"/>
      <c r="L5" s="2484"/>
      <c r="M5" s="2485"/>
      <c r="N5" s="2485"/>
      <c r="O5" s="2485"/>
      <c r="P5" s="3407"/>
      <c r="Q5" s="3408"/>
      <c r="R5" s="3413"/>
      <c r="S5" s="3414"/>
      <c r="T5" s="3413"/>
      <c r="U5" s="3414"/>
      <c r="V5" s="3384"/>
      <c r="W5" s="3384"/>
      <c r="X5" s="1264"/>
      <c r="Y5" s="3413"/>
      <c r="Z5" s="3414"/>
      <c r="AA5" s="3399"/>
      <c r="AB5" s="3399"/>
      <c r="AC5" s="3399"/>
    </row>
    <row r="6" spans="1:29" ht="15" thickBot="1">
      <c r="A6" s="349"/>
      <c r="B6" s="350"/>
      <c r="C6" s="3417" t="s">
        <v>1677</v>
      </c>
      <c r="D6" s="3418"/>
      <c r="E6" s="3425" t="s">
        <v>1677</v>
      </c>
      <c r="F6" s="3426"/>
      <c r="G6" s="3417" t="s">
        <v>1677</v>
      </c>
      <c r="H6" s="3418"/>
      <c r="I6" s="3417" t="s">
        <v>1677</v>
      </c>
      <c r="J6" s="3418"/>
      <c r="K6" s="536" t="s">
        <v>1678</v>
      </c>
      <c r="L6" s="2484"/>
      <c r="M6" s="2485"/>
      <c r="N6" s="2485"/>
      <c r="O6" s="2485"/>
      <c r="P6" s="3409"/>
      <c r="Q6" s="3410"/>
      <c r="R6" s="3413"/>
      <c r="S6" s="3414"/>
      <c r="T6" s="3415"/>
      <c r="U6" s="3416"/>
      <c r="V6" s="3384"/>
      <c r="W6" s="3384"/>
      <c r="X6" s="1264"/>
      <c r="Y6" s="3415"/>
      <c r="Z6" s="3416"/>
      <c r="AA6" s="3400"/>
      <c r="AB6" s="3400"/>
      <c r="AC6" s="3400"/>
    </row>
    <row r="7" spans="1:29" s="101" customFormat="1" ht="15" thickBot="1">
      <c r="A7" s="351" t="s">
        <v>1679</v>
      </c>
      <c r="B7" s="352"/>
      <c r="C7" s="353">
        <f>'数据-取费表'!B2</f>
        <v>45562</v>
      </c>
      <c r="D7" s="354">
        <v>100</v>
      </c>
      <c r="E7" s="355"/>
      <c r="F7" s="356">
        <f>SUMIF(46:46,YEAR(E7)&amp;"-"&amp;MONTH(E7),47:47)</f>
        <v>0</v>
      </c>
      <c r="G7" s="1821"/>
      <c r="H7" s="354">
        <f>SUMIF(46:46,YEAR(G7)&amp;"-"&amp;MONTH(G7),47:47)</f>
        <v>0</v>
      </c>
      <c r="I7" s="355"/>
      <c r="J7" s="354">
        <f>SUMIF(46:46,YEAR(I7)&amp;"-"&amp;MONTH(I7),47:47)</f>
        <v>0</v>
      </c>
      <c r="K7" s="38"/>
      <c r="L7" s="2486"/>
      <c r="M7" s="2438"/>
      <c r="N7" s="2438"/>
      <c r="O7" s="2438"/>
      <c r="P7" s="3421" t="s">
        <v>1680</v>
      </c>
      <c r="Q7" s="3423"/>
      <c r="R7" s="663" t="s">
        <v>14</v>
      </c>
      <c r="S7" s="664">
        <f t="shared" ref="S7:S14" si="0">F7</f>
        <v>0</v>
      </c>
      <c r="T7" s="663" t="s">
        <v>14</v>
      </c>
      <c r="U7" s="664">
        <f t="shared" ref="U7:U14" si="1">H7</f>
        <v>0</v>
      </c>
      <c r="V7" s="663" t="s">
        <v>14</v>
      </c>
      <c r="W7" s="664">
        <f t="shared" ref="W7:W14" si="2">J7</f>
        <v>0</v>
      </c>
      <c r="X7" s="665"/>
      <c r="Y7" s="3421" t="s">
        <v>1680</v>
      </c>
      <c r="Z7" s="3422"/>
      <c r="AA7" s="50" t="e">
        <f>D7/F7</f>
        <v>#DIV/0!</v>
      </c>
      <c r="AB7" s="50" t="e">
        <f>D7/H7</f>
        <v>#DIV/0!</v>
      </c>
      <c r="AC7" s="50" t="e">
        <f>D7/J7</f>
        <v>#DIV/0!</v>
      </c>
    </row>
    <row r="8" spans="1:29" s="101" customFormat="1" ht="1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6"/>
      <c r="M8" s="2438"/>
      <c r="N8" s="2438"/>
      <c r="O8" s="2438"/>
      <c r="P8" s="3421" t="s">
        <v>1683</v>
      </c>
      <c r="Q8" s="3422"/>
      <c r="R8" s="663" t="s">
        <v>14</v>
      </c>
      <c r="S8" s="664">
        <f t="shared" si="0"/>
        <v>100</v>
      </c>
      <c r="T8" s="663" t="s">
        <v>14</v>
      </c>
      <c r="U8" s="664">
        <f t="shared" si="1"/>
        <v>100</v>
      </c>
      <c r="V8" s="663" t="s">
        <v>14</v>
      </c>
      <c r="W8" s="664">
        <f t="shared" si="2"/>
        <v>100</v>
      </c>
      <c r="X8" s="665"/>
      <c r="Y8" s="3421" t="s">
        <v>1683</v>
      </c>
      <c r="Z8" s="3422"/>
      <c r="AA8" s="50">
        <f t="shared" ref="AA8:AA34" si="3">D8/F8</f>
        <v>1</v>
      </c>
      <c r="AB8" s="50">
        <f t="shared" ref="AB8:AB34" si="4">D8/H8</f>
        <v>1</v>
      </c>
      <c r="AC8" s="50">
        <f t="shared" ref="AC8:AC34" si="5">D8/J8</f>
        <v>1</v>
      </c>
    </row>
    <row r="9" spans="1:29" s="101" customFormat="1" ht="14.4">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6"/>
      <c r="M9" s="2438"/>
      <c r="N9" s="2438"/>
      <c r="O9" s="2538"/>
      <c r="P9" s="3383" t="s">
        <v>1686</v>
      </c>
      <c r="Q9" s="529" t="str">
        <f t="shared" ref="Q9:Q14" si="6">B9</f>
        <v>用途</v>
      </c>
      <c r="R9" s="663" t="s">
        <v>14</v>
      </c>
      <c r="S9" s="664">
        <f t="shared" si="0"/>
        <v>100</v>
      </c>
      <c r="T9" s="663" t="s">
        <v>14</v>
      </c>
      <c r="U9" s="664">
        <f t="shared" si="1"/>
        <v>100</v>
      </c>
      <c r="V9" s="663" t="s">
        <v>14</v>
      </c>
      <c r="W9" s="664">
        <f t="shared" si="2"/>
        <v>100</v>
      </c>
      <c r="X9" s="665"/>
      <c r="Y9" s="3290" t="s">
        <v>1687</v>
      </c>
      <c r="Z9" s="50" t="str">
        <f t="shared" ref="Z9:Z14" si="7">Q9</f>
        <v>用途</v>
      </c>
      <c r="AA9" s="50">
        <f t="shared" si="3"/>
        <v>1</v>
      </c>
      <c r="AB9" s="50">
        <f t="shared" si="4"/>
        <v>1</v>
      </c>
      <c r="AC9" s="50">
        <f t="shared" si="5"/>
        <v>1</v>
      </c>
    </row>
    <row r="10" spans="1:29" s="365" customFormat="1" ht="28.8">
      <c r="A10" s="362"/>
      <c r="B10" s="363" t="s">
        <v>1688</v>
      </c>
      <c r="C10" s="3130"/>
      <c r="D10" s="118">
        <v>100</v>
      </c>
      <c r="E10" s="3130"/>
      <c r="F10" s="363">
        <f>SUMIF(53:53,E10,54:54)-SUMIF(53:53,C10,54:54)+100</f>
        <v>100</v>
      </c>
      <c r="G10" s="3130"/>
      <c r="H10" s="118">
        <f>SUMIF(53:53,G10,54:54)-SUMIF(53:53,C10,54:54)+100</f>
        <v>100</v>
      </c>
      <c r="I10" s="3130"/>
      <c r="J10" s="118">
        <f>SUMIF(53:53,I10,54:54)-SUMIF(53:53,C10,54:54)+100</f>
        <v>100</v>
      </c>
      <c r="K10" s="38"/>
      <c r="L10" s="2487"/>
      <c r="M10" s="2488"/>
      <c r="N10" s="2488"/>
      <c r="O10" s="2539"/>
      <c r="P10" s="3383"/>
      <c r="Q10" s="529" t="str">
        <f t="shared" si="6"/>
        <v>土地使用年限（年）</v>
      </c>
      <c r="R10" s="663" t="s">
        <v>14</v>
      </c>
      <c r="S10" s="664">
        <f t="shared" si="0"/>
        <v>100</v>
      </c>
      <c r="T10" s="663" t="s">
        <v>14</v>
      </c>
      <c r="U10" s="664">
        <f t="shared" si="1"/>
        <v>100</v>
      </c>
      <c r="V10" s="663" t="s">
        <v>14</v>
      </c>
      <c r="W10" s="664">
        <f t="shared" si="2"/>
        <v>100</v>
      </c>
      <c r="X10" s="665"/>
      <c r="Y10" s="3290"/>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9"/>
      <c r="M11" s="2485"/>
      <c r="N11" s="2485"/>
      <c r="O11" s="2540"/>
      <c r="P11" s="3383"/>
      <c r="Q11" s="529">
        <f t="shared" si="6"/>
        <v>111</v>
      </c>
      <c r="R11" s="663" t="s">
        <v>14</v>
      </c>
      <c r="S11" s="664">
        <f t="shared" si="0"/>
        <v>100</v>
      </c>
      <c r="T11" s="663" t="s">
        <v>14</v>
      </c>
      <c r="U11" s="664">
        <f t="shared" si="1"/>
        <v>100</v>
      </c>
      <c r="V11" s="663" t="s">
        <v>14</v>
      </c>
      <c r="W11" s="664">
        <f t="shared" si="2"/>
        <v>100</v>
      </c>
      <c r="X11" s="665"/>
      <c r="Y11" s="3290"/>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6"/>
      <c r="M12" s="2438"/>
      <c r="N12" s="2438"/>
      <c r="O12" s="2538"/>
      <c r="P12" s="3383"/>
      <c r="Q12" s="529">
        <f t="shared" si="6"/>
        <v>111</v>
      </c>
      <c r="R12" s="663" t="s">
        <v>14</v>
      </c>
      <c r="S12" s="664">
        <f t="shared" si="0"/>
        <v>100</v>
      </c>
      <c r="T12" s="663" t="s">
        <v>14</v>
      </c>
      <c r="U12" s="664">
        <f t="shared" si="1"/>
        <v>100</v>
      </c>
      <c r="V12" s="663" t="s">
        <v>14</v>
      </c>
      <c r="W12" s="664">
        <f t="shared" si="2"/>
        <v>100</v>
      </c>
      <c r="X12" s="665"/>
      <c r="Y12" s="3290"/>
      <c r="Z12" s="50">
        <f t="shared" si="7"/>
        <v>111</v>
      </c>
      <c r="AA12" s="50">
        <f>D12/F12</f>
        <v>1</v>
      </c>
      <c r="AB12" s="50">
        <f>D12/H12</f>
        <v>1</v>
      </c>
      <c r="AC12" s="50">
        <f>D12/J12</f>
        <v>1</v>
      </c>
    </row>
    <row r="13" spans="1:29" ht="15.6"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90"/>
      <c r="M13" s="2485"/>
      <c r="N13" s="2485"/>
      <c r="O13" s="2540"/>
      <c r="P13" s="3383"/>
      <c r="Q13" s="529">
        <f t="shared" si="6"/>
        <v>111</v>
      </c>
      <c r="R13" s="663" t="s">
        <v>14</v>
      </c>
      <c r="S13" s="664">
        <f t="shared" si="0"/>
        <v>100</v>
      </c>
      <c r="T13" s="663" t="s">
        <v>14</v>
      </c>
      <c r="U13" s="664">
        <f t="shared" si="1"/>
        <v>100</v>
      </c>
      <c r="V13" s="663" t="s">
        <v>14</v>
      </c>
      <c r="W13" s="664">
        <f t="shared" si="2"/>
        <v>100</v>
      </c>
      <c r="X13" s="665"/>
      <c r="Y13" s="3290"/>
      <c r="Z13" s="50">
        <f t="shared" si="7"/>
        <v>111</v>
      </c>
      <c r="AA13" s="50">
        <f t="shared" si="3"/>
        <v>1</v>
      </c>
      <c r="AB13" s="50">
        <f t="shared" si="4"/>
        <v>1</v>
      </c>
      <c r="AC13" s="50">
        <f t="shared" si="5"/>
        <v>1</v>
      </c>
    </row>
    <row r="14" spans="1:29" ht="138">
      <c r="A14" s="378" t="s">
        <v>1690</v>
      </c>
      <c r="B14" s="58" t="s">
        <v>1833</v>
      </c>
      <c r="C14" s="1818" t="str">
        <f>IF(B1="工业",估价对象房地状况!G4,估价对象房地状况!C6)</f>
        <v>估价对象临城市主干道--妫川路，周边有Y9路、919路、920路公交车，门口可停车，停车便捷程度较好，综合评价交通便捷度一般</v>
      </c>
      <c r="D14" s="379">
        <v>100</v>
      </c>
      <c r="E14" s="380"/>
      <c r="F14" s="381">
        <f>SUMIF(61:61,E15,62:62)-SUMIF(61:61,C15,62:62)+100</f>
        <v>100</v>
      </c>
      <c r="G14" s="382"/>
      <c r="H14" s="379">
        <f>SUMIF(61:61,G15,62:62)-SUMIF(61:61,C15,62:62)+100</f>
        <v>100</v>
      </c>
      <c r="I14" s="380"/>
      <c r="J14" s="379">
        <f>SUMIF(61:61,I15,62:62)-SUMIF(61:61,C15,62:62)+100</f>
        <v>100</v>
      </c>
      <c r="K14" s="539"/>
      <c r="L14" s="2490"/>
      <c r="M14" s="2485"/>
      <c r="N14" s="2485"/>
      <c r="O14" s="2540"/>
      <c r="P14" s="3390" t="s">
        <v>1691</v>
      </c>
      <c r="Q14" s="1262" t="str">
        <f t="shared" si="6"/>
        <v>交通便捷度</v>
      </c>
      <c r="R14" s="666" t="s">
        <v>14</v>
      </c>
      <c r="S14" s="667">
        <f t="shared" si="0"/>
        <v>100</v>
      </c>
      <c r="T14" s="666" t="s">
        <v>14</v>
      </c>
      <c r="U14" s="667">
        <f t="shared" si="1"/>
        <v>100</v>
      </c>
      <c r="V14" s="666" t="s">
        <v>14</v>
      </c>
      <c r="W14" s="667">
        <f t="shared" si="2"/>
        <v>100</v>
      </c>
      <c r="X14" s="1264"/>
      <c r="Y14" s="3390"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90"/>
      <c r="M15" s="2485"/>
      <c r="N15" s="2485"/>
      <c r="O15" s="2540"/>
      <c r="P15" s="3391"/>
      <c r="Q15" s="1262"/>
      <c r="R15" s="666"/>
      <c r="S15" s="667"/>
      <c r="T15" s="666"/>
      <c r="U15" s="667"/>
      <c r="V15" s="666"/>
      <c r="W15" s="667"/>
      <c r="X15" s="1264"/>
      <c r="Y15" s="3391"/>
      <c r="Z15" s="1263"/>
      <c r="AA15" s="1263">
        <v>1</v>
      </c>
      <c r="AB15" s="1263">
        <v>1</v>
      </c>
      <c r="AC15" s="1263">
        <v>1</v>
      </c>
    </row>
    <row r="16" spans="1:29" ht="207">
      <c r="A16" s="366"/>
      <c r="B16" s="389" t="s">
        <v>1812</v>
      </c>
      <c r="C16" s="1753" t="str">
        <f>IF(B1="工业",估价对象房地状况!G5,估价对象房地状况!C7)</f>
        <v>估价对象所在区域公共配套设施齐备情况：农业银行、农业发展银行、中国银行，司家营小学、北京市延庆区第二中学，国润家园社区卫生服务站、北京中医医院延庆医院，百尚购物中心</v>
      </c>
      <c r="D16" s="393">
        <v>100</v>
      </c>
      <c r="E16" s="395"/>
      <c r="F16" s="396">
        <f>SUMIF(63:63,E17,64:64)-SUMIF(63:63,C17,64:64)+100</f>
        <v>100</v>
      </c>
      <c r="G16" s="397"/>
      <c r="H16" s="393">
        <f>SUMIF(63:63,G17,64:64)-SUMIF(63:63,C17,64:64)+100</f>
        <v>100</v>
      </c>
      <c r="I16" s="395"/>
      <c r="J16" s="393">
        <f>SUMIF(63:63,I17,64:64)-SUMIF(63:63,C17,64:64)+100</f>
        <v>100</v>
      </c>
      <c r="K16" s="539"/>
      <c r="L16" s="2490"/>
      <c r="M16" s="2485"/>
      <c r="N16" s="2485"/>
      <c r="O16" s="2540"/>
      <c r="P16" s="3391"/>
      <c r="Q16" s="1262" t="str">
        <f>B16</f>
        <v>公共配套设施</v>
      </c>
      <c r="R16" s="666" t="s">
        <v>14</v>
      </c>
      <c r="S16" s="667">
        <f>F16</f>
        <v>100</v>
      </c>
      <c r="T16" s="666" t="s">
        <v>14</v>
      </c>
      <c r="U16" s="667">
        <f>H16</f>
        <v>100</v>
      </c>
      <c r="V16" s="666" t="s">
        <v>14</v>
      </c>
      <c r="W16" s="667">
        <f>J16</f>
        <v>100</v>
      </c>
      <c r="X16" s="1264"/>
      <c r="Y16" s="3391"/>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90"/>
      <c r="M17" s="2485"/>
      <c r="N17" s="2485"/>
      <c r="O17" s="2540"/>
      <c r="P17" s="3391"/>
      <c r="Q17" s="1262"/>
      <c r="R17" s="666"/>
      <c r="S17" s="667"/>
      <c r="T17" s="666"/>
      <c r="U17" s="667"/>
      <c r="V17" s="666"/>
      <c r="W17" s="667"/>
      <c r="X17" s="1264"/>
      <c r="Y17" s="3391"/>
      <c r="Z17" s="1263"/>
      <c r="AA17" s="1263">
        <v>1</v>
      </c>
      <c r="AB17" s="1263">
        <v>1</v>
      </c>
      <c r="AC17" s="1263">
        <v>1</v>
      </c>
    </row>
    <row r="18" spans="1:29" ht="41.4">
      <c r="A18" s="366"/>
      <c r="B18" s="585" t="s">
        <v>1813</v>
      </c>
      <c r="C18" s="1753"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90"/>
      <c r="M18" s="2485"/>
      <c r="N18" s="2485"/>
      <c r="O18" s="2540"/>
      <c r="P18" s="3391"/>
      <c r="Q18" s="1262" t="str">
        <f>B18</f>
        <v>基础设施水平</v>
      </c>
      <c r="R18" s="666" t="s">
        <v>14</v>
      </c>
      <c r="S18" s="667">
        <f>F18</f>
        <v>100</v>
      </c>
      <c r="T18" s="666" t="s">
        <v>14</v>
      </c>
      <c r="U18" s="667">
        <f>H18</f>
        <v>100</v>
      </c>
      <c r="V18" s="666" t="s">
        <v>14</v>
      </c>
      <c r="W18" s="667">
        <f>J18</f>
        <v>100</v>
      </c>
      <c r="X18" s="1264"/>
      <c r="Y18" s="3391"/>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90"/>
      <c r="M19" s="2485"/>
      <c r="N19" s="2485"/>
      <c r="O19" s="2540"/>
      <c r="P19" s="3391"/>
      <c r="Q19" s="1262"/>
      <c r="R19" s="666"/>
      <c r="S19" s="667"/>
      <c r="T19" s="666"/>
      <c r="U19" s="667"/>
      <c r="V19" s="666"/>
      <c r="W19" s="667"/>
      <c r="X19" s="1264"/>
      <c r="Y19" s="3391"/>
      <c r="Z19" s="1263"/>
      <c r="AA19" s="1263">
        <v>1</v>
      </c>
      <c r="AB19" s="1263">
        <v>1</v>
      </c>
      <c r="AC19" s="1263">
        <v>1</v>
      </c>
    </row>
    <row r="20" spans="1:29" ht="179.4">
      <c r="A20" s="366"/>
      <c r="B20" s="389" t="s">
        <v>1834</v>
      </c>
      <c r="C20" s="1753" t="str">
        <f>IF(B1="工业",估价对象房地状况!G7,估价对象房地状况!C9)</f>
        <v>区域自然环境：迎宾公园、百泉公园、夏都公园、北京延庆世界地质公园；人文环境：延庆区职业学院、妫川宝塔、延庆地质博物馆、水生野生博物馆；综合评价环境状况较好</v>
      </c>
      <c r="D20" s="393">
        <v>100</v>
      </c>
      <c r="E20" s="395"/>
      <c r="F20" s="396">
        <f>SUMIF(67:67,E21,68:68)-SUMIF(67:67,C21,68:68)+100</f>
        <v>100</v>
      </c>
      <c r="G20" s="397"/>
      <c r="H20" s="388">
        <f>SUMIF(67:67,G21,68:68)-SUMIF(67:67,C21,68:68)+100</f>
        <v>100</v>
      </c>
      <c r="I20" s="390"/>
      <c r="J20" s="388">
        <f>SUMIF(67:67,I21,68:68)-SUMIF(67:67,C21,68:68)+100</f>
        <v>100</v>
      </c>
      <c r="K20" s="539"/>
      <c r="L20" s="2490"/>
      <c r="M20" s="2485"/>
      <c r="N20" s="2485"/>
      <c r="O20" s="2540"/>
      <c r="P20" s="3391"/>
      <c r="Q20" s="1262" t="str">
        <f>B20</f>
        <v>自然及人文环境</v>
      </c>
      <c r="R20" s="666" t="s">
        <v>14</v>
      </c>
      <c r="S20" s="667">
        <f>F20</f>
        <v>100</v>
      </c>
      <c r="T20" s="666" t="s">
        <v>14</v>
      </c>
      <c r="U20" s="667">
        <f>H20</f>
        <v>100</v>
      </c>
      <c r="V20" s="666" t="s">
        <v>14</v>
      </c>
      <c r="W20" s="667">
        <f>J20</f>
        <v>100</v>
      </c>
      <c r="X20" s="1264"/>
      <c r="Y20" s="3391"/>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90"/>
      <c r="M21" s="2485"/>
      <c r="N21" s="2485"/>
      <c r="O21" s="2540"/>
      <c r="P21" s="3391"/>
      <c r="Q21" s="1262"/>
      <c r="R21" s="666"/>
      <c r="S21" s="667"/>
      <c r="T21" s="666"/>
      <c r="U21" s="667"/>
      <c r="V21" s="666"/>
      <c r="W21" s="667"/>
      <c r="X21" s="1264"/>
      <c r="Y21" s="3391"/>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90"/>
      <c r="M22" s="2485"/>
      <c r="N22" s="2485"/>
      <c r="O22" s="2540"/>
      <c r="P22" s="3391"/>
      <c r="Q22" s="1262" t="str">
        <f>B22</f>
        <v>楼层</v>
      </c>
      <c r="R22" s="666" t="s">
        <v>14</v>
      </c>
      <c r="S22" s="667">
        <f>F22</f>
        <v>100</v>
      </c>
      <c r="T22" s="666" t="s">
        <v>14</v>
      </c>
      <c r="U22" s="667">
        <f>H22</f>
        <v>100</v>
      </c>
      <c r="V22" s="666" t="s">
        <v>14</v>
      </c>
      <c r="W22" s="667">
        <f>J22</f>
        <v>100</v>
      </c>
      <c r="X22" s="1264"/>
      <c r="Y22" s="3391"/>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0"/>
      <c r="M23" s="2485"/>
      <c r="N23" s="2485"/>
      <c r="O23" s="2540"/>
      <c r="P23" s="3391"/>
      <c r="Q23" s="1262">
        <f>B23</f>
        <v>111</v>
      </c>
      <c r="R23" s="666" t="s">
        <v>14</v>
      </c>
      <c r="S23" s="667">
        <f>F23</f>
        <v>100</v>
      </c>
      <c r="T23" s="666" t="s">
        <v>14</v>
      </c>
      <c r="U23" s="667">
        <f>H23</f>
        <v>100</v>
      </c>
      <c r="V23" s="666" t="s">
        <v>14</v>
      </c>
      <c r="W23" s="667">
        <f>J23</f>
        <v>100</v>
      </c>
      <c r="X23" s="1264"/>
      <c r="Y23" s="3391"/>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0"/>
      <c r="M24" s="2485"/>
      <c r="N24" s="2485"/>
      <c r="O24" s="2540"/>
      <c r="P24" s="3391"/>
      <c r="Q24" s="1262">
        <f t="shared" ref="Q24:Q34" si="11">B24</f>
        <v>111</v>
      </c>
      <c r="R24" s="666" t="s">
        <v>14</v>
      </c>
      <c r="S24" s="667">
        <f>F24</f>
        <v>100</v>
      </c>
      <c r="T24" s="666" t="s">
        <v>14</v>
      </c>
      <c r="U24" s="667">
        <f>H24</f>
        <v>100</v>
      </c>
      <c r="V24" s="666" t="s">
        <v>14</v>
      </c>
      <c r="W24" s="667">
        <f>J24</f>
        <v>100</v>
      </c>
      <c r="X24" s="1264"/>
      <c r="Y24" s="3391"/>
      <c r="Z24" s="1263">
        <f>Q24</f>
        <v>111</v>
      </c>
      <c r="AA24" s="1263">
        <f t="shared" si="3"/>
        <v>1</v>
      </c>
      <c r="AB24" s="1263">
        <f t="shared" si="4"/>
        <v>1</v>
      </c>
      <c r="AC24" s="1263">
        <f t="shared" si="5"/>
        <v>1</v>
      </c>
    </row>
    <row r="25" spans="1:29" s="101" customFormat="1" ht="15.6"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6"/>
      <c r="M25" s="2438"/>
      <c r="N25" s="2438"/>
      <c r="O25" s="2538"/>
      <c r="P25" s="3391"/>
      <c r="Q25" s="529">
        <f t="shared" si="11"/>
        <v>111</v>
      </c>
      <c r="R25" s="663" t="s">
        <v>14</v>
      </c>
      <c r="S25" s="664">
        <f>F25</f>
        <v>100</v>
      </c>
      <c r="T25" s="663" t="s">
        <v>14</v>
      </c>
      <c r="U25" s="664">
        <f>H25</f>
        <v>100</v>
      </c>
      <c r="V25" s="663" t="s">
        <v>14</v>
      </c>
      <c r="W25" s="664">
        <f>J25</f>
        <v>100</v>
      </c>
      <c r="X25" s="665"/>
      <c r="Y25" s="3391"/>
      <c r="Z25" s="50">
        <f>Q25</f>
        <v>111</v>
      </c>
      <c r="AA25" s="1263">
        <f>D25/F25</f>
        <v>1</v>
      </c>
      <c r="AB25" s="1263">
        <f>D25/H25</f>
        <v>1</v>
      </c>
      <c r="AC25" s="1263">
        <f>D25/J25</f>
        <v>1</v>
      </c>
    </row>
    <row r="26" spans="1:29" ht="30">
      <c r="A26" s="403" t="s">
        <v>1694</v>
      </c>
      <c r="B26" s="60"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90"/>
      <c r="M26" s="2485"/>
      <c r="N26" s="2485"/>
      <c r="O26" s="2540"/>
      <c r="P26" s="3465"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395"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9"/>
      <c r="M27" s="2491"/>
      <c r="N27" s="2491"/>
      <c r="O27" s="2541"/>
      <c r="P27" s="3395"/>
      <c r="Q27" s="530" t="str">
        <f t="shared" si="11"/>
        <v>成新率</v>
      </c>
      <c r="R27" s="668" t="s">
        <v>14</v>
      </c>
      <c r="S27" s="669" t="e">
        <f t="shared" si="12"/>
        <v>#N/A</v>
      </c>
      <c r="T27" s="668" t="s">
        <v>14</v>
      </c>
      <c r="U27" s="669" t="e">
        <f t="shared" si="13"/>
        <v>#N/A</v>
      </c>
      <c r="V27" s="668" t="s">
        <v>14</v>
      </c>
      <c r="W27" s="669" t="e">
        <f t="shared" si="14"/>
        <v>#N/A</v>
      </c>
      <c r="X27" s="670"/>
      <c r="Y27" s="3395"/>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90"/>
      <c r="M28" s="2485"/>
      <c r="N28" s="2485"/>
      <c r="O28" s="2540"/>
      <c r="P28" s="3395"/>
      <c r="Q28" s="1262" t="str">
        <f t="shared" si="11"/>
        <v>物业等级</v>
      </c>
      <c r="R28" s="666" t="s">
        <v>14</v>
      </c>
      <c r="S28" s="667">
        <f t="shared" si="12"/>
        <v>100</v>
      </c>
      <c r="T28" s="666" t="s">
        <v>14</v>
      </c>
      <c r="U28" s="667">
        <f t="shared" si="13"/>
        <v>100</v>
      </c>
      <c r="V28" s="666" t="s">
        <v>14</v>
      </c>
      <c r="W28" s="667">
        <f t="shared" si="14"/>
        <v>100</v>
      </c>
      <c r="X28" s="1264"/>
      <c r="Y28" s="3395"/>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90"/>
      <c r="M29" s="2485"/>
      <c r="N29" s="2485"/>
      <c r="O29" s="2540"/>
      <c r="P29" s="3395"/>
      <c r="Q29" s="1262" t="str">
        <f t="shared" si="11"/>
        <v>有无电梯</v>
      </c>
      <c r="R29" s="666" t="s">
        <v>14</v>
      </c>
      <c r="S29" s="667">
        <f t="shared" si="12"/>
        <v>100</v>
      </c>
      <c r="T29" s="666" t="s">
        <v>14</v>
      </c>
      <c r="U29" s="667">
        <f t="shared" si="13"/>
        <v>100</v>
      </c>
      <c r="V29" s="666" t="s">
        <v>14</v>
      </c>
      <c r="W29" s="667">
        <f t="shared" si="14"/>
        <v>100</v>
      </c>
      <c r="X29" s="1264"/>
      <c r="Y29" s="3395"/>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0"/>
      <c r="M30" s="2485"/>
      <c r="N30" s="2485"/>
      <c r="O30" s="2540"/>
      <c r="P30" s="3395"/>
      <c r="Q30" s="1262" t="str">
        <f t="shared" si="11"/>
        <v>建筑面积</v>
      </c>
      <c r="R30" s="666" t="s">
        <v>14</v>
      </c>
      <c r="S30" s="667" t="e">
        <f t="shared" si="12"/>
        <v>#N/A</v>
      </c>
      <c r="T30" s="666" t="s">
        <v>14</v>
      </c>
      <c r="U30" s="667" t="e">
        <f t="shared" si="13"/>
        <v>#N/A</v>
      </c>
      <c r="V30" s="666" t="s">
        <v>14</v>
      </c>
      <c r="W30" s="667" t="e">
        <f t="shared" si="14"/>
        <v>#N/A</v>
      </c>
      <c r="X30" s="1264"/>
      <c r="Y30" s="3395"/>
      <c r="Z30" s="1263" t="str">
        <f t="shared" si="15"/>
        <v>建筑面积</v>
      </c>
      <c r="AA30" s="1263" t="e">
        <f t="shared" si="3"/>
        <v>#N/A</v>
      </c>
      <c r="AB30" s="1263" t="e">
        <f t="shared" si="4"/>
        <v>#N/A</v>
      </c>
      <c r="AC30" s="1263" t="e">
        <f t="shared" si="5"/>
        <v>#N/A</v>
      </c>
    </row>
    <row r="31" spans="1:29" s="101"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6"/>
      <c r="M31" s="2438"/>
      <c r="N31" s="2438"/>
      <c r="O31" s="2538"/>
      <c r="P31" s="3395"/>
      <c r="Q31" s="529" t="str">
        <f t="shared" si="11"/>
        <v>是否封闭</v>
      </c>
      <c r="R31" s="663" t="s">
        <v>14</v>
      </c>
      <c r="S31" s="664">
        <f t="shared" si="12"/>
        <v>100</v>
      </c>
      <c r="T31" s="663" t="s">
        <v>14</v>
      </c>
      <c r="U31" s="664">
        <f t="shared" si="13"/>
        <v>100</v>
      </c>
      <c r="V31" s="663" t="s">
        <v>14</v>
      </c>
      <c r="W31" s="664">
        <f t="shared" si="14"/>
        <v>100</v>
      </c>
      <c r="X31" s="665"/>
      <c r="Y31" s="3395"/>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0"/>
      <c r="M32" s="2485"/>
      <c r="N32" s="2485"/>
      <c r="O32" s="2540"/>
      <c r="P32" s="3395" t="s">
        <v>1696</v>
      </c>
      <c r="Q32" s="1262">
        <f t="shared" si="11"/>
        <v>111</v>
      </c>
      <c r="R32" s="666" t="s">
        <v>14</v>
      </c>
      <c r="S32" s="667">
        <f t="shared" si="12"/>
        <v>100</v>
      </c>
      <c r="T32" s="666" t="s">
        <v>14</v>
      </c>
      <c r="U32" s="667">
        <f t="shared" si="13"/>
        <v>100</v>
      </c>
      <c r="V32" s="666" t="s">
        <v>14</v>
      </c>
      <c r="W32" s="667">
        <f t="shared" si="14"/>
        <v>100</v>
      </c>
      <c r="X32" s="1264"/>
      <c r="Y32" s="3395"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0"/>
      <c r="M33" s="2485"/>
      <c r="N33" s="2485"/>
      <c r="O33" s="2540"/>
      <c r="P33" s="3395"/>
      <c r="Q33" s="1262">
        <f t="shared" si="11"/>
        <v>111</v>
      </c>
      <c r="R33" s="666" t="s">
        <v>14</v>
      </c>
      <c r="S33" s="667">
        <f t="shared" si="12"/>
        <v>100</v>
      </c>
      <c r="T33" s="666" t="s">
        <v>14</v>
      </c>
      <c r="U33" s="667">
        <f t="shared" si="13"/>
        <v>100</v>
      </c>
      <c r="V33" s="666" t="s">
        <v>14</v>
      </c>
      <c r="W33" s="667">
        <f t="shared" si="14"/>
        <v>100</v>
      </c>
      <c r="X33" s="1264"/>
      <c r="Y33" s="3395"/>
      <c r="Z33" s="1263">
        <f t="shared" si="15"/>
        <v>111</v>
      </c>
      <c r="AA33" s="1263">
        <f t="shared" si="3"/>
        <v>1</v>
      </c>
      <c r="AB33" s="1263">
        <f t="shared" si="4"/>
        <v>1</v>
      </c>
      <c r="AC33" s="1263">
        <f t="shared" si="5"/>
        <v>1</v>
      </c>
    </row>
    <row r="34" spans="1:30" ht="15.6"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90"/>
      <c r="M34" s="2485"/>
      <c r="N34" s="2485"/>
      <c r="O34" s="2540"/>
      <c r="P34" s="3395"/>
      <c r="Q34" s="1262">
        <f t="shared" si="11"/>
        <v>111</v>
      </c>
      <c r="R34" s="666" t="s">
        <v>14</v>
      </c>
      <c r="S34" s="667">
        <f t="shared" si="12"/>
        <v>100</v>
      </c>
      <c r="T34" s="666" t="s">
        <v>14</v>
      </c>
      <c r="U34" s="667">
        <f t="shared" si="13"/>
        <v>100</v>
      </c>
      <c r="V34" s="666" t="s">
        <v>14</v>
      </c>
      <c r="W34" s="667">
        <f t="shared" si="14"/>
        <v>100</v>
      </c>
      <c r="X34" s="1264"/>
      <c r="Y34" s="3395"/>
      <c r="Z34" s="1263">
        <f t="shared" si="15"/>
        <v>111</v>
      </c>
      <c r="AA34" s="1263">
        <f t="shared" si="3"/>
        <v>1</v>
      </c>
      <c r="AB34" s="1263">
        <f t="shared" si="4"/>
        <v>1</v>
      </c>
      <c r="AC34" s="1263">
        <f t="shared" si="5"/>
        <v>1</v>
      </c>
    </row>
    <row r="35" spans="1:30" ht="14.4">
      <c r="A35" s="415" t="s">
        <v>1708</v>
      </c>
      <c r="B35" s="416"/>
      <c r="C35" s="1080" t="s">
        <v>0</v>
      </c>
      <c r="D35" s="417"/>
      <c r="E35" s="418"/>
      <c r="F35" s="419"/>
      <c r="G35" s="420"/>
      <c r="H35" s="421"/>
      <c r="I35" s="418"/>
      <c r="J35" s="421"/>
      <c r="K35" s="673"/>
      <c r="L35" s="2492"/>
      <c r="M35" s="2485"/>
      <c r="N35" s="2485"/>
      <c r="O35" s="2485"/>
      <c r="P35" s="3383" t="str">
        <f>A35</f>
        <v>成交单价（元/平方米）</v>
      </c>
      <c r="Q35" s="3383"/>
      <c r="R35" s="3384">
        <f>E35</f>
        <v>0</v>
      </c>
      <c r="S35" s="3384"/>
      <c r="T35" s="3384">
        <f>G35</f>
        <v>0</v>
      </c>
      <c r="U35" s="3384"/>
      <c r="V35" s="3384">
        <f>I35</f>
        <v>0</v>
      </c>
      <c r="W35" s="3384"/>
      <c r="X35" s="384"/>
      <c r="Y35" s="672"/>
      <c r="Z35" s="384"/>
      <c r="AA35" s="384"/>
      <c r="AB35" s="384"/>
      <c r="AC35" s="384"/>
    </row>
    <row r="36" spans="1:30" ht="15" thickBot="1">
      <c r="A36" s="422" t="s">
        <v>1793</v>
      </c>
      <c r="B36" s="423"/>
      <c r="C36" s="1081" t="e">
        <f>R37</f>
        <v>#DIV/0!</v>
      </c>
      <c r="D36" s="2140" t="s">
        <v>2138</v>
      </c>
      <c r="E36" s="1082" t="e">
        <f>R36</f>
        <v>#DIV/0!</v>
      </c>
      <c r="F36" s="2141"/>
      <c r="G36" s="1081" t="e">
        <f>T36</f>
        <v>#DIV/0!</v>
      </c>
      <c r="H36" s="2141"/>
      <c r="I36" s="1082" t="e">
        <f>V36</f>
        <v>#DIV/0!</v>
      </c>
      <c r="J36" s="2141"/>
      <c r="K36" s="2143">
        <f>F36+H36+J36</f>
        <v>0</v>
      </c>
      <c r="L36" s="2492"/>
      <c r="M36" s="2485"/>
      <c r="N36" s="2485"/>
      <c r="O36" s="2485"/>
      <c r="P36" s="3383" t="str">
        <f>A36</f>
        <v>比较价值（元/平方米）</v>
      </c>
      <c r="Q36" s="3383"/>
      <c r="R36" s="3384" t="e">
        <f>IF(F1="售价",ROUND(PRODUCT(R35,AA7:AA34),0),ROUND(PRODUCT(R35,AA7:AA34),1))</f>
        <v>#DIV/0!</v>
      </c>
      <c r="S36" s="3384"/>
      <c r="T36" s="3384" t="e">
        <f>IF(F1="售价",ROUND(PRODUCT(T35,AB7:AB34),0),ROUND(PRODUCT(T35,AB7:AB34),1))</f>
        <v>#DIV/0!</v>
      </c>
      <c r="U36" s="3384"/>
      <c r="V36" s="3384" t="e">
        <f>IF(F1="售价",ROUND(PRODUCT(V35,AC7:AC34),0),ROUND(PRODUCT(V35,AC7:AC34),1))</f>
        <v>#DIV/0!</v>
      </c>
      <c r="W36" s="3384"/>
      <c r="X36" s="384"/>
      <c r="Y36" s="384"/>
      <c r="Z36" s="384"/>
      <c r="AA36" s="384"/>
      <c r="AB36" s="384"/>
      <c r="AC36" s="384"/>
    </row>
    <row r="37" spans="1:30" ht="15" thickBot="1">
      <c r="A37" s="426" t="s">
        <v>1794</v>
      </c>
      <c r="B37" s="427"/>
      <c r="C37" s="350" t="e">
        <f>R37</f>
        <v>#DIV/0!</v>
      </c>
      <c r="D37" s="350"/>
      <c r="E37" s="350"/>
      <c r="F37" s="350"/>
      <c r="G37" s="350"/>
      <c r="H37" s="350"/>
      <c r="I37" s="350"/>
      <c r="J37" s="350"/>
      <c r="K37" s="674"/>
      <c r="L37" s="2492"/>
      <c r="M37" s="2485"/>
      <c r="N37" s="2485"/>
      <c r="O37" s="2485"/>
      <c r="P37" s="3385" t="str">
        <f>A37</f>
        <v>估价对象XX用房的比较价值（楼面单价，元/平方米）</v>
      </c>
      <c r="Q37" s="3386"/>
      <c r="R37" s="3466" t="e">
        <f>IF(F1="售价",ROUND(IF(D36="简单平均",AVERAGE(R36:W36),R36*F36+T36*H36+V36*J36),0),ROUND(IF(D36="简单平均",AVERAGE(R36:V36),R36*F36+T36*H36+V36*J36),1))</f>
        <v>#DIV/0!</v>
      </c>
      <c r="S37" s="3466"/>
      <c r="T37" s="3466"/>
      <c r="U37" s="3466"/>
      <c r="V37" s="3466"/>
      <c r="W37" s="3466"/>
      <c r="X37" s="384"/>
      <c r="Y37" s="384"/>
      <c r="Z37" s="384"/>
      <c r="AA37" s="384"/>
      <c r="AB37" s="384"/>
      <c r="AC37" s="384"/>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6" customFormat="1" ht="13.5" customHeight="1">
      <c r="A42" s="2495"/>
      <c r="B42" s="2495"/>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6"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7" t="s">
        <v>1798</v>
      </c>
      <c r="B45" s="384"/>
      <c r="C45" s="658"/>
      <c r="D45" s="658"/>
      <c r="E45" s="658"/>
      <c r="F45" s="659"/>
      <c r="G45" s="659"/>
      <c r="H45" s="658"/>
      <c r="I45" s="658"/>
      <c r="J45" s="658"/>
      <c r="K45" s="660"/>
      <c r="L45" s="661"/>
      <c r="M45" s="658"/>
      <c r="N45" s="2535"/>
      <c r="O45" s="2535"/>
      <c r="P45" s="2535"/>
      <c r="Q45" s="2506"/>
      <c r="R45" s="2485"/>
      <c r="S45" s="2485"/>
      <c r="T45" s="2485"/>
      <c r="U45" s="2485"/>
      <c r="V45" s="2485"/>
      <c r="W45" s="2485"/>
      <c r="X45" s="2485"/>
      <c r="Y45" s="2485"/>
      <c r="Z45" s="2485"/>
      <c r="AA45" s="2485"/>
      <c r="AB45" s="2485"/>
      <c r="AC45" s="2485"/>
      <c r="AD45" s="2485"/>
    </row>
    <row r="46" spans="1:30" s="441" customFormat="1" ht="14.4">
      <c r="A46" s="439" t="s">
        <v>1679</v>
      </c>
      <c r="B46" s="440"/>
      <c r="C46" s="1102" t="str">
        <f>YEAR(C7)&amp;"-"&amp;MONTH(C7)</f>
        <v>2024-9</v>
      </c>
      <c r="D46" s="1103">
        <f>EDATE(C46,-1)</f>
        <v>45505</v>
      </c>
      <c r="E46" s="1103">
        <f t="shared" ref="E46:O46" si="16">EDATE(D46,-1)</f>
        <v>45474</v>
      </c>
      <c r="F46" s="1103">
        <f t="shared" si="16"/>
        <v>45444</v>
      </c>
      <c r="G46" s="1103">
        <f t="shared" si="16"/>
        <v>45413</v>
      </c>
      <c r="H46" s="1103">
        <f t="shared" si="16"/>
        <v>45383</v>
      </c>
      <c r="I46" s="1103">
        <f t="shared" si="16"/>
        <v>45352</v>
      </c>
      <c r="J46" s="1103">
        <f t="shared" si="16"/>
        <v>45323</v>
      </c>
      <c r="K46" s="1103">
        <f t="shared" si="16"/>
        <v>45292</v>
      </c>
      <c r="L46" s="1103">
        <f t="shared" si="16"/>
        <v>45261</v>
      </c>
      <c r="M46" s="1103">
        <f t="shared" si="16"/>
        <v>45231</v>
      </c>
      <c r="N46" s="1103">
        <f t="shared" si="16"/>
        <v>45200</v>
      </c>
      <c r="O46" s="1103">
        <f t="shared" si="16"/>
        <v>45170</v>
      </c>
      <c r="P46" s="2508"/>
      <c r="Q46" s="2508"/>
      <c r="R46" s="2508"/>
      <c r="S46" s="2508"/>
      <c r="T46" s="2508"/>
      <c r="U46" s="2508"/>
      <c r="V46" s="2508"/>
      <c r="W46" s="2508"/>
      <c r="X46" s="2508"/>
      <c r="Y46" s="2508"/>
      <c r="Z46" s="2508"/>
      <c r="AA46" s="2508"/>
      <c r="AB46" s="2508"/>
      <c r="AC46" s="2508"/>
      <c r="AD46" s="2508"/>
    </row>
    <row r="47" spans="1:30" s="101" customFormat="1">
      <c r="A47" s="442"/>
      <c r="B47" s="443"/>
      <c r="C47" s="1101">
        <v>100</v>
      </c>
      <c r="D47" s="445"/>
      <c r="E47" s="445"/>
      <c r="F47" s="445"/>
      <c r="G47" s="445"/>
      <c r="H47" s="445"/>
      <c r="I47" s="445"/>
      <c r="J47" s="445"/>
      <c r="K47" s="445"/>
      <c r="L47" s="445"/>
      <c r="M47" s="446"/>
      <c r="N47" s="445"/>
      <c r="O47" s="447"/>
      <c r="P47" s="2506"/>
      <c r="Q47" s="2438"/>
      <c r="R47" s="2438"/>
      <c r="S47" s="2438"/>
      <c r="T47" s="2438"/>
      <c r="U47" s="2438"/>
      <c r="V47" s="2438"/>
      <c r="W47" s="2438"/>
      <c r="X47" s="2438"/>
      <c r="Y47" s="2438"/>
      <c r="Z47" s="2438"/>
      <c r="AA47" s="2438"/>
      <c r="AB47" s="2438"/>
      <c r="AC47" s="2438"/>
      <c r="AD47" s="2438"/>
    </row>
    <row r="48" spans="1:30" s="101" customFormat="1" ht="15" thickBot="1">
      <c r="A48" s="448" t="s">
        <v>1716</v>
      </c>
      <c r="B48" s="449"/>
      <c r="C48" s="450"/>
      <c r="D48" s="451"/>
      <c r="E48" s="451"/>
      <c r="F48" s="451"/>
      <c r="G48" s="451"/>
      <c r="H48" s="451"/>
      <c r="I48" s="451"/>
      <c r="J48" s="451"/>
      <c r="K48" s="451"/>
      <c r="L48" s="451"/>
      <c r="M48" s="452"/>
      <c r="N48" s="451"/>
      <c r="O48" s="453"/>
      <c r="P48" s="2506"/>
      <c r="Q48" s="2506"/>
      <c r="R48" s="2438"/>
      <c r="S48" s="2438"/>
      <c r="T48" s="2438"/>
      <c r="U48" s="2438"/>
      <c r="V48" s="2438"/>
      <c r="W48" s="2438"/>
      <c r="X48" s="2438"/>
      <c r="Y48" s="2438"/>
      <c r="Z48" s="2438"/>
      <c r="AA48" s="2438"/>
      <c r="AB48" s="2438"/>
      <c r="AC48" s="2438"/>
      <c r="AD48" s="2438"/>
    </row>
    <row r="49" spans="1:30" s="101" customFormat="1" ht="14.4">
      <c r="A49" s="454" t="s">
        <v>1681</v>
      </c>
      <c r="B49" s="443"/>
      <c r="C49" s="455" t="s">
        <v>1776</v>
      </c>
      <c r="D49" s="31"/>
      <c r="E49" s="31"/>
      <c r="F49" s="31"/>
      <c r="G49" s="31"/>
      <c r="H49" s="31"/>
      <c r="I49" s="31"/>
      <c r="J49" s="31"/>
      <c r="K49" s="31"/>
      <c r="L49" s="456"/>
      <c r="M49" s="457"/>
      <c r="N49" s="2518"/>
      <c r="O49" s="2518"/>
      <c r="P49" s="2542"/>
      <c r="Q49" s="2506"/>
      <c r="R49" s="2438"/>
      <c r="S49" s="2438"/>
      <c r="T49" s="2438"/>
      <c r="U49" s="2438"/>
      <c r="V49" s="2438"/>
      <c r="W49" s="2438"/>
      <c r="X49" s="2438"/>
      <c r="Y49" s="2438"/>
      <c r="Z49" s="2438"/>
      <c r="AA49" s="2438"/>
      <c r="AB49" s="2438"/>
      <c r="AC49" s="2438"/>
      <c r="AD49" s="2438"/>
    </row>
    <row r="50" spans="1:30" s="101" customFormat="1" ht="14.4" thickBot="1">
      <c r="A50" s="454"/>
      <c r="B50" s="443"/>
      <c r="C50" s="562">
        <v>100</v>
      </c>
      <c r="D50" s="445"/>
      <c r="E50" s="445"/>
      <c r="F50" s="445"/>
      <c r="G50" s="445"/>
      <c r="H50" s="445"/>
      <c r="I50" s="445"/>
      <c r="J50" s="445"/>
      <c r="K50" s="445"/>
      <c r="L50" s="445"/>
      <c r="M50" s="447"/>
      <c r="N50" s="2518"/>
      <c r="O50" s="2518"/>
      <c r="P50" s="2506"/>
      <c r="Q50" s="2506"/>
      <c r="R50" s="2438"/>
      <c r="S50" s="2438"/>
      <c r="T50" s="2438"/>
      <c r="U50" s="2438"/>
      <c r="V50" s="2438"/>
      <c r="W50" s="2438"/>
      <c r="X50" s="2438"/>
      <c r="Y50" s="2438"/>
      <c r="Z50" s="2438"/>
      <c r="AA50" s="2438"/>
      <c r="AB50" s="2438"/>
      <c r="AC50" s="2438"/>
      <c r="AD50" s="2438"/>
    </row>
    <row r="51" spans="1:30" ht="14.4">
      <c r="A51" s="378" t="s">
        <v>1719</v>
      </c>
      <c r="B51" s="459" t="s">
        <v>1685</v>
      </c>
      <c r="C51" s="460">
        <f>C9</f>
        <v>0</v>
      </c>
      <c r="D51" s="461"/>
      <c r="E51" s="461"/>
      <c r="F51" s="461"/>
      <c r="G51" s="461"/>
      <c r="H51" s="461"/>
      <c r="I51" s="461"/>
      <c r="J51" s="461"/>
      <c r="K51" s="462"/>
      <c r="L51" s="463"/>
      <c r="M51" s="464"/>
      <c r="N51" s="2519"/>
      <c r="O51" s="2519"/>
      <c r="P51" s="2518"/>
      <c r="Q51" s="2506"/>
      <c r="R51" s="2485"/>
      <c r="S51" s="2485"/>
      <c r="T51" s="2485"/>
      <c r="U51" s="2485"/>
      <c r="V51" s="2485"/>
      <c r="W51" s="2485"/>
      <c r="X51" s="2485"/>
      <c r="Y51" s="2485"/>
      <c r="Z51" s="2485"/>
      <c r="AA51" s="2485"/>
      <c r="AB51" s="2485"/>
      <c r="AC51" s="2485"/>
      <c r="AD51" s="2485"/>
    </row>
    <row r="52" spans="1:30" ht="14.4" thickBot="1">
      <c r="A52" s="366"/>
      <c r="B52" s="465"/>
      <c r="C52" s="466">
        <v>100</v>
      </c>
      <c r="D52" s="466"/>
      <c r="E52" s="466"/>
      <c r="F52" s="466"/>
      <c r="G52" s="466"/>
      <c r="H52" s="466"/>
      <c r="I52" s="466"/>
      <c r="J52" s="466"/>
      <c r="K52" s="466"/>
      <c r="L52" s="466"/>
      <c r="M52" s="467"/>
      <c r="N52" s="2520"/>
      <c r="O52" s="2520"/>
      <c r="P52" s="2518"/>
      <c r="Q52" s="2506"/>
      <c r="R52" s="2485"/>
      <c r="S52" s="2485"/>
      <c r="T52" s="2485"/>
      <c r="U52" s="2485"/>
      <c r="V52" s="2485"/>
      <c r="W52" s="2485"/>
      <c r="X52" s="2485"/>
      <c r="Y52" s="2485"/>
      <c r="Z52" s="2485"/>
      <c r="AA52" s="2485"/>
      <c r="AB52" s="2485"/>
      <c r="AC52" s="2485"/>
      <c r="AD52" s="2485"/>
    </row>
    <row r="53" spans="1:30" ht="29.4" thickTop="1">
      <c r="A53" s="366"/>
      <c r="B53" s="468" t="s">
        <v>1688</v>
      </c>
      <c r="C53" s="512"/>
      <c r="D53" s="512"/>
      <c r="E53" s="512"/>
      <c r="F53" s="512"/>
      <c r="G53" s="512"/>
      <c r="H53" s="512"/>
      <c r="I53" s="512"/>
      <c r="J53" s="512"/>
      <c r="K53" s="513"/>
      <c r="L53" s="514"/>
      <c r="M53" s="515"/>
      <c r="N53" s="2519"/>
      <c r="O53" s="2519"/>
      <c r="P53" s="2518"/>
      <c r="Q53" s="2506"/>
      <c r="R53" s="2485"/>
      <c r="S53" s="2485"/>
      <c r="T53" s="2485"/>
      <c r="U53" s="2485"/>
      <c r="V53" s="2485"/>
      <c r="W53" s="2485"/>
      <c r="X53" s="2485"/>
      <c r="Y53" s="2485"/>
      <c r="Z53" s="2485"/>
      <c r="AA53" s="2485"/>
      <c r="AB53" s="2485"/>
      <c r="AC53" s="2485"/>
      <c r="AD53" s="2485"/>
    </row>
    <row r="54" spans="1:30" ht="14.4" thickBot="1">
      <c r="A54" s="366"/>
      <c r="B54" s="473"/>
      <c r="C54" s="466"/>
      <c r="D54" s="466"/>
      <c r="E54" s="466"/>
      <c r="F54" s="466"/>
      <c r="G54" s="466"/>
      <c r="H54" s="466"/>
      <c r="I54" s="466"/>
      <c r="J54" s="466"/>
      <c r="K54" s="466"/>
      <c r="L54" s="466"/>
      <c r="M54" s="467"/>
      <c r="N54" s="2520"/>
      <c r="O54" s="2520"/>
      <c r="P54" s="2518"/>
      <c r="Q54" s="2506"/>
      <c r="R54" s="2485"/>
      <c r="S54" s="2485"/>
      <c r="T54" s="2485"/>
      <c r="U54" s="2485"/>
      <c r="V54" s="2485"/>
      <c r="W54" s="2485"/>
      <c r="X54" s="2485"/>
      <c r="Y54" s="2485"/>
      <c r="Z54" s="2485"/>
      <c r="AA54" s="2485"/>
      <c r="AB54" s="2485"/>
      <c r="AC54" s="2485"/>
      <c r="AD54" s="2485"/>
    </row>
    <row r="55" spans="1:30" ht="14.4" thickTop="1">
      <c r="A55" s="366"/>
      <c r="B55" s="580">
        <f>B11</f>
        <v>111</v>
      </c>
      <c r="C55" s="479"/>
      <c r="D55" s="479"/>
      <c r="E55" s="479"/>
      <c r="F55" s="479"/>
      <c r="G55" s="479"/>
      <c r="H55" s="479"/>
      <c r="I55" s="479"/>
      <c r="J55" s="479"/>
      <c r="K55" s="480"/>
      <c r="L55" s="481"/>
      <c r="M55" s="482"/>
      <c r="N55" s="2519"/>
      <c r="O55" s="2519"/>
      <c r="P55" s="2518"/>
      <c r="Q55" s="2506"/>
      <c r="R55" s="2485"/>
      <c r="S55" s="2485"/>
      <c r="T55" s="2485"/>
      <c r="U55" s="2485"/>
      <c r="V55" s="2485"/>
      <c r="W55" s="2485"/>
      <c r="X55" s="2485"/>
      <c r="Y55" s="2485"/>
      <c r="Z55" s="2485"/>
      <c r="AA55" s="2485"/>
      <c r="AB55" s="2485"/>
      <c r="AC55" s="2485"/>
      <c r="AD55" s="2485"/>
    </row>
    <row r="56" spans="1:30" ht="14.4" thickBot="1">
      <c r="A56" s="366"/>
      <c r="B56" s="465"/>
      <c r="C56" s="490"/>
      <c r="D56" s="466"/>
      <c r="E56" s="466"/>
      <c r="F56" s="466"/>
      <c r="G56" s="466"/>
      <c r="H56" s="466"/>
      <c r="I56" s="466"/>
      <c r="J56" s="466"/>
      <c r="K56" s="466"/>
      <c r="L56" s="466"/>
      <c r="M56" s="467"/>
      <c r="N56" s="2520"/>
      <c r="O56" s="2520"/>
      <c r="P56" s="2518"/>
      <c r="Q56" s="2506"/>
      <c r="R56" s="2485"/>
      <c r="S56" s="2485"/>
      <c r="T56" s="2485"/>
      <c r="U56" s="2485"/>
      <c r="V56" s="2485"/>
      <c r="W56" s="2485"/>
      <c r="X56" s="2485"/>
      <c r="Y56" s="2485"/>
      <c r="Z56" s="2485"/>
      <c r="AA56" s="2485"/>
      <c r="AB56" s="2485"/>
      <c r="AC56" s="2485"/>
      <c r="AD56" s="2485"/>
    </row>
    <row r="57" spans="1:30" s="407" customFormat="1" ht="14.4" thickTop="1">
      <c r="A57" s="483"/>
      <c r="B57" s="468">
        <f>B12</f>
        <v>111</v>
      </c>
      <c r="C57" s="479"/>
      <c r="D57" s="479"/>
      <c r="E57" s="479"/>
      <c r="F57" s="479"/>
      <c r="G57" s="484"/>
      <c r="H57" s="485"/>
      <c r="I57" s="485"/>
      <c r="J57" s="485"/>
      <c r="K57" s="485"/>
      <c r="L57" s="486"/>
      <c r="M57" s="487"/>
      <c r="N57" s="2521"/>
      <c r="O57" s="2521"/>
      <c r="P57" s="2521"/>
      <c r="Q57" s="2513"/>
      <c r="R57" s="2491"/>
      <c r="S57" s="2491"/>
      <c r="T57" s="2491"/>
      <c r="U57" s="2491"/>
      <c r="V57" s="2491"/>
      <c r="W57" s="2491"/>
      <c r="X57" s="2491"/>
      <c r="Y57" s="2491"/>
      <c r="Z57" s="2491"/>
      <c r="AA57" s="2491"/>
      <c r="AB57" s="2491"/>
      <c r="AC57" s="2491"/>
      <c r="AD57" s="2491"/>
    </row>
    <row r="58" spans="1:30" s="407" customFormat="1" ht="14.4" thickBot="1">
      <c r="A58" s="483"/>
      <c r="B58" s="473"/>
      <c r="C58" s="490"/>
      <c r="D58" s="466"/>
      <c r="E58" s="466"/>
      <c r="F58" s="466"/>
      <c r="G58" s="466"/>
      <c r="H58" s="466"/>
      <c r="I58" s="466"/>
      <c r="J58" s="466"/>
      <c r="K58" s="466"/>
      <c r="L58" s="466"/>
      <c r="M58" s="467"/>
      <c r="N58" s="2520"/>
      <c r="O58" s="2520"/>
      <c r="P58" s="2521"/>
      <c r="Q58" s="2513"/>
      <c r="R58" s="2491"/>
      <c r="S58" s="2491"/>
      <c r="T58" s="2491"/>
      <c r="U58" s="2491"/>
      <c r="V58" s="2491"/>
      <c r="W58" s="2491"/>
      <c r="X58" s="2491"/>
      <c r="Y58" s="2491"/>
      <c r="Z58" s="2491"/>
      <c r="AA58" s="2491"/>
      <c r="AB58" s="2491"/>
      <c r="AC58" s="2491"/>
      <c r="AD58" s="2491"/>
    </row>
    <row r="59" spans="1:30" s="407" customFormat="1" ht="14.4" thickTop="1">
      <c r="A59" s="483"/>
      <c r="B59" s="468">
        <f>B13</f>
        <v>111</v>
      </c>
      <c r="C59" s="479"/>
      <c r="D59" s="479"/>
      <c r="E59" s="479"/>
      <c r="F59" s="479"/>
      <c r="G59" s="484"/>
      <c r="H59" s="485"/>
      <c r="I59" s="485"/>
      <c r="J59" s="485"/>
      <c r="K59" s="485"/>
      <c r="L59" s="486"/>
      <c r="M59" s="487"/>
      <c r="N59" s="2521"/>
      <c r="O59" s="2521"/>
      <c r="P59" s="2491"/>
      <c r="Q59" s="2515"/>
      <c r="R59" s="2491"/>
      <c r="S59" s="2491"/>
      <c r="T59" s="2491"/>
      <c r="U59" s="2491"/>
      <c r="V59" s="2491"/>
      <c r="W59" s="2491"/>
      <c r="X59" s="2491"/>
      <c r="Y59" s="2491"/>
      <c r="Z59" s="2491"/>
      <c r="AA59" s="2491"/>
      <c r="AB59" s="2491"/>
      <c r="AC59" s="2491"/>
      <c r="AD59" s="2491"/>
    </row>
    <row r="60" spans="1:30" s="407" customFormat="1" ht="14.4" thickBot="1">
      <c r="A60" s="483"/>
      <c r="B60" s="473"/>
      <c r="C60" s="490"/>
      <c r="D60" s="490"/>
      <c r="E60" s="490"/>
      <c r="F60" s="490"/>
      <c r="G60" s="490"/>
      <c r="H60" s="492"/>
      <c r="I60" s="492"/>
      <c r="J60" s="492"/>
      <c r="K60" s="492"/>
      <c r="L60" s="492"/>
      <c r="M60" s="493"/>
      <c r="N60" s="2521"/>
      <c r="O60" s="2521"/>
      <c r="P60" s="2521"/>
      <c r="Q60" s="2513"/>
      <c r="R60" s="2491"/>
      <c r="S60" s="2491"/>
      <c r="T60" s="2491"/>
      <c r="U60" s="2491"/>
      <c r="V60" s="2491"/>
      <c r="W60" s="2491"/>
      <c r="X60" s="2491"/>
      <c r="Y60" s="2491"/>
      <c r="Z60" s="2491"/>
      <c r="AA60" s="2491"/>
      <c r="AB60" s="2491"/>
      <c r="AC60" s="2491"/>
      <c r="AD60" s="2491"/>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9"/>
      <c r="O61" s="2519"/>
      <c r="P61" s="2543"/>
      <c r="Q61" s="2506"/>
      <c r="R61" s="2485"/>
      <c r="S61" s="2485"/>
      <c r="T61" s="2485"/>
      <c r="U61" s="2485"/>
      <c r="V61" s="2485"/>
      <c r="W61" s="2485"/>
      <c r="X61" s="2485"/>
      <c r="Y61" s="2485"/>
      <c r="Z61" s="2485"/>
      <c r="AA61" s="2485"/>
      <c r="AB61" s="2485"/>
      <c r="AC61" s="2485"/>
      <c r="AD61" s="2485"/>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20"/>
      <c r="O62" s="2520"/>
      <c r="P62" s="2518"/>
      <c r="Q62" s="2506"/>
      <c r="R62" s="2485"/>
      <c r="S62" s="2485"/>
      <c r="T62" s="2485"/>
      <c r="U62" s="2485"/>
      <c r="V62" s="2485"/>
      <c r="W62" s="2485"/>
      <c r="X62" s="2485"/>
      <c r="Y62" s="2485"/>
      <c r="Z62" s="2485"/>
      <c r="AA62" s="2485"/>
      <c r="AB62" s="2485"/>
      <c r="AC62" s="2485"/>
      <c r="AD62" s="2485"/>
    </row>
    <row r="63" spans="1:30" ht="29.4" thickTop="1">
      <c r="A63" s="366"/>
      <c r="B63" s="468" t="s">
        <v>1863</v>
      </c>
      <c r="C63" s="508" t="s">
        <v>1721</v>
      </c>
      <c r="D63" s="508" t="s">
        <v>1722</v>
      </c>
      <c r="E63" s="508" t="s">
        <v>1723</v>
      </c>
      <c r="F63" s="508" t="s">
        <v>1724</v>
      </c>
      <c r="G63" s="508" t="s">
        <v>1725</v>
      </c>
      <c r="H63" s="469"/>
      <c r="I63" s="469"/>
      <c r="J63" s="469"/>
      <c r="K63" s="470"/>
      <c r="L63" s="471"/>
      <c r="M63" s="472"/>
      <c r="N63" s="2519"/>
      <c r="O63" s="2519"/>
      <c r="P63" s="2518"/>
      <c r="Q63" s="2506"/>
      <c r="R63" s="2485"/>
      <c r="S63" s="2485"/>
      <c r="T63" s="2485"/>
      <c r="U63" s="2485"/>
      <c r="V63" s="2485"/>
      <c r="W63" s="2485"/>
      <c r="X63" s="2485"/>
      <c r="Y63" s="2485"/>
      <c r="Z63" s="2485"/>
      <c r="AA63" s="2485"/>
      <c r="AB63" s="2485"/>
      <c r="AC63" s="2485"/>
      <c r="AD63" s="2485"/>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20"/>
      <c r="O64" s="2520"/>
      <c r="P64" s="2518"/>
      <c r="Q64" s="2506"/>
      <c r="R64" s="2485"/>
      <c r="S64" s="2485"/>
      <c r="T64" s="2485"/>
      <c r="U64" s="2485"/>
      <c r="V64" s="2485"/>
      <c r="W64" s="2485"/>
      <c r="X64" s="2485"/>
      <c r="Y64" s="2485"/>
      <c r="Z64" s="2485"/>
      <c r="AA64" s="2485"/>
      <c r="AB64" s="2485"/>
      <c r="AC64" s="2485"/>
      <c r="AD64" s="2485"/>
    </row>
    <row r="65" spans="1:30" ht="15" thickTop="1">
      <c r="A65" s="366"/>
      <c r="B65" s="476" t="s">
        <v>1813</v>
      </c>
      <c r="C65" s="580" t="s">
        <v>1799</v>
      </c>
      <c r="D65" s="580" t="s">
        <v>1800</v>
      </c>
      <c r="E65" s="580" t="s">
        <v>1801</v>
      </c>
      <c r="F65" s="580" t="s">
        <v>1802</v>
      </c>
      <c r="G65" s="580" t="s">
        <v>1803</v>
      </c>
      <c r="H65" s="469"/>
      <c r="I65" s="469"/>
      <c r="J65" s="469"/>
      <c r="K65" s="469"/>
      <c r="L65" s="469"/>
      <c r="M65" s="1062"/>
      <c r="N65" s="2520"/>
      <c r="O65" s="2520"/>
      <c r="P65" s="2518"/>
      <c r="Q65" s="2506"/>
      <c r="R65" s="2485"/>
      <c r="S65" s="2485"/>
      <c r="T65" s="2485"/>
      <c r="U65" s="2485"/>
      <c r="V65" s="2485"/>
      <c r="W65" s="2485"/>
      <c r="X65" s="2485"/>
      <c r="Y65" s="2485"/>
      <c r="Z65" s="2485"/>
      <c r="AA65" s="2485"/>
      <c r="AB65" s="2485"/>
      <c r="AC65" s="2485"/>
      <c r="AD65" s="2485"/>
    </row>
    <row r="66" spans="1:30" ht="14.4" thickBot="1">
      <c r="A66" s="366"/>
      <c r="B66" s="476"/>
      <c r="C66" s="474">
        <v>100</v>
      </c>
      <c r="D66" s="474">
        <f>C66-$K18</f>
        <v>100</v>
      </c>
      <c r="E66" s="474">
        <f>D66-$K18</f>
        <v>100</v>
      </c>
      <c r="F66" s="474">
        <f>E66-$K18</f>
        <v>100</v>
      </c>
      <c r="G66" s="474">
        <f>F66-$K18</f>
        <v>100</v>
      </c>
      <c r="H66" s="580"/>
      <c r="I66" s="580"/>
      <c r="J66" s="580"/>
      <c r="K66" s="580"/>
      <c r="L66" s="580"/>
      <c r="M66" s="388"/>
      <c r="N66" s="2520"/>
      <c r="O66" s="2520"/>
      <c r="P66" s="2518"/>
      <c r="Q66" s="2506"/>
      <c r="R66" s="2485"/>
      <c r="S66" s="2485"/>
      <c r="T66" s="2485"/>
      <c r="U66" s="2485"/>
      <c r="V66" s="2485"/>
      <c r="W66" s="2485"/>
      <c r="X66" s="2485"/>
      <c r="Y66" s="2485"/>
      <c r="Z66" s="2485"/>
      <c r="AA66" s="2485"/>
      <c r="AB66" s="2485"/>
      <c r="AC66" s="2485"/>
      <c r="AD66" s="2485"/>
    </row>
    <row r="67" spans="1:30" ht="15" thickTop="1">
      <c r="A67" s="366"/>
      <c r="B67" s="468" t="s">
        <v>1733</v>
      </c>
      <c r="C67" s="508" t="s">
        <v>1721</v>
      </c>
      <c r="D67" s="508" t="s">
        <v>1722</v>
      </c>
      <c r="E67" s="508" t="s">
        <v>1723</v>
      </c>
      <c r="F67" s="508" t="s">
        <v>1724</v>
      </c>
      <c r="G67" s="508" t="s">
        <v>1725</v>
      </c>
      <c r="H67" s="469"/>
      <c r="I67" s="469"/>
      <c r="J67" s="469"/>
      <c r="K67" s="470"/>
      <c r="L67" s="471"/>
      <c r="M67" s="472"/>
      <c r="N67" s="2519"/>
      <c r="O67" s="2519"/>
      <c r="P67" s="2518"/>
      <c r="Q67" s="2506"/>
      <c r="R67" s="2485"/>
      <c r="S67" s="2485"/>
      <c r="T67" s="2485"/>
      <c r="U67" s="2485"/>
      <c r="V67" s="2485"/>
      <c r="W67" s="2485"/>
      <c r="X67" s="2485"/>
      <c r="Y67" s="2485"/>
      <c r="Z67" s="2485"/>
      <c r="AA67" s="2485"/>
      <c r="AB67" s="2485"/>
      <c r="AC67" s="2485"/>
      <c r="AD67" s="2485"/>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20"/>
      <c r="O68" s="2520"/>
      <c r="P68" s="2518"/>
      <c r="Q68" s="2506"/>
      <c r="R68" s="2485"/>
      <c r="S68" s="2485"/>
      <c r="T68" s="2485"/>
      <c r="U68" s="2485"/>
      <c r="V68" s="2485"/>
      <c r="W68" s="2485"/>
      <c r="X68" s="2485"/>
      <c r="Y68" s="2485"/>
      <c r="Z68" s="2485"/>
      <c r="AA68" s="2485"/>
      <c r="AB68" s="2485"/>
      <c r="AC68" s="2485"/>
      <c r="AD68" s="2485"/>
    </row>
    <row r="69" spans="1:30" ht="15" thickTop="1">
      <c r="A69" s="366"/>
      <c r="B69" s="468" t="s">
        <v>1852</v>
      </c>
      <c r="C69" s="484"/>
      <c r="D69" s="484"/>
      <c r="E69" s="484"/>
      <c r="F69" s="484"/>
      <c r="G69" s="484"/>
      <c r="H69" s="512"/>
      <c r="I69" s="512"/>
      <c r="J69" s="512"/>
      <c r="K69" s="513"/>
      <c r="L69" s="514"/>
      <c r="M69" s="515"/>
      <c r="N69" s="2519"/>
      <c r="O69" s="2519"/>
      <c r="P69" s="2518"/>
      <c r="Q69" s="2506"/>
      <c r="R69" s="2485"/>
      <c r="S69" s="2485"/>
      <c r="T69" s="2485"/>
      <c r="U69" s="2485"/>
      <c r="V69" s="2485"/>
      <c r="W69" s="2485"/>
      <c r="X69" s="2485"/>
      <c r="Y69" s="2485"/>
      <c r="Z69" s="2485"/>
      <c r="AA69" s="2485"/>
      <c r="AB69" s="2485"/>
      <c r="AC69" s="2485"/>
      <c r="AD69" s="2485"/>
    </row>
    <row r="70" spans="1:30" ht="14.4" thickBot="1">
      <c r="A70" s="366"/>
      <c r="B70" s="473"/>
      <c r="C70" s="474">
        <v>100</v>
      </c>
      <c r="D70" s="474">
        <f>C70-$K22</f>
        <v>100</v>
      </c>
      <c r="E70" s="474"/>
      <c r="F70" s="474"/>
      <c r="G70" s="474"/>
      <c r="H70" s="474"/>
      <c r="I70" s="474"/>
      <c r="J70" s="474"/>
      <c r="K70" s="474"/>
      <c r="L70" s="474"/>
      <c r="M70" s="475"/>
      <c r="N70" s="2520"/>
      <c r="O70" s="2520"/>
      <c r="P70" s="2518"/>
      <c r="Q70" s="2506"/>
      <c r="R70" s="2485"/>
      <c r="S70" s="2485"/>
      <c r="T70" s="2485"/>
      <c r="U70" s="2485"/>
      <c r="V70" s="2485"/>
      <c r="W70" s="2485"/>
      <c r="X70" s="2485"/>
      <c r="Y70" s="2485"/>
      <c r="Z70" s="2485"/>
      <c r="AA70" s="2485"/>
      <c r="AB70" s="2485"/>
      <c r="AC70" s="2485"/>
      <c r="AD70" s="2485"/>
    </row>
    <row r="71" spans="1:30" s="101" customFormat="1" ht="14.4" thickTop="1">
      <c r="A71" s="369"/>
      <c r="B71" s="468">
        <f>B23</f>
        <v>111</v>
      </c>
      <c r="C71" s="479"/>
      <c r="D71" s="479"/>
      <c r="E71" s="479"/>
      <c r="F71" s="479"/>
      <c r="G71" s="484"/>
      <c r="H71" s="484"/>
      <c r="I71" s="484"/>
      <c r="J71" s="484"/>
      <c r="K71" s="484"/>
      <c r="L71" s="509"/>
      <c r="M71" s="510"/>
      <c r="N71" s="2518"/>
      <c r="O71" s="2518"/>
      <c r="P71" s="2518"/>
      <c r="Q71" s="2506"/>
      <c r="R71" s="2438"/>
      <c r="S71" s="2438"/>
      <c r="T71" s="2438"/>
      <c r="U71" s="2438"/>
      <c r="V71" s="2438"/>
      <c r="W71" s="2438"/>
      <c r="X71" s="2438"/>
      <c r="Y71" s="2438"/>
      <c r="Z71" s="2438"/>
      <c r="AA71" s="2438"/>
      <c r="AB71" s="2438"/>
      <c r="AC71" s="2438"/>
      <c r="AD71" s="2438"/>
    </row>
    <row r="72" spans="1:30" s="101" customFormat="1" ht="14.4" thickBot="1">
      <c r="A72" s="369"/>
      <c r="B72" s="473"/>
      <c r="C72" s="490"/>
      <c r="D72" s="466"/>
      <c r="E72" s="466"/>
      <c r="F72" s="466"/>
      <c r="G72" s="466"/>
      <c r="H72" s="466"/>
      <c r="I72" s="466"/>
      <c r="J72" s="466"/>
      <c r="K72" s="466"/>
      <c r="L72" s="466"/>
      <c r="M72" s="467"/>
      <c r="N72" s="2520"/>
      <c r="O72" s="2520"/>
      <c r="P72" s="2518"/>
      <c r="Q72" s="2506"/>
      <c r="R72" s="2438"/>
      <c r="S72" s="2438"/>
      <c r="T72" s="2438"/>
      <c r="U72" s="2438"/>
      <c r="V72" s="2438"/>
      <c r="W72" s="2438"/>
      <c r="X72" s="2438"/>
      <c r="Y72" s="2438"/>
      <c r="Z72" s="2438"/>
      <c r="AA72" s="2438"/>
      <c r="AB72" s="2438"/>
      <c r="AC72" s="2438"/>
      <c r="AD72" s="2438"/>
    </row>
    <row r="73" spans="1:30" s="101" customFormat="1" ht="14.4" thickTop="1">
      <c r="A73" s="369"/>
      <c r="B73" s="468">
        <f>B24</f>
        <v>111</v>
      </c>
      <c r="C73" s="479"/>
      <c r="D73" s="479"/>
      <c r="E73" s="479"/>
      <c r="F73" s="479"/>
      <c r="G73" s="484"/>
      <c r="H73" s="484"/>
      <c r="I73" s="484"/>
      <c r="J73" s="484"/>
      <c r="K73" s="484"/>
      <c r="L73" s="484"/>
      <c r="M73" s="510"/>
      <c r="N73" s="2518"/>
      <c r="O73" s="2518"/>
      <c r="P73" s="2518"/>
      <c r="Q73" s="2506"/>
      <c r="R73" s="2438"/>
      <c r="S73" s="2438"/>
      <c r="T73" s="2438"/>
      <c r="U73" s="2438"/>
      <c r="V73" s="2438"/>
      <c r="W73" s="2438"/>
      <c r="X73" s="2438"/>
      <c r="Y73" s="2438"/>
      <c r="Z73" s="2438"/>
      <c r="AA73" s="2438"/>
      <c r="AB73" s="2438"/>
      <c r="AC73" s="2438"/>
      <c r="AD73" s="2438"/>
    </row>
    <row r="74" spans="1:30" s="101" customFormat="1" ht="14.4" thickBot="1">
      <c r="A74" s="369"/>
      <c r="B74" s="473"/>
      <c r="C74" s="490"/>
      <c r="D74" s="466"/>
      <c r="E74" s="466"/>
      <c r="F74" s="466"/>
      <c r="G74" s="466"/>
      <c r="H74" s="466"/>
      <c r="I74" s="466"/>
      <c r="J74" s="466"/>
      <c r="K74" s="466"/>
      <c r="L74" s="466"/>
      <c r="M74" s="467"/>
      <c r="N74" s="2520"/>
      <c r="O74" s="2520"/>
      <c r="P74" s="2518"/>
      <c r="Q74" s="2506"/>
      <c r="R74" s="2438"/>
      <c r="S74" s="2438"/>
      <c r="T74" s="2438"/>
      <c r="U74" s="2438"/>
      <c r="V74" s="2438"/>
      <c r="W74" s="2438"/>
      <c r="X74" s="2438"/>
      <c r="Y74" s="2438"/>
      <c r="Z74" s="2438"/>
      <c r="AA74" s="2438"/>
      <c r="AB74" s="2438"/>
      <c r="AC74" s="2438"/>
      <c r="AD74" s="2438"/>
    </row>
    <row r="75" spans="1:30" s="407" customFormat="1" ht="14.4" thickTop="1">
      <c r="A75" s="483"/>
      <c r="B75" s="468">
        <f>B25</f>
        <v>111</v>
      </c>
      <c r="C75" s="479"/>
      <c r="D75" s="479"/>
      <c r="E75" s="479"/>
      <c r="F75" s="479"/>
      <c r="G75" s="484"/>
      <c r="H75" s="485"/>
      <c r="I75" s="485"/>
      <c r="J75" s="485"/>
      <c r="K75" s="485"/>
      <c r="L75" s="486"/>
      <c r="M75" s="487"/>
      <c r="N75" s="2521"/>
      <c r="O75" s="2521"/>
      <c r="P75" s="2521"/>
      <c r="Q75" s="2513"/>
      <c r="R75" s="2491"/>
      <c r="S75" s="2491"/>
      <c r="T75" s="2491"/>
      <c r="U75" s="2491"/>
      <c r="V75" s="2491"/>
      <c r="W75" s="2491"/>
      <c r="X75" s="2491"/>
      <c r="Y75" s="2491"/>
      <c r="Z75" s="2491"/>
      <c r="AA75" s="2491"/>
      <c r="AB75" s="2491"/>
      <c r="AC75" s="2491"/>
      <c r="AD75" s="2491"/>
    </row>
    <row r="76" spans="1:30" s="407" customFormat="1" ht="14.4" thickBot="1">
      <c r="A76" s="483"/>
      <c r="B76" s="473"/>
      <c r="C76" s="490"/>
      <c r="D76" s="490"/>
      <c r="E76" s="490"/>
      <c r="F76" s="490"/>
      <c r="G76" s="466"/>
      <c r="H76" s="466"/>
      <c r="I76" s="466"/>
      <c r="J76" s="466"/>
      <c r="K76" s="466"/>
      <c r="L76" s="466"/>
      <c r="M76" s="467"/>
      <c r="N76" s="2521"/>
      <c r="O76" s="2521"/>
      <c r="P76" s="2521"/>
      <c r="Q76" s="2513"/>
      <c r="R76" s="2491"/>
      <c r="S76" s="2491"/>
      <c r="T76" s="2491"/>
      <c r="U76" s="2491"/>
      <c r="V76" s="2491"/>
      <c r="W76" s="2491"/>
      <c r="X76" s="2491"/>
      <c r="Y76" s="2491"/>
      <c r="Z76" s="2491"/>
      <c r="AA76" s="2491"/>
      <c r="AB76" s="2491"/>
      <c r="AC76" s="2491"/>
      <c r="AD76" s="2491"/>
    </row>
    <row r="77" spans="1:30" ht="15" thickTop="1">
      <c r="A77" s="378" t="s">
        <v>1694</v>
      </c>
      <c r="B77" s="459" t="s">
        <v>1740</v>
      </c>
      <c r="C77" s="484"/>
      <c r="D77" s="484"/>
      <c r="E77" s="461"/>
      <c r="F77" s="461"/>
      <c r="G77" s="461"/>
      <c r="H77" s="461"/>
      <c r="I77" s="461"/>
      <c r="J77" s="461"/>
      <c r="K77" s="462"/>
      <c r="L77" s="463"/>
      <c r="M77" s="464"/>
      <c r="N77" s="2519"/>
      <c r="O77" s="2519"/>
      <c r="P77" s="2518"/>
      <c r="Q77" s="2506"/>
      <c r="R77" s="2485"/>
      <c r="S77" s="2485"/>
      <c r="T77" s="2485"/>
      <c r="U77" s="2485"/>
      <c r="V77" s="2485"/>
      <c r="W77" s="2485"/>
      <c r="X77" s="2485"/>
      <c r="Y77" s="2485"/>
      <c r="Z77" s="2485"/>
      <c r="AA77" s="2485"/>
      <c r="AB77" s="2485"/>
      <c r="AC77" s="2485"/>
      <c r="AD77" s="2485"/>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8"/>
      <c r="O79" s="2518"/>
      <c r="P79" s="2518"/>
      <c r="Q79" s="2506"/>
      <c r="R79" s="2485"/>
      <c r="S79" s="2485"/>
      <c r="T79" s="2485"/>
      <c r="U79" s="2485"/>
      <c r="V79" s="2485"/>
      <c r="W79" s="2485"/>
      <c r="X79" s="2485"/>
      <c r="Y79" s="2485"/>
      <c r="Z79" s="2485"/>
      <c r="AA79" s="2485"/>
      <c r="AB79" s="2485"/>
      <c r="AC79" s="2485"/>
      <c r="AD79" s="2485"/>
    </row>
    <row r="80" spans="1:30">
      <c r="A80" s="366"/>
      <c r="B80" s="476"/>
      <c r="C80" s="529">
        <v>0.5</v>
      </c>
      <c r="D80" s="529">
        <v>0.6</v>
      </c>
      <c r="E80" s="529">
        <v>0.7</v>
      </c>
      <c r="F80" s="529">
        <v>0.8</v>
      </c>
      <c r="G80" s="529">
        <v>0.9</v>
      </c>
      <c r="H80" s="529">
        <v>1.0001</v>
      </c>
      <c r="I80" s="580"/>
      <c r="J80" s="580"/>
      <c r="K80" s="587"/>
      <c r="L80" s="588"/>
      <c r="M80" s="589"/>
      <c r="N80" s="2518"/>
      <c r="O80" s="2518"/>
      <c r="P80" s="2518"/>
      <c r="Q80" s="2506"/>
      <c r="R80" s="2485"/>
      <c r="S80" s="2485"/>
      <c r="T80" s="2485"/>
      <c r="U80" s="2485"/>
      <c r="V80" s="2485"/>
      <c r="W80" s="2485"/>
      <c r="X80" s="2485"/>
      <c r="Y80" s="2485"/>
      <c r="Z80" s="2485"/>
      <c r="AA80" s="2485"/>
      <c r="AB80" s="2485"/>
      <c r="AC80" s="2485"/>
      <c r="AD80" s="2485"/>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8"/>
      <c r="B82" s="476" t="s">
        <v>1856</v>
      </c>
      <c r="C82" s="484"/>
      <c r="D82" s="484"/>
      <c r="E82" s="512"/>
      <c r="F82" s="512"/>
      <c r="G82" s="512"/>
      <c r="H82" s="512"/>
      <c r="I82" s="512"/>
      <c r="J82" s="512"/>
      <c r="K82" s="513"/>
      <c r="L82" s="514"/>
      <c r="M82" s="515"/>
      <c r="N82" s="2519"/>
      <c r="O82" s="2519"/>
      <c r="P82" s="2518"/>
      <c r="Q82" s="2506"/>
      <c r="R82" s="2485"/>
      <c r="S82" s="2485"/>
      <c r="T82" s="2485"/>
      <c r="U82" s="2485"/>
      <c r="V82" s="2485"/>
      <c r="W82" s="2485"/>
      <c r="X82" s="2485"/>
      <c r="Y82" s="2485"/>
      <c r="Z82" s="2485"/>
      <c r="AA82" s="2485"/>
      <c r="AB82" s="2485"/>
      <c r="AC82" s="2485"/>
      <c r="AD82" s="2485"/>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8"/>
      <c r="B84" s="468" t="s">
        <v>1864</v>
      </c>
      <c r="C84" s="484"/>
      <c r="D84" s="484"/>
      <c r="E84" s="484"/>
      <c r="F84" s="484"/>
      <c r="G84" s="484"/>
      <c r="H84" s="484"/>
      <c r="I84" s="512"/>
      <c r="J84" s="512"/>
      <c r="K84" s="513"/>
      <c r="L84" s="514"/>
      <c r="M84" s="515"/>
      <c r="N84" s="2519"/>
      <c r="O84" s="2519"/>
      <c r="P84" s="2518"/>
      <c r="Q84" s="2506"/>
      <c r="R84" s="2485"/>
      <c r="S84" s="2485"/>
      <c r="T84" s="2485"/>
      <c r="U84" s="2485"/>
      <c r="V84" s="2485"/>
      <c r="W84" s="2485"/>
      <c r="X84" s="2485"/>
      <c r="Y84" s="2485"/>
      <c r="Z84" s="2485"/>
      <c r="AA84" s="2485"/>
      <c r="AB84" s="2485"/>
      <c r="AC84" s="2485"/>
      <c r="AD84" s="2485"/>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8"/>
      <c r="B87" s="476"/>
      <c r="C87" s="6"/>
      <c r="D87" s="6"/>
      <c r="E87" s="6"/>
      <c r="F87" s="6"/>
      <c r="G87" s="6"/>
      <c r="H87" s="6"/>
      <c r="I87" s="6"/>
      <c r="J87" s="523"/>
      <c r="K87" s="523"/>
      <c r="L87" s="524"/>
      <c r="M87" s="525"/>
      <c r="N87" s="2519"/>
      <c r="O87" s="2519"/>
      <c r="P87" s="2518"/>
      <c r="Q87" s="2506"/>
      <c r="R87" s="2485"/>
      <c r="S87" s="2485"/>
      <c r="T87" s="2485"/>
      <c r="U87" s="2485"/>
      <c r="V87" s="2485"/>
      <c r="W87" s="2485"/>
      <c r="X87" s="2485"/>
      <c r="Y87" s="2485"/>
      <c r="Z87" s="2485"/>
      <c r="AA87" s="2485"/>
      <c r="AB87" s="2485"/>
      <c r="AC87" s="2485"/>
      <c r="AD87" s="2485"/>
    </row>
    <row r="88" spans="1:30" ht="14.4" thickBot="1">
      <c r="A88" s="366"/>
      <c r="B88" s="473"/>
      <c r="C88" s="490"/>
      <c r="D88" s="466"/>
      <c r="E88" s="466"/>
      <c r="F88" s="466"/>
      <c r="G88" s="466"/>
      <c r="H88" s="466"/>
      <c r="I88" s="466"/>
      <c r="J88" s="466"/>
      <c r="K88" s="466"/>
      <c r="L88" s="466"/>
      <c r="M88" s="466"/>
      <c r="N88" s="2520"/>
      <c r="O88" s="2520"/>
      <c r="P88" s="2518"/>
      <c r="Q88" s="2506"/>
      <c r="R88" s="2485"/>
      <c r="S88" s="2485"/>
      <c r="T88" s="2485"/>
      <c r="U88" s="2485"/>
      <c r="V88" s="2485"/>
      <c r="W88" s="2485"/>
      <c r="X88" s="2485"/>
      <c r="Y88" s="2485"/>
      <c r="Z88" s="2485"/>
      <c r="AA88" s="2485"/>
      <c r="AB88" s="2485"/>
      <c r="AC88" s="2485"/>
      <c r="AD88" s="2485"/>
    </row>
    <row r="89" spans="1:30" s="407" customFormat="1" ht="15" thickTop="1">
      <c r="A89" s="405"/>
      <c r="B89" s="468" t="s">
        <v>1866</v>
      </c>
      <c r="C89" s="484"/>
      <c r="D89" s="484"/>
      <c r="E89" s="484"/>
      <c r="F89" s="484"/>
      <c r="G89" s="484"/>
      <c r="H89" s="484"/>
      <c r="I89" s="484"/>
      <c r="J89" s="484"/>
      <c r="K89" s="484"/>
      <c r="L89" s="484"/>
      <c r="M89" s="510"/>
      <c r="N89" s="2521"/>
      <c r="O89" s="2521"/>
      <c r="P89" s="2521"/>
      <c r="Q89" s="2513"/>
      <c r="R89" s="2491"/>
      <c r="S89" s="2491"/>
      <c r="T89" s="2491"/>
      <c r="U89" s="2491"/>
      <c r="V89" s="2491"/>
      <c r="W89" s="2491"/>
      <c r="X89" s="2491"/>
      <c r="Y89" s="2491"/>
      <c r="Z89" s="2491"/>
      <c r="AA89" s="2491"/>
      <c r="AB89" s="2491"/>
      <c r="AC89" s="2491"/>
      <c r="AD89" s="2491"/>
    </row>
    <row r="90" spans="1:30" s="407" customFormat="1" ht="14.4" thickBot="1">
      <c r="A90" s="483"/>
      <c r="B90" s="473"/>
      <c r="C90" s="490"/>
      <c r="D90" s="466"/>
      <c r="E90" s="466"/>
      <c r="F90" s="466"/>
      <c r="G90" s="466"/>
      <c r="H90" s="466"/>
      <c r="I90" s="466"/>
      <c r="J90" s="466"/>
      <c r="K90" s="466"/>
      <c r="L90" s="466"/>
      <c r="M90" s="467"/>
      <c r="N90" s="2521"/>
      <c r="O90" s="2521"/>
      <c r="P90" s="2521"/>
      <c r="Q90" s="2513"/>
      <c r="R90" s="2491"/>
      <c r="S90" s="2491"/>
      <c r="T90" s="2491"/>
      <c r="U90" s="2491"/>
      <c r="V90" s="2491"/>
      <c r="W90" s="2491"/>
      <c r="X90" s="2491"/>
      <c r="Y90" s="2491"/>
      <c r="Z90" s="2491"/>
      <c r="AA90" s="2491"/>
      <c r="AB90" s="2491"/>
      <c r="AC90" s="2491"/>
      <c r="AD90" s="2491"/>
    </row>
    <row r="91" spans="1:30" ht="14.4" thickTop="1">
      <c r="A91" s="408"/>
      <c r="B91" s="468">
        <f>B32</f>
        <v>111</v>
      </c>
      <c r="C91" s="479"/>
      <c r="D91" s="479"/>
      <c r="E91" s="479"/>
      <c r="F91" s="479"/>
      <c r="G91" s="484"/>
      <c r="H91" s="485"/>
      <c r="I91" s="485"/>
      <c r="J91" s="485"/>
      <c r="K91" s="485"/>
      <c r="L91" s="486"/>
      <c r="M91" s="487"/>
      <c r="N91" s="2519"/>
      <c r="O91" s="2519"/>
      <c r="P91" s="2518"/>
      <c r="Q91" s="2506"/>
      <c r="R91" s="2485"/>
      <c r="S91" s="2485"/>
      <c r="T91" s="2485"/>
      <c r="U91" s="2485"/>
      <c r="V91" s="2485"/>
      <c r="W91" s="2485"/>
      <c r="X91" s="2485"/>
      <c r="Y91" s="2485"/>
      <c r="Z91" s="2485"/>
      <c r="AA91" s="2485"/>
      <c r="AB91" s="2485"/>
      <c r="AC91" s="2485"/>
      <c r="AD91" s="2485"/>
    </row>
    <row r="92" spans="1:30" ht="14.4" thickBot="1">
      <c r="A92" s="366"/>
      <c r="B92" s="473"/>
      <c r="C92" s="490"/>
      <c r="D92" s="466"/>
      <c r="E92" s="466"/>
      <c r="F92" s="466"/>
      <c r="G92" s="490"/>
      <c r="H92" s="492"/>
      <c r="I92" s="492"/>
      <c r="J92" s="492"/>
      <c r="K92" s="492"/>
      <c r="L92" s="492"/>
      <c r="M92" s="493"/>
      <c r="N92" s="2520"/>
      <c r="O92" s="2520"/>
      <c r="P92" s="2518"/>
      <c r="Q92" s="2506"/>
      <c r="R92" s="2485"/>
      <c r="S92" s="2485"/>
      <c r="T92" s="2485"/>
      <c r="U92" s="2485"/>
      <c r="V92" s="2485"/>
      <c r="W92" s="2485"/>
      <c r="X92" s="2485"/>
      <c r="Y92" s="2485"/>
      <c r="Z92" s="2485"/>
      <c r="AA92" s="2485"/>
      <c r="AB92" s="2485"/>
      <c r="AC92" s="2485"/>
      <c r="AD92" s="2485"/>
    </row>
    <row r="93" spans="1:30" ht="14.4" thickTop="1">
      <c r="A93" s="408"/>
      <c r="B93" s="468">
        <f>B33</f>
        <v>111</v>
      </c>
      <c r="C93" s="479"/>
      <c r="D93" s="479"/>
      <c r="E93" s="479"/>
      <c r="F93" s="479"/>
      <c r="G93" s="484"/>
      <c r="H93" s="485"/>
      <c r="I93" s="485"/>
      <c r="J93" s="485"/>
      <c r="K93" s="485"/>
      <c r="L93" s="486"/>
      <c r="M93" s="487"/>
      <c r="N93" s="2519"/>
      <c r="O93" s="2519"/>
      <c r="P93" s="2518"/>
      <c r="Q93" s="2506"/>
      <c r="R93" s="2485"/>
      <c r="S93" s="2485"/>
      <c r="T93" s="2485"/>
      <c r="U93" s="2485"/>
      <c r="V93" s="2485"/>
      <c r="W93" s="2485"/>
      <c r="X93" s="2485"/>
      <c r="Y93" s="2485"/>
      <c r="Z93" s="2485"/>
      <c r="AA93" s="2485"/>
      <c r="AB93" s="2485"/>
      <c r="AC93" s="2485"/>
      <c r="AD93" s="2485"/>
    </row>
    <row r="94" spans="1:30" ht="14.4" thickBot="1">
      <c r="A94" s="366"/>
      <c r="B94" s="473"/>
      <c r="C94" s="490"/>
      <c r="D94" s="466"/>
      <c r="E94" s="466"/>
      <c r="F94" s="466"/>
      <c r="G94" s="490"/>
      <c r="H94" s="492"/>
      <c r="I94" s="492"/>
      <c r="J94" s="492"/>
      <c r="K94" s="492"/>
      <c r="L94" s="492"/>
      <c r="M94" s="493"/>
      <c r="N94" s="2520"/>
      <c r="O94" s="2520"/>
      <c r="P94" s="2518"/>
      <c r="Q94" s="2506"/>
      <c r="R94" s="2485"/>
      <c r="S94" s="2485"/>
      <c r="T94" s="2485"/>
      <c r="U94" s="2485"/>
      <c r="V94" s="2485"/>
      <c r="W94" s="2485"/>
      <c r="X94" s="2485"/>
      <c r="Y94" s="2485"/>
      <c r="Z94" s="2485"/>
      <c r="AA94" s="2485"/>
      <c r="AB94" s="2485"/>
      <c r="AC94" s="2485"/>
      <c r="AD94" s="2485"/>
    </row>
    <row r="95" spans="1:30" ht="14.4" thickTop="1">
      <c r="A95" s="408"/>
      <c r="B95" s="559">
        <f>B34</f>
        <v>111</v>
      </c>
      <c r="C95" s="479"/>
      <c r="D95" s="479"/>
      <c r="E95" s="479"/>
      <c r="F95" s="479"/>
      <c r="G95" s="484"/>
      <c r="H95" s="485"/>
      <c r="I95" s="485"/>
      <c r="J95" s="485"/>
      <c r="K95" s="485"/>
      <c r="L95" s="486"/>
      <c r="M95" s="487"/>
      <c r="N95" s="2520"/>
      <c r="O95" s="2520"/>
      <c r="P95" s="2520"/>
      <c r="Q95" s="2534"/>
      <c r="R95" s="2485"/>
      <c r="S95" s="2485"/>
      <c r="T95" s="2485"/>
      <c r="U95" s="2485"/>
      <c r="V95" s="2485"/>
      <c r="W95" s="2485"/>
      <c r="X95" s="2485"/>
      <c r="Y95" s="2485"/>
      <c r="Z95" s="2485"/>
      <c r="AA95" s="2485"/>
      <c r="AB95" s="2485"/>
      <c r="AC95" s="2485"/>
      <c r="AD95" s="2485"/>
    </row>
    <row r="96" spans="1:30" ht="14.4" thickBot="1">
      <c r="A96" s="366"/>
      <c r="B96" s="473"/>
      <c r="C96" s="490"/>
      <c r="D96" s="490"/>
      <c r="E96" s="490"/>
      <c r="F96" s="490"/>
      <c r="G96" s="490"/>
      <c r="H96" s="492"/>
      <c r="I96" s="492"/>
      <c r="J96" s="492"/>
      <c r="K96" s="492"/>
      <c r="L96" s="492"/>
      <c r="M96" s="493"/>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1"/>
      <c r="B98" s="881"/>
      <c r="C98" s="881"/>
      <c r="D98" s="881"/>
      <c r="E98" s="881"/>
      <c r="F98" s="881"/>
      <c r="G98" s="881"/>
      <c r="H98" s="881"/>
      <c r="I98" s="881"/>
      <c r="J98" s="881"/>
      <c r="K98" s="882"/>
      <c r="L98" s="883"/>
      <c r="M98" s="881"/>
      <c r="N98" s="2485"/>
      <c r="O98" s="2485"/>
      <c r="P98" s="2485"/>
      <c r="Q98" s="2485"/>
      <c r="R98" s="2485"/>
      <c r="S98" s="2485"/>
      <c r="T98" s="2485"/>
      <c r="U98" s="2485"/>
      <c r="V98" s="2485"/>
      <c r="W98" s="2485"/>
      <c r="X98" s="2485"/>
      <c r="Y98" s="2485"/>
      <c r="Z98" s="2485"/>
      <c r="AA98" s="2485"/>
      <c r="AB98" s="2485"/>
      <c r="AC98" s="2485"/>
      <c r="AD98" s="2485"/>
    </row>
    <row r="99" spans="1:30">
      <c r="A99" s="881"/>
      <c r="B99" s="881"/>
      <c r="C99" s="881"/>
      <c r="D99" s="881"/>
      <c r="E99" s="881"/>
      <c r="F99" s="881"/>
      <c r="G99" s="881"/>
      <c r="H99" s="881"/>
      <c r="I99" s="881"/>
      <c r="J99" s="881"/>
      <c r="K99" s="882"/>
      <c r="L99" s="883"/>
      <c r="M99" s="881"/>
      <c r="N99" s="2485"/>
      <c r="O99" s="2485"/>
      <c r="P99" s="2485"/>
      <c r="Q99" s="2485"/>
      <c r="R99" s="2485"/>
      <c r="S99" s="2485"/>
      <c r="T99" s="2485"/>
      <c r="U99" s="2485"/>
      <c r="V99" s="2485"/>
      <c r="W99" s="2485"/>
      <c r="X99" s="2485"/>
      <c r="Y99" s="2485"/>
      <c r="Z99" s="2485"/>
      <c r="AA99" s="2485"/>
      <c r="AB99" s="2485"/>
      <c r="AC99" s="2485"/>
      <c r="AD99" s="2485"/>
    </row>
    <row r="100" spans="1:30">
      <c r="A100" s="881"/>
      <c r="B100" s="881"/>
      <c r="C100" s="881"/>
      <c r="D100" s="881"/>
      <c r="E100" s="881"/>
      <c r="F100" s="881"/>
      <c r="G100" s="881"/>
      <c r="H100" s="881"/>
      <c r="I100" s="881"/>
      <c r="J100" s="881"/>
      <c r="K100" s="882"/>
      <c r="L100" s="883"/>
      <c r="M100" s="881"/>
      <c r="N100" s="2485"/>
      <c r="O100" s="2485"/>
      <c r="P100" s="2485"/>
      <c r="Q100" s="2485"/>
      <c r="R100" s="2485"/>
      <c r="S100" s="2485"/>
      <c r="T100" s="2485"/>
      <c r="U100" s="2485"/>
      <c r="V100" s="2485"/>
      <c r="W100" s="2485"/>
      <c r="X100" s="2485"/>
      <c r="Y100" s="2485"/>
      <c r="Z100" s="2485"/>
      <c r="AA100" s="2485"/>
      <c r="AB100" s="2485"/>
      <c r="AC100" s="2485"/>
      <c r="AD100" s="2485"/>
    </row>
    <row r="101" spans="1:30">
      <c r="A101" s="881"/>
      <c r="B101" s="881"/>
      <c r="C101" s="881"/>
      <c r="D101" s="881"/>
      <c r="E101" s="881"/>
      <c r="F101" s="881"/>
      <c r="G101" s="881"/>
      <c r="H101" s="881"/>
      <c r="I101" s="881"/>
      <c r="J101" s="881"/>
      <c r="K101" s="882"/>
      <c r="L101" s="883"/>
      <c r="M101" s="881"/>
      <c r="N101" s="2485"/>
      <c r="O101" s="2485"/>
      <c r="P101" s="2485"/>
      <c r="Q101" s="2485"/>
      <c r="R101" s="2485"/>
      <c r="S101" s="2485"/>
      <c r="T101" s="2485"/>
      <c r="U101" s="2485"/>
      <c r="V101" s="2485"/>
      <c r="W101" s="2485"/>
      <c r="X101" s="2485"/>
      <c r="Y101" s="2485"/>
      <c r="Z101" s="2485"/>
      <c r="AA101" s="2485"/>
      <c r="AB101" s="2485"/>
      <c r="AC101" s="2485"/>
      <c r="AD101" s="2485"/>
    </row>
    <row r="102" spans="1:30">
      <c r="A102" s="881"/>
      <c r="B102" s="881"/>
      <c r="C102" s="881"/>
      <c r="D102" s="881"/>
      <c r="E102" s="881"/>
      <c r="F102" s="881"/>
      <c r="G102" s="881"/>
      <c r="H102" s="881"/>
      <c r="I102" s="881"/>
      <c r="J102" s="881"/>
      <c r="K102" s="882"/>
      <c r="L102" s="883"/>
      <c r="M102" s="881"/>
      <c r="N102" s="2485"/>
      <c r="O102" s="2485"/>
      <c r="P102" s="2485"/>
      <c r="Q102" s="2485"/>
      <c r="R102" s="2485"/>
      <c r="S102" s="2485"/>
      <c r="T102" s="2485"/>
      <c r="U102" s="2485"/>
      <c r="V102" s="2485"/>
      <c r="W102" s="2485"/>
      <c r="X102" s="2485"/>
      <c r="Y102" s="2485"/>
      <c r="Z102" s="2485"/>
      <c r="AA102" s="2485"/>
      <c r="AB102" s="2485"/>
      <c r="AC102" s="2485"/>
      <c r="AD102" s="2485"/>
    </row>
    <row r="103" spans="1:30">
      <c r="A103" s="881"/>
      <c r="B103" s="881"/>
      <c r="C103" s="881"/>
      <c r="D103" s="881"/>
      <c r="E103" s="881"/>
      <c r="F103" s="881"/>
      <c r="G103" s="881"/>
      <c r="H103" s="881"/>
      <c r="I103" s="881"/>
      <c r="J103" s="881"/>
      <c r="K103" s="882"/>
      <c r="L103" s="883"/>
      <c r="M103" s="881"/>
      <c r="N103" s="881"/>
      <c r="O103" s="881"/>
      <c r="P103" s="2485"/>
      <c r="Q103" s="2485"/>
      <c r="R103" s="2485"/>
      <c r="S103" s="2485"/>
      <c r="T103" s="2485"/>
      <c r="U103" s="2485"/>
      <c r="V103" s="2485"/>
      <c r="W103" s="2485"/>
      <c r="X103" s="2485"/>
      <c r="Y103" s="2485"/>
      <c r="Z103" s="2485"/>
      <c r="AA103" s="2485"/>
      <c r="AB103" s="2485"/>
      <c r="AC103" s="2485"/>
      <c r="AD103" s="2485"/>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74" priority="13" stopIfTrue="1">
      <formula>$F$40="超过30%"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F7:F34 H7:H34 J7:J34">
    <cfRule type="cellIs" dxfId="71" priority="1" operator="notEqual">
      <formula>100</formula>
    </cfRule>
  </conditionalFormatting>
  <conditionalFormatting sqref="F36">
    <cfRule type="expression" dxfId="70" priority="4">
      <formula>$D$36="简单平均"</formula>
    </cfRule>
  </conditionalFormatting>
  <conditionalFormatting sqref="F40:F42 H40:H42 J40:J42">
    <cfRule type="containsText" dxfId="69" priority="14" stopIfTrue="1" operator="containsText" text="超过">
      <formula>NOT(ISERROR(SEARCH("超过",F40)))</formula>
    </cfRule>
  </conditionalFormatting>
  <conditionalFormatting sqref="G40">
    <cfRule type="expression" dxfId="68" priority="9" stopIfTrue="1">
      <formula>$H$52+$H$40="超过30%"</formula>
    </cfRule>
  </conditionalFormatting>
  <conditionalFormatting sqref="G41">
    <cfRule type="expression" dxfId="67" priority="8" stopIfTrue="1">
      <formula>$H$53+$H$41="超过20%"</formula>
    </cfRule>
  </conditionalFormatting>
  <conditionalFormatting sqref="G42">
    <cfRule type="expression" dxfId="66" priority="12" stopIfTrue="1">
      <formula>$H$54+$H$42="超过30%"</formula>
    </cfRule>
  </conditionalFormatting>
  <conditionalFormatting sqref="H36">
    <cfRule type="expression" dxfId="65" priority="3">
      <formula>$D$36="简单平均"</formula>
    </cfRule>
  </conditionalFormatting>
  <conditionalFormatting sqref="I40">
    <cfRule type="expression" dxfId="64" priority="7" stopIfTrue="1">
      <formula>$J$40="超过30%"</formula>
    </cfRule>
  </conditionalFormatting>
  <conditionalFormatting sqref="I41">
    <cfRule type="expression" dxfId="63" priority="6" stopIfTrue="1">
      <formula>$J$41="超过20%"</formula>
    </cfRule>
  </conditionalFormatting>
  <conditionalFormatting sqref="I42">
    <cfRule type="expression" dxfId="62" priority="5" stopIfTrue="1">
      <formula>$J$42="超过30%"</formula>
    </cfRule>
  </conditionalFormatting>
  <conditionalFormatting sqref="J36">
    <cfRule type="expression" dxfId="61" priority="2">
      <formula>$D$36="简单平均"</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8 E8 G8 I8" xr:uid="{00000000-0002-0000-2100-000003000000}">
      <formula1>仓储交易情况</formula1>
    </dataValidation>
    <dataValidation type="list" allowBlank="1" showInputMessage="1" showErrorMessage="1" sqref="E9 G9 I9" xr:uid="{00000000-0002-0000-2100-000004000000}">
      <formula1>仓储用途</formula1>
    </dataValidation>
    <dataValidation type="list" allowBlank="1" showInputMessage="1" showErrorMessage="1" sqref="C21 E21 G21 I21" xr:uid="{00000000-0002-0000-2100-000005000000}">
      <formula1>环境</formula1>
    </dataValidation>
    <dataValidation type="list" allowBlank="1" showInputMessage="1" showErrorMessage="1" sqref="C22 E22 G22 I22" xr:uid="{00000000-0002-0000-2100-000006000000}">
      <formula1>仓储楼层</formula1>
    </dataValidation>
    <dataValidation type="list" allowBlank="1" showInputMessage="1" showErrorMessage="1" sqref="C26 E26 G26 I26" xr:uid="{00000000-0002-0000-2100-000007000000}">
      <formula1>仓储公共部分装修</formula1>
    </dataValidation>
    <dataValidation type="list" allowBlank="1" showInputMessage="1" showErrorMessage="1" sqref="C29 E29 G29 I29" xr:uid="{00000000-0002-0000-2100-000008000000}">
      <formula1>有无电梯</formula1>
    </dataValidation>
    <dataValidation type="list" allowBlank="1" showInputMessage="1" showErrorMessage="1" sqref="C31 E31 G31 I31" xr:uid="{00000000-0002-0000-2100-000009000000}">
      <formula1>是否封闭</formula1>
    </dataValidation>
    <dataValidation type="list" allowBlank="1" showInputMessage="1" showErrorMessage="1" sqref="B1" xr:uid="{00000000-0002-0000-2100-00000A000000}">
      <formula1>地类判定</formula1>
    </dataValidation>
    <dataValidation type="list" allowBlank="1" showInputMessage="1" showErrorMessage="1" sqref="C28 E28 G28 I28" xr:uid="{00000000-0002-0000-2100-00000B000000}">
      <formula1>仓储物业等级</formula1>
    </dataValidation>
    <dataValidation type="list" allowBlank="1" showInputMessage="1" showErrorMessage="1" sqref="C19 E19 G19 I19" xr:uid="{00000000-0002-0000-2100-00000C000000}">
      <formula1>基础设施水平</formula1>
    </dataValidation>
    <dataValidation type="list" allowBlank="1" showInputMessage="1" showErrorMessage="1" sqref="F1" xr:uid="{00000000-0002-0000-2100-00000D000000}">
      <formula1>"售价,租金"</formula1>
    </dataValidation>
    <dataValidation type="list" allowBlank="1" showInputMessage="1" showErrorMessage="1" sqref="C2" xr:uid="{00000000-0002-0000-2100-00000E000000}">
      <formula1>"需扣减承租人权益,——"</formula1>
    </dataValidation>
    <dataValidation type="list" allowBlank="1" showInputMessage="1" showErrorMessage="1" sqref="F2" xr:uid="{00000000-0002-0000-2100-00000F000000}">
      <formula1>估价方法</formula1>
    </dataValidation>
    <dataValidation type="list" allowBlank="1" showInputMessage="1" showErrorMessage="1" sqref="D36" xr:uid="{00000000-0002-0000-2100-000010000000}">
      <formula1>"简单平均,加权平均"</formula1>
    </dataValidation>
    <dataValidation type="list" allowBlank="1" showInputMessage="1" showErrorMessage="1" sqref="E1" xr:uid="{00000000-0002-0000-21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6" customWidth="1"/>
    <col min="2" max="2" width="15.77734375" style="346" customWidth="1"/>
    <col min="3" max="3" width="14.33203125" style="346" customWidth="1"/>
    <col min="4" max="4" width="14.1093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1"/>
      <c r="M3" s="2502"/>
      <c r="N3" s="2502"/>
      <c r="O3" s="2502"/>
      <c r="P3" s="340"/>
      <c r="Q3" s="340"/>
      <c r="R3" s="340"/>
      <c r="S3" s="340"/>
      <c r="T3" s="340"/>
      <c r="U3" s="340"/>
      <c r="V3" s="340"/>
      <c r="W3" s="340"/>
      <c r="X3" s="340"/>
      <c r="Y3" s="340"/>
      <c r="Z3" s="340"/>
      <c r="AA3" s="340"/>
      <c r="AB3" s="675"/>
      <c r="AC3" s="662"/>
    </row>
    <row r="4" spans="1:29" ht="14.4">
      <c r="A4" s="344" t="s">
        <v>1769</v>
      </c>
      <c r="B4" s="345"/>
      <c r="C4" s="3401" t="s">
        <v>1770</v>
      </c>
      <c r="D4" s="3402"/>
      <c r="E4" s="3403" t="s">
        <v>1771</v>
      </c>
      <c r="F4" s="3404"/>
      <c r="G4" s="3401" t="s">
        <v>1772</v>
      </c>
      <c r="H4" s="3402"/>
      <c r="I4" s="3401" t="s">
        <v>1773</v>
      </c>
      <c r="J4" s="3402"/>
      <c r="K4" s="536" t="s">
        <v>1774</v>
      </c>
      <c r="L4" s="2484"/>
      <c r="M4" s="2485"/>
      <c r="N4" s="2485"/>
      <c r="O4" s="2485"/>
      <c r="P4" s="3405" t="s">
        <v>1775</v>
      </c>
      <c r="Q4" s="3406"/>
      <c r="R4" s="3411" t="s">
        <v>1771</v>
      </c>
      <c r="S4" s="3412"/>
      <c r="T4" s="3411" t="s">
        <v>1772</v>
      </c>
      <c r="U4" s="3412"/>
      <c r="V4" s="3384" t="s">
        <v>1773</v>
      </c>
      <c r="W4" s="3384"/>
      <c r="X4" s="1264"/>
      <c r="Y4" s="3411" t="s">
        <v>1775</v>
      </c>
      <c r="Z4" s="3412"/>
      <c r="AA4" s="3398" t="s">
        <v>1771</v>
      </c>
      <c r="AB4" s="3399" t="s">
        <v>1772</v>
      </c>
      <c r="AC4" s="3398" t="s">
        <v>1773</v>
      </c>
    </row>
    <row r="5" spans="1:29">
      <c r="A5" s="347"/>
      <c r="B5" s="348"/>
      <c r="C5" s="3419" t="s">
        <v>1673</v>
      </c>
      <c r="D5" s="3420"/>
      <c r="E5" s="3427" t="s">
        <v>1674</v>
      </c>
      <c r="F5" s="3428"/>
      <c r="G5" s="3419" t="s">
        <v>1675</v>
      </c>
      <c r="H5" s="3420"/>
      <c r="I5" s="3419" t="s">
        <v>1676</v>
      </c>
      <c r="J5" s="3420"/>
      <c r="K5" s="536"/>
      <c r="L5" s="2484"/>
      <c r="M5" s="2485"/>
      <c r="N5" s="2485"/>
      <c r="O5" s="2485"/>
      <c r="P5" s="3407"/>
      <c r="Q5" s="3408"/>
      <c r="R5" s="3413"/>
      <c r="S5" s="3414"/>
      <c r="T5" s="3413"/>
      <c r="U5" s="3414"/>
      <c r="V5" s="3384"/>
      <c r="W5" s="3384"/>
      <c r="X5" s="1264"/>
      <c r="Y5" s="3413"/>
      <c r="Z5" s="3414"/>
      <c r="AA5" s="3399"/>
      <c r="AB5" s="3399"/>
      <c r="AC5" s="3399"/>
    </row>
    <row r="6" spans="1:29" ht="15" thickBot="1">
      <c r="A6" s="349"/>
      <c r="B6" s="350"/>
      <c r="C6" s="3417" t="s">
        <v>1677</v>
      </c>
      <c r="D6" s="3418"/>
      <c r="E6" s="3425" t="s">
        <v>1677</v>
      </c>
      <c r="F6" s="3426"/>
      <c r="G6" s="3417" t="s">
        <v>1677</v>
      </c>
      <c r="H6" s="3418"/>
      <c r="I6" s="3417" t="s">
        <v>1677</v>
      </c>
      <c r="J6" s="3418"/>
      <c r="K6" s="536" t="s">
        <v>1678</v>
      </c>
      <c r="L6" s="2484"/>
      <c r="M6" s="2485"/>
      <c r="N6" s="2485"/>
      <c r="O6" s="2485"/>
      <c r="P6" s="3409"/>
      <c r="Q6" s="3410"/>
      <c r="R6" s="3413"/>
      <c r="S6" s="3414"/>
      <c r="T6" s="3415"/>
      <c r="U6" s="3416"/>
      <c r="V6" s="3384"/>
      <c r="W6" s="3384"/>
      <c r="X6" s="1264"/>
      <c r="Y6" s="3415"/>
      <c r="Z6" s="3416"/>
      <c r="AA6" s="3400"/>
      <c r="AB6" s="3400"/>
      <c r="AC6" s="3400"/>
    </row>
    <row r="7" spans="1:29" s="101" customFormat="1" ht="15" thickBot="1">
      <c r="A7" s="351" t="s">
        <v>1679</v>
      </c>
      <c r="B7" s="352"/>
      <c r="C7" s="353">
        <f>'数据-取费表'!B2</f>
        <v>45562</v>
      </c>
      <c r="D7" s="354">
        <v>100</v>
      </c>
      <c r="E7" s="355"/>
      <c r="F7" s="356">
        <f>SUMIF(69:69,YEAR(E7)&amp;"-"&amp;INT((MONTH(E7)+2)/3),70:70)</f>
        <v>0</v>
      </c>
      <c r="G7" s="1821"/>
      <c r="H7" s="354">
        <f>SUMIF(69:69,YEAR(G7)&amp;"-"&amp;INT((MONTH(G7)+2)/3),70:70)</f>
        <v>0</v>
      </c>
      <c r="I7" s="1821"/>
      <c r="J7" s="354">
        <f>SUMIF(69:69,YEAR(I7)&amp;"-"&amp;INT((MONTH(I7)+2)/3),70:70)</f>
        <v>0</v>
      </c>
      <c r="K7" s="38"/>
      <c r="L7" s="2486"/>
      <c r="M7" s="2438"/>
      <c r="N7" s="2438"/>
      <c r="O7" s="2438"/>
      <c r="P7" s="3421" t="s">
        <v>1680</v>
      </c>
      <c r="Q7" s="3423"/>
      <c r="R7" s="663" t="s">
        <v>14</v>
      </c>
      <c r="S7" s="664">
        <f t="shared" ref="S7:S15" si="0">F7</f>
        <v>0</v>
      </c>
      <c r="T7" s="663" t="s">
        <v>14</v>
      </c>
      <c r="U7" s="664">
        <f t="shared" ref="U7:U15" si="1">H7</f>
        <v>0</v>
      </c>
      <c r="V7" s="663" t="s">
        <v>14</v>
      </c>
      <c r="W7" s="664">
        <f t="shared" ref="W7:W15" si="2">J7</f>
        <v>0</v>
      </c>
      <c r="X7" s="665"/>
      <c r="Y7" s="3421" t="s">
        <v>1680</v>
      </c>
      <c r="Z7" s="3422"/>
      <c r="AA7" s="50" t="e">
        <f>D7/F7</f>
        <v>#DIV/0!</v>
      </c>
      <c r="AB7" s="50" t="e">
        <f>D7/H7</f>
        <v>#DIV/0!</v>
      </c>
      <c r="AC7" s="50" t="e">
        <f>D7/J7</f>
        <v>#DIV/0!</v>
      </c>
    </row>
    <row r="8" spans="1:29" s="101" customFormat="1" ht="1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6"/>
      <c r="M8" s="2438"/>
      <c r="N8" s="2438"/>
      <c r="O8" s="2438"/>
      <c r="P8" s="3421" t="s">
        <v>1683</v>
      </c>
      <c r="Q8" s="3422"/>
      <c r="R8" s="663" t="s">
        <v>14</v>
      </c>
      <c r="S8" s="664">
        <f t="shared" si="0"/>
        <v>0</v>
      </c>
      <c r="T8" s="663" t="s">
        <v>14</v>
      </c>
      <c r="U8" s="664">
        <f t="shared" si="1"/>
        <v>0</v>
      </c>
      <c r="V8" s="663" t="s">
        <v>14</v>
      </c>
      <c r="W8" s="664">
        <f t="shared" si="2"/>
        <v>0</v>
      </c>
      <c r="X8" s="665"/>
      <c r="Y8" s="3421" t="s">
        <v>1683</v>
      </c>
      <c r="Z8" s="3422"/>
      <c r="AA8" s="50" t="e">
        <f t="shared" ref="AA8:AA45" si="3">D8/F8</f>
        <v>#DIV/0!</v>
      </c>
      <c r="AB8" s="50" t="e">
        <f t="shared" ref="AB8:AB45" si="4">D8/H8</f>
        <v>#DIV/0!</v>
      </c>
      <c r="AC8" s="50" t="e">
        <f t="shared" ref="AC8:AC45" si="5">D8/J8</f>
        <v>#DIV/0!</v>
      </c>
    </row>
    <row r="9" spans="1:29" s="101" customFormat="1" ht="14.4">
      <c r="A9" s="358"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6"/>
      <c r="M9" s="2438"/>
      <c r="N9" s="2438"/>
      <c r="O9" s="2538"/>
      <c r="P9" s="3383" t="s">
        <v>1686</v>
      </c>
      <c r="Q9" s="529" t="str">
        <f t="shared" ref="Q9:Q15" si="6">B9</f>
        <v>用途</v>
      </c>
      <c r="R9" s="663" t="s">
        <v>14</v>
      </c>
      <c r="S9" s="664">
        <f t="shared" si="0"/>
        <v>100</v>
      </c>
      <c r="T9" s="663" t="s">
        <v>14</v>
      </c>
      <c r="U9" s="664">
        <f t="shared" si="1"/>
        <v>100</v>
      </c>
      <c r="V9" s="663" t="s">
        <v>14</v>
      </c>
      <c r="W9" s="664">
        <f t="shared" si="2"/>
        <v>100</v>
      </c>
      <c r="X9" s="665"/>
      <c r="Y9" s="3290"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402"/>
      <c r="F10" s="118">
        <f>ROUND(100/'数据-取费表'!G16,0)</f>
        <v>152</v>
      </c>
      <c r="G10" s="401"/>
      <c r="H10" s="118">
        <f>ROUND(100/'数据-取费表'!G16,0)</f>
        <v>152</v>
      </c>
      <c r="I10" s="401"/>
      <c r="J10" s="118">
        <f>ROUND(100/'数据-取费表'!G16,0)</f>
        <v>152</v>
      </c>
      <c r="K10" s="591"/>
      <c r="L10" s="2487"/>
      <c r="M10" s="2488"/>
      <c r="N10" s="2488"/>
      <c r="O10" s="2539"/>
      <c r="P10" s="3383"/>
      <c r="Q10" s="529" t="str">
        <f t="shared" si="6"/>
        <v>土地使用年限（年）</v>
      </c>
      <c r="R10" s="663" t="s">
        <v>14</v>
      </c>
      <c r="S10" s="664">
        <f t="shared" si="0"/>
        <v>152</v>
      </c>
      <c r="T10" s="663" t="s">
        <v>14</v>
      </c>
      <c r="U10" s="664">
        <f t="shared" si="1"/>
        <v>152</v>
      </c>
      <c r="V10" s="663" t="s">
        <v>14</v>
      </c>
      <c r="W10" s="664">
        <f t="shared" si="2"/>
        <v>152</v>
      </c>
      <c r="X10" s="665"/>
      <c r="Y10" s="3290"/>
      <c r="Z10" s="50" t="str">
        <f t="shared" si="7"/>
        <v>土地使用年限（年）</v>
      </c>
      <c r="AA10" s="50">
        <f t="shared" si="3"/>
        <v>0.65789473684210531</v>
      </c>
      <c r="AB10" s="50">
        <f t="shared" si="4"/>
        <v>0.65789473684210531</v>
      </c>
      <c r="AC10" s="50">
        <f t="shared" si="5"/>
        <v>0.65789473684210531</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9"/>
      <c r="M11" s="2485"/>
      <c r="N11" s="2485"/>
      <c r="O11" s="2540"/>
      <c r="P11" s="3383"/>
      <c r="Q11" s="529" t="str">
        <f t="shared" si="6"/>
        <v>容积率</v>
      </c>
      <c r="R11" s="663" t="s">
        <v>14</v>
      </c>
      <c r="S11" s="664" t="e">
        <f t="shared" si="0"/>
        <v>#N/A</v>
      </c>
      <c r="T11" s="663" t="s">
        <v>14</v>
      </c>
      <c r="U11" s="664" t="e">
        <f t="shared" si="1"/>
        <v>#N/A</v>
      </c>
      <c r="V11" s="663" t="s">
        <v>14</v>
      </c>
      <c r="W11" s="664" t="e">
        <f t="shared" si="2"/>
        <v>#N/A</v>
      </c>
      <c r="X11" s="665"/>
      <c r="Y11" s="3290"/>
      <c r="Z11" s="50" t="str">
        <f t="shared" si="7"/>
        <v>容积率</v>
      </c>
      <c r="AA11" s="50" t="e">
        <f t="shared" si="3"/>
        <v>#N/A</v>
      </c>
      <c r="AB11" s="50" t="e">
        <f t="shared" si="4"/>
        <v>#N/A</v>
      </c>
      <c r="AC11" s="50" t="e">
        <f t="shared" si="5"/>
        <v>#N/A</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6"/>
      <c r="M12" s="2438"/>
      <c r="N12" s="2438"/>
      <c r="O12" s="2538"/>
      <c r="P12" s="3383"/>
      <c r="Q12" s="529" t="str">
        <f t="shared" si="6"/>
        <v>配建</v>
      </c>
      <c r="R12" s="663" t="s">
        <v>14</v>
      </c>
      <c r="S12" s="664">
        <f t="shared" si="0"/>
        <v>100</v>
      </c>
      <c r="T12" s="663" t="s">
        <v>14</v>
      </c>
      <c r="U12" s="664">
        <f t="shared" si="1"/>
        <v>100</v>
      </c>
      <c r="V12" s="663" t="s">
        <v>14</v>
      </c>
      <c r="W12" s="664">
        <f t="shared" si="2"/>
        <v>100</v>
      </c>
      <c r="X12" s="665"/>
      <c r="Y12" s="3290"/>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90"/>
      <c r="M13" s="2485"/>
      <c r="N13" s="2485"/>
      <c r="O13" s="2540"/>
      <c r="P13" s="3383"/>
      <c r="Q13" s="529">
        <f t="shared" si="6"/>
        <v>111</v>
      </c>
      <c r="R13" s="663" t="s">
        <v>14</v>
      </c>
      <c r="S13" s="664">
        <f t="shared" si="0"/>
        <v>100</v>
      </c>
      <c r="T13" s="663" t="s">
        <v>14</v>
      </c>
      <c r="U13" s="664">
        <f t="shared" si="1"/>
        <v>100</v>
      </c>
      <c r="V13" s="663" t="s">
        <v>14</v>
      </c>
      <c r="W13" s="664">
        <f t="shared" si="2"/>
        <v>100</v>
      </c>
      <c r="X13" s="665"/>
      <c r="Y13" s="3290"/>
      <c r="Z13" s="50">
        <f t="shared" si="7"/>
        <v>111</v>
      </c>
      <c r="AA13" s="50">
        <f>D13/F13</f>
        <v>1</v>
      </c>
      <c r="AB13" s="50">
        <f>D13/H13</f>
        <v>1</v>
      </c>
      <c r="AC13" s="50">
        <f>D13/J13</f>
        <v>1</v>
      </c>
    </row>
    <row r="14" spans="1:29" ht="15.6"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90"/>
      <c r="M14" s="2485"/>
      <c r="N14" s="2485"/>
      <c r="O14" s="2540"/>
      <c r="P14" s="3383"/>
      <c r="Q14" s="529">
        <f t="shared" si="6"/>
        <v>111</v>
      </c>
      <c r="R14" s="663" t="s">
        <v>14</v>
      </c>
      <c r="S14" s="664">
        <f t="shared" si="0"/>
        <v>100</v>
      </c>
      <c r="T14" s="663" t="s">
        <v>14</v>
      </c>
      <c r="U14" s="664">
        <f t="shared" si="1"/>
        <v>100</v>
      </c>
      <c r="V14" s="663" t="s">
        <v>14</v>
      </c>
      <c r="W14" s="664">
        <f t="shared" si="2"/>
        <v>100</v>
      </c>
      <c r="X14" s="665"/>
      <c r="Y14" s="3290"/>
      <c r="Z14" s="50">
        <f t="shared" si="7"/>
        <v>111</v>
      </c>
      <c r="AA14" s="50">
        <f>D14/F14</f>
        <v>1</v>
      </c>
      <c r="AB14" s="50">
        <f>D14/H14</f>
        <v>1</v>
      </c>
      <c r="AC14" s="50">
        <f>D14/J14</f>
        <v>1</v>
      </c>
    </row>
    <row r="15" spans="1:29" ht="96.6">
      <c r="A15" s="378" t="s">
        <v>1690</v>
      </c>
      <c r="B15" s="58" t="s">
        <v>1257</v>
      </c>
      <c r="C15" s="1749"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2"/>
      <c r="L15" s="2490"/>
      <c r="M15" s="2485"/>
      <c r="N15" s="2485"/>
      <c r="O15" s="2540"/>
      <c r="P15" s="3390" t="s">
        <v>1691</v>
      </c>
      <c r="Q15" s="1262" t="str">
        <f t="shared" si="6"/>
        <v>居住社区成熟度</v>
      </c>
      <c r="R15" s="666" t="s">
        <v>14</v>
      </c>
      <c r="S15" s="667">
        <f t="shared" si="0"/>
        <v>100</v>
      </c>
      <c r="T15" s="666" t="s">
        <v>14</v>
      </c>
      <c r="U15" s="667">
        <f t="shared" si="1"/>
        <v>100</v>
      </c>
      <c r="V15" s="666" t="s">
        <v>14</v>
      </c>
      <c r="W15" s="667">
        <f t="shared" si="2"/>
        <v>100</v>
      </c>
      <c r="X15" s="1264"/>
      <c r="Y15" s="3390" t="s">
        <v>1691</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90"/>
      <c r="M16" s="2485"/>
      <c r="N16" s="2485"/>
      <c r="O16" s="2540"/>
      <c r="P16" s="3391"/>
      <c r="Q16" s="1262"/>
      <c r="R16" s="666"/>
      <c r="S16" s="667"/>
      <c r="T16" s="666"/>
      <c r="U16" s="667"/>
      <c r="V16" s="666"/>
      <c r="W16" s="667"/>
      <c r="X16" s="1264"/>
      <c r="Y16" s="3391"/>
      <c r="Z16" s="1263"/>
      <c r="AA16" s="1263">
        <v>1</v>
      </c>
      <c r="AB16" s="1263">
        <v>1</v>
      </c>
      <c r="AC16" s="1263">
        <v>1</v>
      </c>
    </row>
    <row r="17" spans="1:29" ht="96.6">
      <c r="A17" s="366"/>
      <c r="B17" s="389" t="s">
        <v>1777</v>
      </c>
      <c r="C17" s="1805" t="str">
        <f>估价对象房地状况!C16</f>
        <v>估价对象2公里范围内有百品尚购物中心，周边商业氛围一般，人流量一般，商业繁华一般</v>
      </c>
      <c r="D17" s="388">
        <v>100</v>
      </c>
      <c r="E17" s="390"/>
      <c r="F17" s="388">
        <f>SUMIF(89:89,E18,90:90)-SUMIF(89:89,C18,90:90)+100</f>
        <v>100</v>
      </c>
      <c r="G17" s="390"/>
      <c r="H17" s="393">
        <f>SUMIF(89:89,G18,90:90)-SUMIF(89:89,C18,90:90)+100</f>
        <v>100</v>
      </c>
      <c r="I17" s="392"/>
      <c r="J17" s="393">
        <f>SUMIF(89:89,I18,90:90)-SUMIF(89:89,C18,90:90)+100</f>
        <v>100</v>
      </c>
      <c r="K17" s="592"/>
      <c r="L17" s="2490"/>
      <c r="M17" s="2485"/>
      <c r="N17" s="2485"/>
      <c r="O17" s="2540"/>
      <c r="P17" s="3391"/>
      <c r="Q17" s="1262" t="str">
        <f>B17</f>
        <v>商业繁华度</v>
      </c>
      <c r="R17" s="666" t="s">
        <v>14</v>
      </c>
      <c r="S17" s="667">
        <f>F17</f>
        <v>100</v>
      </c>
      <c r="T17" s="666" t="s">
        <v>14</v>
      </c>
      <c r="U17" s="667">
        <f>H17</f>
        <v>100</v>
      </c>
      <c r="V17" s="666" t="s">
        <v>14</v>
      </c>
      <c r="W17" s="667">
        <f>J17</f>
        <v>100</v>
      </c>
      <c r="X17" s="1264"/>
      <c r="Y17" s="3391"/>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90"/>
      <c r="M18" s="2485"/>
      <c r="N18" s="2485"/>
      <c r="O18" s="2540"/>
      <c r="P18" s="3391"/>
      <c r="Q18" s="1262"/>
      <c r="R18" s="666"/>
      <c r="S18" s="667"/>
      <c r="T18" s="666"/>
      <c r="U18" s="667"/>
      <c r="V18" s="666"/>
      <c r="W18" s="667"/>
      <c r="X18" s="1264"/>
      <c r="Y18" s="3391"/>
      <c r="Z18" s="1263"/>
      <c r="AA18" s="1263">
        <v>1</v>
      </c>
      <c r="AB18" s="1263">
        <v>1</v>
      </c>
      <c r="AC18" s="1263">
        <v>1</v>
      </c>
    </row>
    <row r="19" spans="1:29" ht="82.8">
      <c r="A19" s="366"/>
      <c r="B19" s="389" t="s">
        <v>1811</v>
      </c>
      <c r="C19" s="1805"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90"/>
      <c r="M19" s="2485"/>
      <c r="N19" s="2485"/>
      <c r="O19" s="2540"/>
      <c r="P19" s="3391"/>
      <c r="Q19" s="1262" t="str">
        <f>B19</f>
        <v>办公集聚程度</v>
      </c>
      <c r="R19" s="666" t="s">
        <v>14</v>
      </c>
      <c r="S19" s="667">
        <f>F19</f>
        <v>100</v>
      </c>
      <c r="T19" s="666" t="s">
        <v>14</v>
      </c>
      <c r="U19" s="667">
        <f>H19</f>
        <v>100</v>
      </c>
      <c r="V19" s="666" t="s">
        <v>14</v>
      </c>
      <c r="W19" s="667">
        <f>J19</f>
        <v>100</v>
      </c>
      <c r="X19" s="1264"/>
      <c r="Y19" s="3391"/>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90"/>
      <c r="M20" s="2485"/>
      <c r="N20" s="2485"/>
      <c r="O20" s="2540"/>
      <c r="P20" s="3391"/>
      <c r="Q20" s="1262"/>
      <c r="R20" s="666"/>
      <c r="S20" s="667"/>
      <c r="T20" s="666"/>
      <c r="U20" s="667"/>
      <c r="V20" s="666"/>
      <c r="W20" s="667"/>
      <c r="X20" s="1264"/>
      <c r="Y20" s="3391"/>
      <c r="Z20" s="1263"/>
      <c r="AA20" s="1263">
        <v>1</v>
      </c>
      <c r="AB20" s="1263">
        <v>1</v>
      </c>
      <c r="AC20" s="1263">
        <v>1</v>
      </c>
    </row>
    <row r="21" spans="1:29" ht="138">
      <c r="A21" s="366"/>
      <c r="B21" s="389" t="s">
        <v>1833</v>
      </c>
      <c r="C21" s="1753" t="str">
        <f>估价对象房地状况!C18</f>
        <v>估价对象临城市主干道--妫川路，周边有Y9路、919路、920路公交车，门口可停车，停车便捷程度较好，综合评价交通便捷度一般</v>
      </c>
      <c r="D21" s="388">
        <v>100</v>
      </c>
      <c r="E21" s="390"/>
      <c r="F21" s="393">
        <f>SUMIF(93:93,E22,94:94)-SUMIF(93:93,C22,94:94)+100</f>
        <v>100</v>
      </c>
      <c r="G21" s="390"/>
      <c r="H21" s="388">
        <f>SUMIF(93:93,G22,94:94)-SUMIF(93:93,C22,94:94)+100</f>
        <v>100</v>
      </c>
      <c r="I21" s="392"/>
      <c r="J21" s="388">
        <f>SUMIF(93:93,I22,94:94)-SUMIF(93:93,C22,94:94)+100</f>
        <v>100</v>
      </c>
      <c r="K21" s="592"/>
      <c r="L21" s="2490"/>
      <c r="M21" s="2485"/>
      <c r="N21" s="2485"/>
      <c r="O21" s="2540"/>
      <c r="P21" s="3391"/>
      <c r="Q21" s="1262" t="str">
        <f>B21</f>
        <v>交通便捷度</v>
      </c>
      <c r="R21" s="666" t="s">
        <v>14</v>
      </c>
      <c r="S21" s="667">
        <f>F21</f>
        <v>100</v>
      </c>
      <c r="T21" s="666" t="s">
        <v>14</v>
      </c>
      <c r="U21" s="667">
        <f>H21</f>
        <v>100</v>
      </c>
      <c r="V21" s="666" t="s">
        <v>14</v>
      </c>
      <c r="W21" s="667">
        <f>J21</f>
        <v>100</v>
      </c>
      <c r="X21" s="1264"/>
      <c r="Y21" s="3391"/>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90"/>
      <c r="M22" s="2485"/>
      <c r="N22" s="2485"/>
      <c r="O22" s="2540"/>
      <c r="P22" s="3391"/>
      <c r="Q22" s="1262"/>
      <c r="R22" s="666"/>
      <c r="S22" s="667"/>
      <c r="T22" s="666"/>
      <c r="U22" s="667"/>
      <c r="V22" s="666"/>
      <c r="W22" s="667"/>
      <c r="X22" s="1264"/>
      <c r="Y22" s="3391"/>
      <c r="Z22" s="1263"/>
      <c r="AA22" s="1263">
        <v>1</v>
      </c>
      <c r="AB22" s="1263">
        <v>1</v>
      </c>
      <c r="AC22" s="1263">
        <v>1</v>
      </c>
    </row>
    <row r="23" spans="1:29" ht="28.8">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90"/>
      <c r="M23" s="2485"/>
      <c r="N23" s="2485"/>
      <c r="O23" s="2540"/>
      <c r="P23" s="3391"/>
      <c r="Q23" s="1262" t="str">
        <f t="shared" ref="Q23:Q37" si="8">B23</f>
        <v>区域土地利用方向</v>
      </c>
      <c r="R23" s="666" t="s">
        <v>14</v>
      </c>
      <c r="S23" s="667">
        <f>F23</f>
        <v>100</v>
      </c>
      <c r="T23" s="666" t="s">
        <v>14</v>
      </c>
      <c r="U23" s="667">
        <f>H23</f>
        <v>100</v>
      </c>
      <c r="V23" s="666" t="s">
        <v>14</v>
      </c>
      <c r="W23" s="667">
        <f>J23</f>
        <v>100</v>
      </c>
      <c r="X23" s="1264"/>
      <c r="Y23" s="3391"/>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90"/>
      <c r="M24" s="2485"/>
      <c r="N24" s="2485"/>
      <c r="O24" s="2540"/>
      <c r="P24" s="3391"/>
      <c r="Q24" s="1262"/>
      <c r="R24" s="666"/>
      <c r="S24" s="667"/>
      <c r="T24" s="666"/>
      <c r="U24" s="667"/>
      <c r="V24" s="666"/>
      <c r="W24" s="667"/>
      <c r="X24" s="1264"/>
      <c r="Y24" s="3391"/>
      <c r="Z24" s="1263"/>
      <c r="AA24" s="1263"/>
      <c r="AB24" s="1263"/>
      <c r="AC24" s="1263"/>
    </row>
    <row r="25" spans="1:29" ht="179.4">
      <c r="A25" s="347"/>
      <c r="B25" s="585" t="s">
        <v>1872</v>
      </c>
      <c r="C25" s="1805" t="str">
        <f>估价对象房地状况!C20</f>
        <v>区域自然环境：迎宾公园、百泉公园、夏都公园、北京延庆世界地质公园；人文环境：延庆区职业学院、妫川宝塔、延庆地质博物馆、水生野生博物馆；综合评价环境状况较好</v>
      </c>
      <c r="D25" s="388">
        <v>100</v>
      </c>
      <c r="E25" s="390"/>
      <c r="F25" s="388">
        <f>SUMIF(97:97,E26,98:98)-SUMIF(97:97,C26,98:98)+100</f>
        <v>100</v>
      </c>
      <c r="G25" s="390"/>
      <c r="H25" s="388">
        <f>SUMIF(97:97,G26,98:98)-SUMIF(97:97,C26,98:98)+100</f>
        <v>100</v>
      </c>
      <c r="I25" s="392"/>
      <c r="J25" s="388">
        <f>SUMIF(97:97,I26,98:98)-SUMIF(97:97,C26,98:98)+100</f>
        <v>100</v>
      </c>
      <c r="K25" s="592"/>
      <c r="L25" s="2490"/>
      <c r="M25" s="2485"/>
      <c r="N25" s="2485"/>
      <c r="O25" s="2540"/>
      <c r="P25" s="3391"/>
      <c r="Q25" s="1262" t="str">
        <f t="shared" si="8"/>
        <v>自然及人文环境状况</v>
      </c>
      <c r="R25" s="666" t="s">
        <v>14</v>
      </c>
      <c r="S25" s="667">
        <f>F25</f>
        <v>100</v>
      </c>
      <c r="T25" s="666" t="s">
        <v>14</v>
      </c>
      <c r="U25" s="667">
        <f>H25</f>
        <v>100</v>
      </c>
      <c r="V25" s="666" t="s">
        <v>14</v>
      </c>
      <c r="W25" s="667">
        <f>J25</f>
        <v>100</v>
      </c>
      <c r="X25" s="1264"/>
      <c r="Y25" s="3391"/>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90"/>
      <c r="M26" s="2485"/>
      <c r="N26" s="2485"/>
      <c r="O26" s="2540"/>
      <c r="P26" s="3391"/>
      <c r="Q26" s="1262"/>
      <c r="R26" s="666"/>
      <c r="S26" s="667"/>
      <c r="T26" s="666"/>
      <c r="U26" s="667"/>
      <c r="V26" s="666"/>
      <c r="W26" s="667"/>
      <c r="X26" s="1264"/>
      <c r="Y26" s="3391"/>
      <c r="Z26" s="1263"/>
      <c r="AA26" s="1263">
        <v>1</v>
      </c>
      <c r="AB26" s="1263">
        <v>1</v>
      </c>
      <c r="AC26" s="1263">
        <v>1</v>
      </c>
    </row>
    <row r="27" spans="1:29" s="101" customFormat="1" ht="207">
      <c r="A27" s="442"/>
      <c r="B27" s="585" t="s">
        <v>1778</v>
      </c>
      <c r="C27" s="1753" t="str">
        <f>估价对象房地状况!C21</f>
        <v>估价对象所在区域公共配套设施齐备情况：农业银行、农业发展银行、中国银行，司家营小学、北京市延庆区第二中学，国润家园社区卫生服务站、北京中医医院延庆医院，百尚购物中心</v>
      </c>
      <c r="D27" s="388">
        <v>100</v>
      </c>
      <c r="E27" s="390"/>
      <c r="F27" s="388">
        <f>SUMIF(99:99,E28,100:100)-SUMIF(99:99,C28,100:100)+100</f>
        <v>100</v>
      </c>
      <c r="G27" s="390"/>
      <c r="H27" s="388">
        <f>SUMIF(99:99,G28,100:100)-SUMIF(99:99,C28,100:100)+100</f>
        <v>100</v>
      </c>
      <c r="I27" s="392"/>
      <c r="J27" s="388">
        <f>SUMIF(99:99,I28,100:100)-SUMIF(99:99,C28,100:100)+100</f>
        <v>100</v>
      </c>
      <c r="K27" s="592"/>
      <c r="L27" s="2486"/>
      <c r="M27" s="2438"/>
      <c r="N27" s="2438"/>
      <c r="O27" s="2538"/>
      <c r="P27" s="3391"/>
      <c r="Q27" s="529" t="str">
        <f t="shared" si="8"/>
        <v>公共配套设施</v>
      </c>
      <c r="R27" s="663" t="s">
        <v>14</v>
      </c>
      <c r="S27" s="664">
        <f>F27</f>
        <v>100</v>
      </c>
      <c r="T27" s="663" t="s">
        <v>14</v>
      </c>
      <c r="U27" s="664">
        <f>H27</f>
        <v>100</v>
      </c>
      <c r="V27" s="663" t="s">
        <v>14</v>
      </c>
      <c r="W27" s="664">
        <f>J27</f>
        <v>100</v>
      </c>
      <c r="X27" s="665"/>
      <c r="Y27" s="3391"/>
      <c r="Z27" s="50" t="str">
        <f>Q27</f>
        <v>公共配套设施</v>
      </c>
      <c r="AA27" s="1263">
        <f>D27/F27</f>
        <v>1</v>
      </c>
      <c r="AB27" s="1263">
        <f>D27/H27</f>
        <v>1</v>
      </c>
      <c r="AC27" s="1263">
        <f>D27/J27</f>
        <v>1</v>
      </c>
    </row>
    <row r="28" spans="1:29" s="101" customFormat="1" ht="15">
      <c r="A28" s="442"/>
      <c r="B28" s="394"/>
      <c r="C28" s="1825"/>
      <c r="D28" s="386"/>
      <c r="E28" s="1757"/>
      <c r="F28" s="386"/>
      <c r="G28" s="1757"/>
      <c r="H28" s="386"/>
      <c r="I28" s="385"/>
      <c r="J28" s="386"/>
      <c r="K28" s="591"/>
      <c r="L28" s="2486"/>
      <c r="M28" s="2438"/>
      <c r="N28" s="2438"/>
      <c r="O28" s="2538"/>
      <c r="P28" s="3391"/>
      <c r="Q28" s="529"/>
      <c r="R28" s="663"/>
      <c r="S28" s="664"/>
      <c r="T28" s="663"/>
      <c r="U28" s="664"/>
      <c r="V28" s="663"/>
      <c r="W28" s="664"/>
      <c r="X28" s="665"/>
      <c r="Y28" s="3391"/>
      <c r="Z28" s="50"/>
      <c r="AA28" s="1263">
        <v>1</v>
      </c>
      <c r="AB28" s="1263">
        <v>1</v>
      </c>
      <c r="AC28" s="1263">
        <v>1</v>
      </c>
    </row>
    <row r="29" spans="1:29" s="101" customFormat="1" ht="41.4">
      <c r="A29" s="442"/>
      <c r="B29" s="585" t="s">
        <v>1779</v>
      </c>
      <c r="C29" s="1753"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6"/>
      <c r="M29" s="2438"/>
      <c r="N29" s="2438"/>
      <c r="O29" s="2538"/>
      <c r="P29" s="3391"/>
      <c r="Q29" s="529" t="str">
        <f t="shared" ref="Q29" si="9">B29</f>
        <v>基础设施水平</v>
      </c>
      <c r="R29" s="663" t="s">
        <v>14</v>
      </c>
      <c r="S29" s="664">
        <f>F29</f>
        <v>100</v>
      </c>
      <c r="T29" s="663" t="s">
        <v>14</v>
      </c>
      <c r="U29" s="664">
        <f>H29</f>
        <v>100</v>
      </c>
      <c r="V29" s="663" t="s">
        <v>14</v>
      </c>
      <c r="W29" s="664">
        <f>J29</f>
        <v>100</v>
      </c>
      <c r="X29" s="665"/>
      <c r="Y29" s="3391"/>
      <c r="Z29" s="50" t="str">
        <f>Q29</f>
        <v>基础设施水平</v>
      </c>
      <c r="AA29" s="1263">
        <f>D29/F29</f>
        <v>1</v>
      </c>
      <c r="AB29" s="1263">
        <f>D29/H29</f>
        <v>1</v>
      </c>
      <c r="AC29" s="1263">
        <f>D29/J29</f>
        <v>1</v>
      </c>
    </row>
    <row r="30" spans="1:29" s="101" customFormat="1" ht="15">
      <c r="A30" s="442"/>
      <c r="B30" s="394"/>
      <c r="C30" s="1825"/>
      <c r="D30" s="386"/>
      <c r="E30" s="1826"/>
      <c r="F30" s="386"/>
      <c r="G30" s="1826"/>
      <c r="H30" s="386"/>
      <c r="I30" s="1826"/>
      <c r="J30" s="386"/>
      <c r="K30" s="591"/>
      <c r="L30" s="2486"/>
      <c r="M30" s="2438"/>
      <c r="N30" s="2438"/>
      <c r="O30" s="2538"/>
      <c r="P30" s="3391"/>
      <c r="Q30" s="529"/>
      <c r="R30" s="663"/>
      <c r="S30" s="664"/>
      <c r="T30" s="663"/>
      <c r="U30" s="664"/>
      <c r="V30" s="663"/>
      <c r="W30" s="664"/>
      <c r="X30" s="665"/>
      <c r="Y30" s="3391"/>
      <c r="Z30" s="50"/>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0"/>
      <c r="M31" s="2485"/>
      <c r="N31" s="2485"/>
      <c r="O31" s="2540"/>
      <c r="P31" s="3391"/>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91"/>
      <c r="Z31" s="1263" t="str">
        <f t="shared" ref="Z31:Z45" si="13">Q31</f>
        <v>临街状况</v>
      </c>
      <c r="AA31" s="1263">
        <f t="shared" si="3"/>
        <v>1</v>
      </c>
      <c r="AB31" s="1263">
        <f t="shared" si="4"/>
        <v>1</v>
      </c>
      <c r="AC31" s="1263">
        <f t="shared" si="5"/>
        <v>1</v>
      </c>
    </row>
    <row r="32" spans="1:29" ht="28.8">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0"/>
      <c r="M32" s="2485"/>
      <c r="N32" s="2485"/>
      <c r="O32" s="2540"/>
      <c r="P32" s="3391"/>
      <c r="Q32" s="1262" t="str">
        <f t="shared" si="8"/>
        <v>毗邻道路的类型与等级</v>
      </c>
      <c r="R32" s="666" t="s">
        <v>14</v>
      </c>
      <c r="S32" s="667">
        <f t="shared" si="10"/>
        <v>100</v>
      </c>
      <c r="T32" s="666" t="s">
        <v>14</v>
      </c>
      <c r="U32" s="667">
        <f t="shared" si="11"/>
        <v>100</v>
      </c>
      <c r="V32" s="666" t="s">
        <v>14</v>
      </c>
      <c r="W32" s="667">
        <f t="shared" si="12"/>
        <v>100</v>
      </c>
      <c r="X32" s="1264"/>
      <c r="Y32" s="3391"/>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90"/>
      <c r="M33" s="2485"/>
      <c r="N33" s="2485"/>
      <c r="O33" s="2540"/>
      <c r="P33" s="3391"/>
      <c r="Q33" s="1262"/>
      <c r="R33" s="666"/>
      <c r="S33" s="667"/>
      <c r="T33" s="666"/>
      <c r="U33" s="667"/>
      <c r="V33" s="666"/>
      <c r="W33" s="667"/>
      <c r="X33" s="1264"/>
      <c r="Y33" s="3391"/>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0"/>
      <c r="M34" s="2485"/>
      <c r="N34" s="2485"/>
      <c r="O34" s="2540"/>
      <c r="P34" s="3391"/>
      <c r="Q34" s="1262" t="str">
        <f t="shared" si="8"/>
        <v>土地级别</v>
      </c>
      <c r="R34" s="666" t="s">
        <v>14</v>
      </c>
      <c r="S34" s="667">
        <f t="shared" si="10"/>
        <v>100</v>
      </c>
      <c r="T34" s="666" t="s">
        <v>14</v>
      </c>
      <c r="U34" s="667">
        <f t="shared" si="11"/>
        <v>100</v>
      </c>
      <c r="V34" s="666" t="s">
        <v>14</v>
      </c>
      <c r="W34" s="667">
        <f t="shared" si="12"/>
        <v>100</v>
      </c>
      <c r="X34" s="1264"/>
      <c r="Y34" s="3391"/>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0"/>
      <c r="M35" s="2485"/>
      <c r="N35" s="2485"/>
      <c r="O35" s="2540"/>
      <c r="P35" s="3391"/>
      <c r="Q35" s="1262">
        <f t="shared" si="8"/>
        <v>111</v>
      </c>
      <c r="R35" s="666" t="s">
        <v>14</v>
      </c>
      <c r="S35" s="667">
        <f t="shared" si="10"/>
        <v>100</v>
      </c>
      <c r="T35" s="666" t="s">
        <v>14</v>
      </c>
      <c r="U35" s="667">
        <f t="shared" si="11"/>
        <v>100</v>
      </c>
      <c r="V35" s="666" t="s">
        <v>14</v>
      </c>
      <c r="W35" s="667">
        <f t="shared" si="12"/>
        <v>100</v>
      </c>
      <c r="X35" s="1264"/>
      <c r="Y35" s="3391"/>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0"/>
      <c r="M36" s="2485"/>
      <c r="N36" s="2485"/>
      <c r="O36" s="2540"/>
      <c r="P36" s="3465" t="s">
        <v>1696</v>
      </c>
      <c r="Q36" s="1262">
        <f t="shared" si="8"/>
        <v>111</v>
      </c>
      <c r="R36" s="666" t="s">
        <v>14</v>
      </c>
      <c r="S36" s="667">
        <f t="shared" si="10"/>
        <v>100</v>
      </c>
      <c r="T36" s="666" t="s">
        <v>14</v>
      </c>
      <c r="U36" s="667">
        <f t="shared" si="11"/>
        <v>100</v>
      </c>
      <c r="V36" s="666" t="s">
        <v>14</v>
      </c>
      <c r="W36" s="667">
        <f t="shared" si="12"/>
        <v>100</v>
      </c>
      <c r="X36" s="1264"/>
      <c r="Y36" s="3395" t="s">
        <v>1696</v>
      </c>
      <c r="Z36" s="1263">
        <f t="shared" si="13"/>
        <v>111</v>
      </c>
      <c r="AA36" s="1263">
        <f t="shared" si="3"/>
        <v>1</v>
      </c>
      <c r="AB36" s="1263">
        <f t="shared" si="4"/>
        <v>1</v>
      </c>
      <c r="AC36" s="1263">
        <f t="shared" si="5"/>
        <v>1</v>
      </c>
    </row>
    <row r="37" spans="1:29" s="407" customFormat="1" ht="15.6"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9"/>
      <c r="M37" s="2491"/>
      <c r="N37" s="2491"/>
      <c r="O37" s="2541"/>
      <c r="P37" s="3395"/>
      <c r="Q37" s="1262">
        <f t="shared" si="8"/>
        <v>111</v>
      </c>
      <c r="R37" s="668" t="s">
        <v>14</v>
      </c>
      <c r="S37" s="669">
        <f t="shared" si="10"/>
        <v>100</v>
      </c>
      <c r="T37" s="668" t="s">
        <v>14</v>
      </c>
      <c r="U37" s="669">
        <f t="shared" si="11"/>
        <v>100</v>
      </c>
      <c r="V37" s="668" t="s">
        <v>14</v>
      </c>
      <c r="W37" s="669">
        <f t="shared" si="12"/>
        <v>100</v>
      </c>
      <c r="X37" s="670"/>
      <c r="Y37" s="3395"/>
      <c r="Z37" s="671">
        <f t="shared" si="13"/>
        <v>111</v>
      </c>
      <c r="AA37" s="1263">
        <f t="shared" si="3"/>
        <v>1</v>
      </c>
      <c r="AB37" s="1263">
        <f t="shared" si="4"/>
        <v>1</v>
      </c>
      <c r="AC37" s="1263">
        <f t="shared" si="5"/>
        <v>1</v>
      </c>
    </row>
    <row r="38" spans="1:29" ht="15.6">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90"/>
      <c r="M38" s="2485"/>
      <c r="N38" s="2485"/>
      <c r="O38" s="2540"/>
      <c r="P38" s="3395"/>
      <c r="Q38" s="1262" t="str">
        <f>B38</f>
        <v>宗地面积</v>
      </c>
      <c r="R38" s="666" t="s">
        <v>14</v>
      </c>
      <c r="S38" s="667" t="e">
        <f t="shared" si="10"/>
        <v>#N/A</v>
      </c>
      <c r="T38" s="666" t="s">
        <v>14</v>
      </c>
      <c r="U38" s="667" t="e">
        <f t="shared" si="11"/>
        <v>#N/A</v>
      </c>
      <c r="V38" s="666" t="s">
        <v>14</v>
      </c>
      <c r="W38" s="667" t="e">
        <f t="shared" si="12"/>
        <v>#N/A</v>
      </c>
      <c r="X38" s="1264"/>
      <c r="Y38" s="3395"/>
      <c r="Z38" s="1263" t="str">
        <f t="shared" si="13"/>
        <v>宗地面积</v>
      </c>
      <c r="AA38" s="1263" t="e">
        <f t="shared" si="3"/>
        <v>#N/A</v>
      </c>
      <c r="AB38" s="1263" t="e">
        <f t="shared" si="4"/>
        <v>#N/A</v>
      </c>
      <c r="AC38" s="1263" t="e">
        <f t="shared" si="5"/>
        <v>#N/A</v>
      </c>
    </row>
    <row r="39" spans="1:29" ht="15">
      <c r="A39" s="408"/>
      <c r="B39" s="363" t="s">
        <v>1875</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90"/>
      <c r="M39" s="2485"/>
      <c r="N39" s="2485"/>
      <c r="O39" s="2540"/>
      <c r="P39" s="3395"/>
      <c r="Q39" s="1262" t="str">
        <f t="shared" ref="Q39:Q45" si="14">B39</f>
        <v>宗地形状</v>
      </c>
      <c r="R39" s="666" t="s">
        <v>14</v>
      </c>
      <c r="S39" s="667">
        <f t="shared" si="10"/>
        <v>100</v>
      </c>
      <c r="T39" s="666" t="s">
        <v>14</v>
      </c>
      <c r="U39" s="667">
        <f t="shared" si="11"/>
        <v>100</v>
      </c>
      <c r="V39" s="666" t="s">
        <v>14</v>
      </c>
      <c r="W39" s="667">
        <f t="shared" si="12"/>
        <v>100</v>
      </c>
      <c r="X39" s="1264"/>
      <c r="Y39" s="3395"/>
      <c r="Z39" s="1263" t="str">
        <f t="shared" si="13"/>
        <v>宗地形状</v>
      </c>
      <c r="AA39" s="1263">
        <f t="shared" si="3"/>
        <v>1</v>
      </c>
      <c r="AB39" s="1263">
        <f t="shared" si="4"/>
        <v>1</v>
      </c>
      <c r="AC39" s="1263">
        <f t="shared" si="5"/>
        <v>1</v>
      </c>
    </row>
    <row r="40" spans="1:29" ht="15">
      <c r="A40" s="408"/>
      <c r="B40" s="363" t="s">
        <v>1876</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90"/>
      <c r="M40" s="2485"/>
      <c r="N40" s="2485"/>
      <c r="O40" s="2540"/>
      <c r="P40" s="3395"/>
      <c r="Q40" s="1262" t="str">
        <f t="shared" si="14"/>
        <v>临街宽度及深度</v>
      </c>
      <c r="R40" s="666" t="s">
        <v>14</v>
      </c>
      <c r="S40" s="667">
        <f t="shared" si="10"/>
        <v>100</v>
      </c>
      <c r="T40" s="666" t="s">
        <v>14</v>
      </c>
      <c r="U40" s="667">
        <f t="shared" si="11"/>
        <v>100</v>
      </c>
      <c r="V40" s="666" t="s">
        <v>14</v>
      </c>
      <c r="W40" s="667">
        <f t="shared" si="12"/>
        <v>100</v>
      </c>
      <c r="X40" s="1264"/>
      <c r="Y40" s="3395"/>
      <c r="Z40" s="1263" t="str">
        <f t="shared" si="13"/>
        <v>临街宽度及深度</v>
      </c>
      <c r="AA40" s="1263">
        <f t="shared" si="3"/>
        <v>1</v>
      </c>
      <c r="AB40" s="1263">
        <f t="shared" si="4"/>
        <v>1</v>
      </c>
      <c r="AC40" s="1263">
        <f t="shared" si="5"/>
        <v>1</v>
      </c>
    </row>
    <row r="41" spans="1:29" s="101" customFormat="1" ht="15">
      <c r="A41" s="409"/>
      <c r="B41" s="363" t="s">
        <v>1877</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6"/>
      <c r="M41" s="2438"/>
      <c r="N41" s="2438"/>
      <c r="O41" s="2538"/>
      <c r="P41" s="3395"/>
      <c r="Q41" s="1262" t="str">
        <f t="shared" si="14"/>
        <v>宗地开发程度</v>
      </c>
      <c r="R41" s="663" t="s">
        <v>14</v>
      </c>
      <c r="S41" s="664">
        <f t="shared" si="10"/>
        <v>100</v>
      </c>
      <c r="T41" s="663" t="s">
        <v>14</v>
      </c>
      <c r="U41" s="664">
        <f t="shared" si="11"/>
        <v>100</v>
      </c>
      <c r="V41" s="663" t="s">
        <v>14</v>
      </c>
      <c r="W41" s="664">
        <f t="shared" si="12"/>
        <v>100</v>
      </c>
      <c r="X41" s="665"/>
      <c r="Y41" s="3395"/>
      <c r="Z41" s="50" t="str">
        <f t="shared" si="13"/>
        <v>宗地开发程度</v>
      </c>
      <c r="AA41" s="50">
        <f t="shared" si="3"/>
        <v>1</v>
      </c>
      <c r="AB41" s="50">
        <f t="shared" si="4"/>
        <v>1</v>
      </c>
      <c r="AC41" s="50">
        <f t="shared" si="5"/>
        <v>1</v>
      </c>
    </row>
    <row r="42" spans="1:29" ht="15">
      <c r="A42" s="408"/>
      <c r="B42" s="363" t="s">
        <v>1878</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90"/>
      <c r="M42" s="2485"/>
      <c r="N42" s="2485"/>
      <c r="O42" s="2540"/>
      <c r="P42" s="3395" t="s">
        <v>1696</v>
      </c>
      <c r="Q42" s="1262" t="str">
        <f t="shared" si="14"/>
        <v>工程地质条件</v>
      </c>
      <c r="R42" s="666" t="s">
        <v>14</v>
      </c>
      <c r="S42" s="667">
        <f t="shared" si="10"/>
        <v>100</v>
      </c>
      <c r="T42" s="666" t="s">
        <v>14</v>
      </c>
      <c r="U42" s="667">
        <f t="shared" si="11"/>
        <v>100</v>
      </c>
      <c r="V42" s="666" t="s">
        <v>14</v>
      </c>
      <c r="W42" s="667">
        <f t="shared" si="12"/>
        <v>100</v>
      </c>
      <c r="X42" s="1264"/>
      <c r="Y42" s="3395"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0"/>
      <c r="M43" s="2485"/>
      <c r="N43" s="2485"/>
      <c r="O43" s="2540"/>
      <c r="P43" s="3395"/>
      <c r="Q43" s="1262">
        <f t="shared" si="14"/>
        <v>111</v>
      </c>
      <c r="R43" s="666" t="s">
        <v>14</v>
      </c>
      <c r="S43" s="667">
        <f t="shared" si="10"/>
        <v>100</v>
      </c>
      <c r="T43" s="666" t="s">
        <v>14</v>
      </c>
      <c r="U43" s="667">
        <f t="shared" si="11"/>
        <v>100</v>
      </c>
      <c r="V43" s="666" t="s">
        <v>14</v>
      </c>
      <c r="W43" s="667">
        <f t="shared" si="12"/>
        <v>100</v>
      </c>
      <c r="X43" s="1264"/>
      <c r="Y43" s="3395"/>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0"/>
      <c r="M44" s="2485"/>
      <c r="N44" s="2485"/>
      <c r="O44" s="2540"/>
      <c r="P44" s="3395"/>
      <c r="Q44" s="1262">
        <f t="shared" si="14"/>
        <v>111</v>
      </c>
      <c r="R44" s="666" t="s">
        <v>14</v>
      </c>
      <c r="S44" s="667">
        <f t="shared" si="10"/>
        <v>100</v>
      </c>
      <c r="T44" s="666" t="s">
        <v>14</v>
      </c>
      <c r="U44" s="667">
        <f t="shared" si="11"/>
        <v>100</v>
      </c>
      <c r="V44" s="666" t="s">
        <v>14</v>
      </c>
      <c r="W44" s="667">
        <f t="shared" si="12"/>
        <v>100</v>
      </c>
      <c r="X44" s="1264"/>
      <c r="Y44" s="3395"/>
      <c r="Z44" s="1263">
        <f t="shared" si="13"/>
        <v>111</v>
      </c>
      <c r="AA44" s="1263">
        <f t="shared" si="3"/>
        <v>1</v>
      </c>
      <c r="AB44" s="1263">
        <f t="shared" si="4"/>
        <v>1</v>
      </c>
      <c r="AC44" s="1263">
        <f t="shared" si="5"/>
        <v>1</v>
      </c>
    </row>
    <row r="45" spans="1:29" s="407" customFormat="1" ht="15.6"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89"/>
      <c r="M45" s="2491"/>
      <c r="N45" s="2491"/>
      <c r="O45" s="2541"/>
      <c r="P45" s="3395"/>
      <c r="Q45" s="1262">
        <f t="shared" si="14"/>
        <v>111</v>
      </c>
      <c r="R45" s="668" t="s">
        <v>14</v>
      </c>
      <c r="S45" s="669">
        <f t="shared" si="10"/>
        <v>100</v>
      </c>
      <c r="T45" s="668" t="s">
        <v>14</v>
      </c>
      <c r="U45" s="669">
        <f t="shared" si="11"/>
        <v>100</v>
      </c>
      <c r="V45" s="668" t="s">
        <v>14</v>
      </c>
      <c r="W45" s="669">
        <f t="shared" si="12"/>
        <v>100</v>
      </c>
      <c r="X45" s="670"/>
      <c r="Y45" s="3395"/>
      <c r="Z45" s="671">
        <f t="shared" si="13"/>
        <v>111</v>
      </c>
      <c r="AA45" s="1263">
        <f t="shared" si="3"/>
        <v>1</v>
      </c>
      <c r="AB45" s="1263">
        <f t="shared" si="4"/>
        <v>1</v>
      </c>
      <c r="AC45" s="1263">
        <f t="shared" si="5"/>
        <v>1</v>
      </c>
    </row>
    <row r="46" spans="1:29" ht="14.4">
      <c r="A46" s="415" t="s">
        <v>1844</v>
      </c>
      <c r="B46" s="1829" t="s">
        <v>1879</v>
      </c>
      <c r="C46" s="601" t="s">
        <v>0</v>
      </c>
      <c r="D46" s="417"/>
      <c r="E46" s="418"/>
      <c r="F46" s="419"/>
      <c r="G46" s="420"/>
      <c r="H46" s="421"/>
      <c r="I46" s="418"/>
      <c r="J46" s="421"/>
      <c r="K46" s="673"/>
      <c r="L46" s="2492"/>
      <c r="M46" s="2485"/>
      <c r="N46" s="2485"/>
      <c r="O46" s="2485"/>
      <c r="P46" s="3383" t="str">
        <f>A46</f>
        <v>成交单价</v>
      </c>
      <c r="Q46" s="3383"/>
      <c r="R46" s="3384">
        <f>E46</f>
        <v>0</v>
      </c>
      <c r="S46" s="3384"/>
      <c r="T46" s="3384">
        <f>G46</f>
        <v>0</v>
      </c>
      <c r="U46" s="3384"/>
      <c r="V46" s="3384">
        <f>I46</f>
        <v>0</v>
      </c>
      <c r="W46" s="3384"/>
      <c r="X46" s="384"/>
      <c r="Y46" s="672"/>
      <c r="Z46" s="384"/>
      <c r="AA46" s="384"/>
      <c r="AB46" s="384"/>
      <c r="AC46" s="384"/>
    </row>
    <row r="47" spans="1:29" ht="15" thickBot="1">
      <c r="A47" s="422" t="s">
        <v>1793</v>
      </c>
      <c r="B47" s="602"/>
      <c r="C47" s="425" t="e">
        <f>R48</f>
        <v>#DIV/0!</v>
      </c>
      <c r="D47" s="2140" t="s">
        <v>2138</v>
      </c>
      <c r="E47" s="425" t="e">
        <f>R47</f>
        <v>#DIV/0!</v>
      </c>
      <c r="F47" s="2141"/>
      <c r="G47" s="424" t="e">
        <f>T47</f>
        <v>#DIV/0!</v>
      </c>
      <c r="H47" s="2141"/>
      <c r="I47" s="425" t="e">
        <f>V47</f>
        <v>#DIV/0!</v>
      </c>
      <c r="J47" s="2141"/>
      <c r="K47" s="2143">
        <f>F47+H47+J47</f>
        <v>0</v>
      </c>
      <c r="L47" s="2492"/>
      <c r="M47" s="2485"/>
      <c r="N47" s="2485"/>
      <c r="O47" s="2485"/>
      <c r="P47" s="3383" t="str">
        <f>A47</f>
        <v>比较价值（元/平方米）</v>
      </c>
      <c r="Q47" s="3383"/>
      <c r="R47" s="3467" t="e">
        <f>ROUND(PRODUCT(R46,AA7:AA45),0)</f>
        <v>#DIV/0!</v>
      </c>
      <c r="S47" s="3467"/>
      <c r="T47" s="3467" t="e">
        <f>ROUND(PRODUCT(T46,AB7:AB45),0)</f>
        <v>#DIV/0!</v>
      </c>
      <c r="U47" s="3467"/>
      <c r="V47" s="3467" t="e">
        <f>ROUND(PRODUCT(V46,AC7:AC45),0)</f>
        <v>#DIV/0!</v>
      </c>
      <c r="W47" s="3467"/>
      <c r="X47" s="384"/>
      <c r="Y47" s="384"/>
      <c r="Z47" s="384"/>
      <c r="AA47" s="384"/>
      <c r="AB47" s="384"/>
      <c r="AC47" s="384"/>
    </row>
    <row r="48" spans="1:29" ht="15" thickBot="1">
      <c r="A48" s="426" t="s">
        <v>1880</v>
      </c>
      <c r="B48" s="427"/>
      <c r="C48" s="428" t="e">
        <f>R48</f>
        <v>#DIV/0!</v>
      </c>
      <c r="D48" s="428"/>
      <c r="E48" s="428"/>
      <c r="F48" s="428"/>
      <c r="G48" s="428"/>
      <c r="H48" s="428"/>
      <c r="I48" s="428"/>
      <c r="J48" s="428"/>
      <c r="K48" s="674"/>
      <c r="L48" s="2492"/>
      <c r="M48" s="2485"/>
      <c r="N48" s="2485"/>
      <c r="O48" s="2485"/>
      <c r="P48" s="3385" t="str">
        <f>A48</f>
        <v>估价对象XX用房的比较价值（楼面单价，元/平方米）</v>
      </c>
      <c r="Q48" s="3386"/>
      <c r="R48" s="3468" t="e">
        <f>ROUND(IF(D47="简单平均",AVERAGE(R47:W47),R47*F47+T47*H47+V47*J47),0)</f>
        <v>#DIV/0!</v>
      </c>
      <c r="S48" s="3468"/>
      <c r="T48" s="3468"/>
      <c r="U48" s="3468"/>
      <c r="V48" s="3468"/>
      <c r="W48" s="3468"/>
      <c r="X48" s="384"/>
      <c r="Y48" s="384"/>
      <c r="Z48" s="384"/>
      <c r="AA48" s="384"/>
      <c r="AB48" s="384"/>
      <c r="AC48" s="384"/>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6" customFormat="1" ht="13.5" customHeight="1">
      <c r="A53" s="2495"/>
      <c r="B53" s="2495"/>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6" customFormat="1" ht="14.4" thickBot="1">
      <c r="A54" s="2495"/>
      <c r="B54" s="2498"/>
      <c r="C54" s="656"/>
      <c r="D54" s="654"/>
      <c r="E54" s="654"/>
      <c r="F54" s="654"/>
      <c r="G54" s="654"/>
      <c r="H54" s="654"/>
      <c r="I54" s="654"/>
      <c r="J54" s="654"/>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3" t="s">
        <v>1881</v>
      </c>
      <c r="B55" s="604" t="s">
        <v>1882</v>
      </c>
      <c r="C55" s="1830" t="s">
        <v>1883</v>
      </c>
      <c r="D55" s="1831" t="s">
        <v>1884</v>
      </c>
      <c r="E55" s="605" t="s">
        <v>1885</v>
      </c>
      <c r="F55" s="836" t="s">
        <v>1886</v>
      </c>
      <c r="G55" s="3401" t="s">
        <v>1887</v>
      </c>
      <c r="H55" s="3469"/>
      <c r="I55" s="126" t="s">
        <v>1888</v>
      </c>
      <c r="J55" s="1832">
        <f>项目基本情况!F35</f>
        <v>0</v>
      </c>
      <c r="K55" s="1833" t="s">
        <v>1889</v>
      </c>
      <c r="L55" s="2493"/>
      <c r="M55" s="2485"/>
      <c r="N55" s="2485"/>
      <c r="O55" s="2485"/>
      <c r="P55" s="2485"/>
      <c r="Q55" s="2485"/>
      <c r="R55" s="2485"/>
      <c r="S55" s="2485"/>
      <c r="T55" s="2485"/>
      <c r="U55" s="2485"/>
      <c r="V55" s="2485"/>
      <c r="W55" s="2485"/>
      <c r="X55" s="2485"/>
      <c r="Y55" s="2485"/>
      <c r="Z55" s="2485"/>
      <c r="AA55" s="2485"/>
      <c r="AB55" s="2485"/>
      <c r="AC55" s="2485"/>
    </row>
    <row r="56" spans="1:29" s="611" customFormat="1">
      <c r="A56" s="607" t="s">
        <v>1890</v>
      </c>
      <c r="B56" s="608" t="e">
        <f>C48</f>
        <v>#DIV/0!</v>
      </c>
      <c r="C56" s="609">
        <v>1</v>
      </c>
      <c r="D56" s="889">
        <v>1</v>
      </c>
      <c r="E56" s="609">
        <f>'数据-汇总表'!E8+'数据-汇总表'!E9</f>
        <v>312.66000000000003</v>
      </c>
      <c r="F56" s="832" t="e">
        <f t="shared" ref="F56:F64" si="15">ROUND(B56*E56/10000,0)</f>
        <v>#DIV/0!</v>
      </c>
      <c r="G56" s="3397"/>
      <c r="H56" s="3383"/>
      <c r="I56" s="837">
        <v>1</v>
      </c>
      <c r="J56" s="840">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1" customFormat="1">
      <c r="A57" s="612" t="s">
        <v>1891</v>
      </c>
      <c r="B57" s="209" t="e">
        <f>ROUND($C$48*C57*D57,0)</f>
        <v>#DIV/0!</v>
      </c>
      <c r="C57" s="162">
        <f t="shared" ref="C57:C64" si="16">IF($C$55="北京市系数",I57,J57)</f>
        <v>0.5</v>
      </c>
      <c r="D57" s="890">
        <v>0.25</v>
      </c>
      <c r="E57" s="613"/>
      <c r="F57" s="832" t="e">
        <f t="shared" si="15"/>
        <v>#DIV/0!</v>
      </c>
      <c r="G57" s="2748" t="s">
        <v>1892</v>
      </c>
      <c r="H57" s="833" t="str">
        <f>项目基本情况!B37</f>
        <v>九级</v>
      </c>
      <c r="I57" s="837">
        <f>SUMIF(修正!A57:A68,H57,修正!B57:B68)</f>
        <v>0.5</v>
      </c>
      <c r="J57" s="841"/>
      <c r="K57" s="2485"/>
      <c r="L57" s="2544"/>
      <c r="M57" s="2544"/>
      <c r="N57" s="2544"/>
      <c r="O57" s="2544"/>
      <c r="P57" s="2544"/>
      <c r="Q57" s="2544"/>
      <c r="R57" s="2544"/>
      <c r="S57" s="2544"/>
      <c r="T57" s="2544"/>
      <c r="U57" s="2544"/>
      <c r="V57" s="2544"/>
      <c r="W57" s="2544"/>
      <c r="X57" s="2544"/>
      <c r="Y57" s="2544"/>
      <c r="Z57" s="2544"/>
      <c r="AA57" s="2544"/>
      <c r="AB57" s="2544"/>
      <c r="AC57" s="2544"/>
    </row>
    <row r="58" spans="1:29" s="611" customFormat="1">
      <c r="A58" s="612" t="s">
        <v>1893</v>
      </c>
      <c r="B58" s="209" t="e">
        <f t="shared" ref="B58:B64" si="17">ROUND($C$48*C58*D58,0)</f>
        <v>#DIV/0!</v>
      </c>
      <c r="C58" s="162">
        <f t="shared" si="16"/>
        <v>0.2</v>
      </c>
      <c r="D58" s="890">
        <v>0.25</v>
      </c>
      <c r="E58" s="613"/>
      <c r="F58" s="832" t="e">
        <f t="shared" si="15"/>
        <v>#DIV/0!</v>
      </c>
      <c r="G58" s="2749"/>
      <c r="H58" s="833" t="str">
        <f>项目基本情况!B37</f>
        <v>九级</v>
      </c>
      <c r="I58" s="837">
        <f>SUMIF(修正!A57:A68,H58,修正!C57:C68)</f>
        <v>0.2</v>
      </c>
      <c r="J58" s="841"/>
      <c r="K58" s="2495"/>
      <c r="L58" s="2544"/>
      <c r="M58" s="2544"/>
      <c r="N58" s="2544"/>
      <c r="O58" s="2544"/>
      <c r="P58" s="2544"/>
      <c r="Q58" s="2544"/>
      <c r="R58" s="2544"/>
      <c r="S58" s="2544"/>
      <c r="T58" s="2544"/>
      <c r="U58" s="2544"/>
      <c r="V58" s="2544"/>
      <c r="W58" s="2544"/>
      <c r="X58" s="2544"/>
      <c r="Y58" s="2544"/>
      <c r="Z58" s="2544"/>
      <c r="AA58" s="2544"/>
      <c r="AB58" s="2544"/>
      <c r="AC58" s="2544"/>
    </row>
    <row r="59" spans="1:29" s="611" customFormat="1">
      <c r="A59" s="612" t="s">
        <v>1894</v>
      </c>
      <c r="B59" s="209" t="e">
        <f t="shared" si="17"/>
        <v>#DIV/0!</v>
      </c>
      <c r="C59" s="162">
        <f t="shared" si="16"/>
        <v>0.2</v>
      </c>
      <c r="D59" s="890">
        <v>0.25</v>
      </c>
      <c r="E59" s="613"/>
      <c r="F59" s="832" t="e">
        <f t="shared" si="15"/>
        <v>#DIV/0!</v>
      </c>
      <c r="G59" s="2749"/>
      <c r="H59" s="833" t="str">
        <f>项目基本情况!B37</f>
        <v>九级</v>
      </c>
      <c r="I59" s="837">
        <f>SUMIF(修正!A57:A68,H59,修正!D57:D68)</f>
        <v>0.2</v>
      </c>
      <c r="J59" s="841"/>
      <c r="K59" s="2485"/>
      <c r="L59" s="2544"/>
      <c r="M59" s="2544"/>
      <c r="N59" s="2544"/>
      <c r="O59" s="2544"/>
      <c r="P59" s="2544"/>
      <c r="Q59" s="2544"/>
      <c r="R59" s="2544"/>
      <c r="S59" s="2544"/>
      <c r="T59" s="2544"/>
      <c r="U59" s="2544"/>
      <c r="V59" s="2544"/>
      <c r="W59" s="2544"/>
      <c r="X59" s="2544"/>
      <c r="Y59" s="2544"/>
      <c r="Z59" s="2544"/>
      <c r="AA59" s="2544"/>
      <c r="AB59" s="2544"/>
      <c r="AC59" s="2544"/>
    </row>
    <row r="60" spans="1:29" s="611" customFormat="1">
      <c r="A60" s="612" t="s">
        <v>1895</v>
      </c>
      <c r="B60" s="209" t="e">
        <f t="shared" si="17"/>
        <v>#DIV/0!</v>
      </c>
      <c r="C60" s="162">
        <f t="shared" si="16"/>
        <v>0</v>
      </c>
      <c r="D60" s="890">
        <v>0.25</v>
      </c>
      <c r="E60" s="208">
        <f>'数据-汇总表'!E11</f>
        <v>0</v>
      </c>
      <c r="F60" s="832" t="e">
        <f t="shared" si="15"/>
        <v>#DIV/0!</v>
      </c>
      <c r="G60" s="1834" t="s">
        <v>1896</v>
      </c>
      <c r="H60" s="833">
        <f>项目基本情况!C37</f>
        <v>0</v>
      </c>
      <c r="I60" s="837">
        <f>SUMIF(修正!A57:A68,H60,修正!E57:E68)</f>
        <v>0</v>
      </c>
      <c r="J60" s="841"/>
      <c r="K60" s="2485"/>
      <c r="L60" s="2544"/>
      <c r="M60" s="2544"/>
      <c r="N60" s="2544"/>
      <c r="O60" s="2544"/>
      <c r="P60" s="2544"/>
      <c r="Q60" s="2544"/>
      <c r="R60" s="2544"/>
      <c r="S60" s="2544"/>
      <c r="T60" s="2544"/>
      <c r="U60" s="2544"/>
      <c r="V60" s="2544"/>
      <c r="W60" s="2544"/>
      <c r="X60" s="2544"/>
      <c r="Y60" s="2544"/>
      <c r="Z60" s="2544"/>
      <c r="AA60" s="2544"/>
      <c r="AB60" s="2544"/>
      <c r="AC60" s="2544"/>
    </row>
    <row r="61" spans="1:29" s="611" customFormat="1">
      <c r="A61" s="612" t="s">
        <v>1897</v>
      </c>
      <c r="B61" s="209" t="e">
        <f t="shared" si="17"/>
        <v>#DIV/0!</v>
      </c>
      <c r="C61" s="162">
        <f t="shared" si="16"/>
        <v>0</v>
      </c>
      <c r="D61" s="890">
        <v>0.25</v>
      </c>
      <c r="E61" s="208">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5"/>
      <c r="L61" s="2544"/>
      <c r="M61" s="2544"/>
      <c r="N61" s="2544"/>
      <c r="O61" s="2544"/>
      <c r="P61" s="2544"/>
      <c r="Q61" s="2544"/>
      <c r="R61" s="2544"/>
      <c r="S61" s="2544"/>
      <c r="T61" s="2544"/>
      <c r="U61" s="2544"/>
      <c r="V61" s="2544"/>
      <c r="W61" s="2544"/>
      <c r="X61" s="2544"/>
      <c r="Y61" s="2544"/>
      <c r="Z61" s="2544"/>
      <c r="AA61" s="2544"/>
      <c r="AB61" s="2544"/>
      <c r="AC61" s="2544"/>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5"/>
      <c r="L62" s="2544"/>
      <c r="M62" s="2544"/>
      <c r="N62" s="2544"/>
      <c r="O62" s="2544"/>
      <c r="P62" s="2544"/>
      <c r="Q62" s="2544"/>
      <c r="R62" s="2544"/>
      <c r="S62" s="2544"/>
      <c r="T62" s="2544"/>
      <c r="U62" s="2544"/>
      <c r="V62" s="2544"/>
      <c r="W62" s="2544"/>
      <c r="X62" s="2544"/>
      <c r="Y62" s="2544"/>
      <c r="Z62" s="2544"/>
      <c r="AA62" s="2544"/>
      <c r="AB62" s="2544"/>
      <c r="AC62" s="2544"/>
    </row>
    <row r="63" spans="1:29" s="611" customFormat="1">
      <c r="A63" s="612" t="s">
        <v>1901</v>
      </c>
      <c r="B63" s="209" t="e">
        <f t="shared" si="17"/>
        <v>#DIV/0!</v>
      </c>
      <c r="C63" s="162">
        <f t="shared" si="16"/>
        <v>0.1</v>
      </c>
      <c r="D63" s="890">
        <v>0.25</v>
      </c>
      <c r="E63" s="208">
        <f>'数据-汇总表'!E14</f>
        <v>0</v>
      </c>
      <c r="F63" s="832" t="e">
        <f t="shared" si="15"/>
        <v>#DIV/0!</v>
      </c>
      <c r="G63" s="1834" t="s">
        <v>1892</v>
      </c>
      <c r="H63" s="833" t="str">
        <f>项目基本情况!B37</f>
        <v>九级</v>
      </c>
      <c r="I63" s="837">
        <f>SUMIF(修正!A57:A68,H63,修正!G57:G68)</f>
        <v>0.1</v>
      </c>
      <c r="J63" s="841"/>
      <c r="K63" s="2495"/>
      <c r="L63" s="2544"/>
      <c r="M63" s="2544"/>
      <c r="N63" s="2544"/>
      <c r="O63" s="2544"/>
      <c r="P63" s="2544"/>
      <c r="Q63" s="2544"/>
      <c r="R63" s="2544"/>
      <c r="S63" s="2544"/>
      <c r="T63" s="2544"/>
      <c r="U63" s="2544"/>
      <c r="V63" s="2544"/>
      <c r="W63" s="2544"/>
      <c r="X63" s="2544"/>
      <c r="Y63" s="2544"/>
      <c r="Z63" s="2544"/>
      <c r="AA63" s="2544"/>
      <c r="AB63" s="2544"/>
      <c r="AC63" s="2544"/>
    </row>
    <row r="64" spans="1:29" s="611" customFormat="1" ht="14.4" thickBot="1">
      <c r="A64" s="612" t="s">
        <v>1902</v>
      </c>
      <c r="B64" s="209" t="e">
        <f t="shared" si="17"/>
        <v>#DIV/0!</v>
      </c>
      <c r="C64" s="162">
        <f t="shared" si="16"/>
        <v>0</v>
      </c>
      <c r="D64" s="890">
        <v>0.25</v>
      </c>
      <c r="E64" s="208">
        <f>'数据-汇总表'!E15</f>
        <v>0</v>
      </c>
      <c r="F64" s="832" t="e">
        <f t="shared" si="15"/>
        <v>#DIV/0!</v>
      </c>
      <c r="G64" s="1835" t="s">
        <v>1896</v>
      </c>
      <c r="H64" s="843">
        <f>项目基本情况!C37</f>
        <v>0</v>
      </c>
      <c r="I64" s="839">
        <f>SUMIF(修正!A57:A68,H64,修正!G57:G68)</f>
        <v>0</v>
      </c>
      <c r="J64" s="842"/>
      <c r="K64" s="2485"/>
      <c r="L64" s="2544"/>
      <c r="M64" s="2544"/>
      <c r="N64" s="2544"/>
      <c r="O64" s="2544"/>
      <c r="P64" s="2544"/>
      <c r="Q64" s="2544"/>
      <c r="R64" s="2544"/>
      <c r="S64" s="2544"/>
      <c r="T64" s="2544"/>
      <c r="U64" s="2544"/>
      <c r="V64" s="2544"/>
      <c r="W64" s="2544"/>
      <c r="X64" s="2544"/>
      <c r="Y64" s="2544"/>
      <c r="Z64" s="2544"/>
      <c r="AA64" s="2544"/>
      <c r="AB64" s="2544"/>
      <c r="AC64" s="2544"/>
    </row>
    <row r="65" spans="1:29" s="611" customFormat="1" thickBot="1">
      <c r="A65" s="614" t="s">
        <v>1903</v>
      </c>
      <c r="B65" s="615" t="s">
        <v>22</v>
      </c>
      <c r="C65" s="615" t="s">
        <v>23</v>
      </c>
      <c r="D65" s="615" t="s">
        <v>392</v>
      </c>
      <c r="E65" s="615">
        <f>IF(B46="楼面地价",SUM(E56:E64),'数据-汇总表'!D3)</f>
        <v>312.66000000000003</v>
      </c>
      <c r="F65" s="616" t="e">
        <f>IF(B46="楼面地价",SUM(F56:F64),ROUND(C48*E65/10000,0))</f>
        <v>#DIV/0!</v>
      </c>
      <c r="G65" s="676"/>
      <c r="H65" s="676"/>
      <c r="I65" s="676"/>
      <c r="J65" s="676"/>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4"/>
      <c r="B66" s="655"/>
      <c r="C66" s="656"/>
      <c r="D66" s="384"/>
      <c r="E66" s="384"/>
      <c r="F66" s="384"/>
      <c r="G66" s="384"/>
      <c r="H66" s="384"/>
      <c r="I66" s="384"/>
      <c r="J66" s="860"/>
      <c r="K66" s="834"/>
      <c r="L66" s="835"/>
      <c r="M66" s="860"/>
      <c r="N66" s="860"/>
      <c r="O66" s="860"/>
      <c r="P66" s="2485"/>
      <c r="Q66" s="2485"/>
      <c r="R66" s="2485"/>
      <c r="S66" s="2485"/>
      <c r="T66" s="2485"/>
      <c r="U66" s="2485"/>
      <c r="V66" s="2485"/>
      <c r="W66" s="2485"/>
      <c r="X66" s="2485"/>
      <c r="Y66" s="2485"/>
      <c r="Z66" s="2485"/>
      <c r="AA66" s="2485"/>
      <c r="AB66" s="2485"/>
      <c r="AC66" s="2485"/>
    </row>
    <row r="67" spans="1:29">
      <c r="A67" s="384"/>
      <c r="B67" s="655"/>
      <c r="C67" s="655" t="str">
        <f>YEAR(C7)&amp;"-"&amp;MONTH(C7)&amp;"-1"</f>
        <v>2024-9-1</v>
      </c>
      <c r="D67" s="655">
        <f>EDATE(C67,-3)</f>
        <v>45444</v>
      </c>
      <c r="E67" s="655">
        <f>EDATE(D67,-3)</f>
        <v>45352</v>
      </c>
      <c r="F67" s="655">
        <f t="shared" ref="F67:O67" si="18">EDATE(E67,-3)</f>
        <v>45261</v>
      </c>
      <c r="G67" s="655">
        <f t="shared" si="18"/>
        <v>45170</v>
      </c>
      <c r="H67" s="655">
        <f t="shared" si="18"/>
        <v>45078</v>
      </c>
      <c r="I67" s="655">
        <f t="shared" si="18"/>
        <v>44986</v>
      </c>
      <c r="J67" s="655">
        <f t="shared" si="18"/>
        <v>44896</v>
      </c>
      <c r="K67" s="655">
        <f t="shared" si="18"/>
        <v>44805</v>
      </c>
      <c r="L67" s="655">
        <f t="shared" si="18"/>
        <v>44713</v>
      </c>
      <c r="M67" s="655">
        <f t="shared" si="18"/>
        <v>44621</v>
      </c>
      <c r="N67" s="655">
        <f t="shared" si="18"/>
        <v>44531</v>
      </c>
      <c r="O67" s="655">
        <f t="shared" si="18"/>
        <v>44440</v>
      </c>
      <c r="P67" s="2485"/>
      <c r="Q67" s="2485"/>
      <c r="R67" s="2485"/>
      <c r="S67" s="2485"/>
      <c r="T67" s="2485"/>
      <c r="U67" s="2485"/>
      <c r="V67" s="2485"/>
      <c r="W67" s="2485"/>
      <c r="X67" s="2485"/>
      <c r="Y67" s="2485"/>
      <c r="Z67" s="2485"/>
      <c r="AA67" s="2485"/>
      <c r="AB67" s="2485"/>
      <c r="AC67" s="2485"/>
    </row>
    <row r="68" spans="1:29" ht="22.2" thickBot="1">
      <c r="A68" s="657" t="s">
        <v>1798</v>
      </c>
      <c r="B68" s="384"/>
      <c r="C68" s="658"/>
      <c r="D68" s="658"/>
      <c r="E68" s="658"/>
      <c r="F68" s="659"/>
      <c r="G68" s="659"/>
      <c r="H68" s="658"/>
      <c r="I68" s="658"/>
      <c r="J68" s="885"/>
      <c r="K68" s="886"/>
      <c r="L68" s="887"/>
      <c r="M68" s="885"/>
      <c r="N68" s="2535"/>
      <c r="O68" s="2535"/>
      <c r="P68" s="2535"/>
      <c r="Q68" s="2506"/>
      <c r="R68" s="2485"/>
      <c r="S68" s="2485"/>
      <c r="T68" s="2485"/>
      <c r="U68" s="2485"/>
      <c r="V68" s="2485"/>
      <c r="W68" s="2485"/>
      <c r="X68" s="2485"/>
      <c r="Y68" s="2485"/>
      <c r="Z68" s="2485"/>
      <c r="AA68" s="2485"/>
      <c r="AB68" s="2485"/>
      <c r="AC68" s="2485"/>
    </row>
    <row r="69" spans="1:29" s="441" customFormat="1" ht="14.4">
      <c r="A69" s="1629" t="s">
        <v>1904</v>
      </c>
      <c r="B69" s="1045"/>
      <c r="C69" s="1100" t="str">
        <f>YEAR(C67)&amp;"-"&amp;ROUNDUP(MONTH(C67)/3,0)</f>
        <v>2024-3</v>
      </c>
      <c r="D69" s="1100" t="str">
        <f>YEAR(D67)&amp;"-"&amp;ROUNDUP(MONTH(D67)/3,0)</f>
        <v>2024-2</v>
      </c>
      <c r="E69" s="1100" t="str">
        <f t="shared" ref="E69:O69" si="19">YEAR(E67)&amp;"-"&amp;ROUNDUP(MONTH(E67)/3,0)</f>
        <v>2024-1</v>
      </c>
      <c r="F69" s="1100" t="str">
        <f t="shared" si="19"/>
        <v>2023-4</v>
      </c>
      <c r="G69" s="1100" t="str">
        <f t="shared" si="19"/>
        <v>2023-3</v>
      </c>
      <c r="H69" s="1100" t="str">
        <f t="shared" si="19"/>
        <v>2023-2</v>
      </c>
      <c r="I69" s="1100" t="str">
        <f t="shared" si="19"/>
        <v>2023-1</v>
      </c>
      <c r="J69" s="1100" t="str">
        <f t="shared" si="19"/>
        <v>2022-4</v>
      </c>
      <c r="K69" s="1100" t="str">
        <f t="shared" si="19"/>
        <v>2022-3</v>
      </c>
      <c r="L69" s="1100" t="str">
        <f t="shared" si="19"/>
        <v>2022-2</v>
      </c>
      <c r="M69" s="1100" t="str">
        <f t="shared" si="19"/>
        <v>2022-1</v>
      </c>
      <c r="N69" s="1100" t="str">
        <f t="shared" si="19"/>
        <v>2021-4</v>
      </c>
      <c r="O69" s="1100" t="str">
        <f t="shared" si="19"/>
        <v>2021-3</v>
      </c>
      <c r="P69" s="2508"/>
      <c r="Q69" s="2508"/>
      <c r="R69" s="2508"/>
      <c r="S69" s="2508"/>
      <c r="T69" s="2508"/>
      <c r="U69" s="2508"/>
      <c r="V69" s="2508"/>
      <c r="W69" s="2508"/>
      <c r="X69" s="2508"/>
      <c r="Y69" s="2508"/>
      <c r="Z69" s="2508"/>
      <c r="AA69" s="2508"/>
      <c r="AB69" s="2508"/>
      <c r="AC69" s="2508"/>
    </row>
    <row r="70" spans="1:29" s="101" customFormat="1" ht="30" customHeight="1">
      <c r="A70" s="1836"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6"/>
      <c r="Q70" s="2438"/>
      <c r="R70" s="2438"/>
      <c r="S70" s="2438"/>
      <c r="T70" s="2438"/>
      <c r="U70" s="2438"/>
      <c r="V70" s="2438"/>
      <c r="W70" s="2438"/>
      <c r="X70" s="2438"/>
      <c r="Y70" s="2438"/>
      <c r="Z70" s="2438"/>
      <c r="AA70" s="2438"/>
      <c r="AB70" s="2438"/>
      <c r="AC70" s="2438"/>
    </row>
    <row r="71" spans="1:29" s="101" customFormat="1" ht="15" thickBot="1">
      <c r="A71" s="448" t="s">
        <v>1716</v>
      </c>
      <c r="B71" s="449"/>
      <c r="C71" s="450"/>
      <c r="D71" s="451"/>
      <c r="E71" s="451"/>
      <c r="F71" s="451"/>
      <c r="G71" s="451"/>
      <c r="H71" s="451"/>
      <c r="I71" s="451"/>
      <c r="J71" s="451"/>
      <c r="K71" s="451"/>
      <c r="L71" s="451"/>
      <c r="M71" s="452"/>
      <c r="N71" s="451"/>
      <c r="O71" s="888"/>
      <c r="P71" s="2506"/>
      <c r="Q71" s="2506"/>
      <c r="R71" s="2438"/>
      <c r="S71" s="2438"/>
      <c r="T71" s="2438"/>
      <c r="U71" s="2438"/>
      <c r="V71" s="2438"/>
      <c r="W71" s="2438"/>
      <c r="X71" s="2438"/>
      <c r="Y71" s="2438"/>
      <c r="Z71" s="2438"/>
      <c r="AA71" s="2438"/>
      <c r="AB71" s="2438"/>
      <c r="AC71" s="2438"/>
    </row>
    <row r="72" spans="1:29" s="101" customFormat="1" ht="14.4">
      <c r="A72" s="454" t="s">
        <v>1681</v>
      </c>
      <c r="B72" s="443"/>
      <c r="C72" s="455" t="s">
        <v>1776</v>
      </c>
      <c r="D72" s="31"/>
      <c r="E72" s="31"/>
      <c r="F72" s="31"/>
      <c r="G72" s="31"/>
      <c r="H72" s="31"/>
      <c r="I72" s="31"/>
      <c r="J72" s="31"/>
      <c r="K72" s="31"/>
      <c r="L72" s="456"/>
      <c r="M72" s="457"/>
      <c r="N72" s="2518"/>
      <c r="O72" s="2518"/>
      <c r="P72" s="2542"/>
      <c r="Q72" s="2506"/>
      <c r="R72" s="2438"/>
      <c r="S72" s="2438"/>
      <c r="T72" s="2438"/>
      <c r="U72" s="2438"/>
      <c r="V72" s="2438"/>
      <c r="W72" s="2438"/>
      <c r="X72" s="2438"/>
      <c r="Y72" s="2438"/>
      <c r="Z72" s="2438"/>
      <c r="AA72" s="2438"/>
      <c r="AB72" s="2438"/>
      <c r="AC72" s="2438"/>
    </row>
    <row r="73" spans="1:29" s="101" customFormat="1" ht="14.4" thickBot="1">
      <c r="A73" s="454"/>
      <c r="B73" s="443"/>
      <c r="C73" s="562">
        <v>100</v>
      </c>
      <c r="D73" s="445"/>
      <c r="E73" s="445"/>
      <c r="F73" s="445"/>
      <c r="G73" s="445"/>
      <c r="H73" s="445"/>
      <c r="I73" s="445"/>
      <c r="J73" s="445"/>
      <c r="K73" s="445"/>
      <c r="L73" s="445"/>
      <c r="M73" s="447"/>
      <c r="N73" s="2518"/>
      <c r="O73" s="2518"/>
      <c r="P73" s="2506"/>
      <c r="Q73" s="2506"/>
      <c r="R73" s="2438"/>
      <c r="S73" s="2438"/>
      <c r="T73" s="2438"/>
      <c r="U73" s="2438"/>
      <c r="V73" s="2438"/>
      <c r="W73" s="2438"/>
      <c r="X73" s="2438"/>
      <c r="Y73" s="2438"/>
      <c r="Z73" s="2438"/>
      <c r="AA73" s="2438"/>
      <c r="AB73" s="2438"/>
      <c r="AC73" s="2438"/>
    </row>
    <row r="74" spans="1:29" ht="14.4">
      <c r="A74" s="378" t="s">
        <v>1719</v>
      </c>
      <c r="B74" s="459" t="s">
        <v>1685</v>
      </c>
      <c r="C74" s="461"/>
      <c r="D74" s="461"/>
      <c r="E74" s="461"/>
      <c r="F74" s="461"/>
      <c r="G74" s="461"/>
      <c r="H74" s="461"/>
      <c r="I74" s="461"/>
      <c r="J74" s="461"/>
      <c r="K74" s="462"/>
      <c r="L74" s="463"/>
      <c r="M74" s="464"/>
      <c r="N74" s="2519"/>
      <c r="O74" s="2519"/>
      <c r="P74" s="2518"/>
      <c r="Q74" s="2506"/>
      <c r="R74" s="2485"/>
      <c r="S74" s="2485"/>
      <c r="T74" s="2485"/>
      <c r="U74" s="2485"/>
      <c r="V74" s="2485"/>
      <c r="W74" s="2485"/>
      <c r="X74" s="2485"/>
      <c r="Y74" s="2485"/>
      <c r="Z74" s="2485"/>
      <c r="AA74" s="2485"/>
      <c r="AB74" s="2485"/>
      <c r="AC74" s="2485"/>
    </row>
    <row r="75" spans="1:29" ht="14.4" thickBot="1">
      <c r="A75" s="366"/>
      <c r="B75" s="465"/>
      <c r="C75" s="466"/>
      <c r="D75" s="466"/>
      <c r="E75" s="466"/>
      <c r="F75" s="466"/>
      <c r="G75" s="466"/>
      <c r="H75" s="466"/>
      <c r="I75" s="466"/>
      <c r="J75" s="466"/>
      <c r="K75" s="466"/>
      <c r="L75" s="466"/>
      <c r="M75" s="467"/>
      <c r="N75" s="2520"/>
      <c r="O75" s="2520"/>
      <c r="P75" s="2518"/>
      <c r="Q75" s="2506"/>
      <c r="R75" s="2485"/>
      <c r="S75" s="2485"/>
      <c r="T75" s="2485"/>
      <c r="U75" s="2485"/>
      <c r="V75" s="2485"/>
      <c r="W75" s="2485"/>
      <c r="X75" s="2485"/>
      <c r="Y75" s="2485"/>
      <c r="Z75" s="2485"/>
      <c r="AA75" s="2485"/>
      <c r="AB75" s="2485"/>
      <c r="AC75" s="2485"/>
    </row>
    <row r="76" spans="1:29" ht="29.4" thickTop="1">
      <c r="A76" s="366"/>
      <c r="B76" s="468" t="s">
        <v>1688</v>
      </c>
      <c r="C76" s="469"/>
      <c r="D76" s="469"/>
      <c r="E76" s="469"/>
      <c r="F76" s="469"/>
      <c r="G76" s="469"/>
      <c r="H76" s="469"/>
      <c r="I76" s="469"/>
      <c r="J76" s="469"/>
      <c r="K76" s="470"/>
      <c r="L76" s="471"/>
      <c r="M76" s="472"/>
      <c r="N76" s="2519"/>
      <c r="O76" s="2519"/>
      <c r="P76" s="2518"/>
      <c r="Q76" s="2506"/>
      <c r="R76" s="2485"/>
      <c r="S76" s="2485"/>
      <c r="T76" s="2485"/>
      <c r="U76" s="2485"/>
      <c r="V76" s="2485"/>
      <c r="W76" s="2485"/>
      <c r="X76" s="2485"/>
      <c r="Y76" s="2485"/>
      <c r="Z76" s="2485"/>
      <c r="AA76" s="2485"/>
      <c r="AB76" s="2485"/>
      <c r="AC76" s="2485"/>
    </row>
    <row r="77" spans="1:29" ht="14.4" thickBot="1">
      <c r="A77" s="366"/>
      <c r="B77" s="473"/>
      <c r="C77" s="474"/>
      <c r="D77" s="474"/>
      <c r="E77" s="474"/>
      <c r="F77" s="474"/>
      <c r="G77" s="474"/>
      <c r="H77" s="474"/>
      <c r="I77" s="474"/>
      <c r="J77" s="474"/>
      <c r="K77" s="474"/>
      <c r="L77" s="474"/>
      <c r="M77" s="475"/>
      <c r="N77" s="2520"/>
      <c r="O77" s="2520"/>
      <c r="P77" s="2518"/>
      <c r="Q77" s="2506"/>
      <c r="R77" s="2485"/>
      <c r="S77" s="2485"/>
      <c r="T77" s="2485"/>
      <c r="U77" s="2485"/>
      <c r="V77" s="2485"/>
      <c r="W77" s="2485"/>
      <c r="X77" s="2485"/>
      <c r="Y77" s="2485"/>
      <c r="Z77" s="2485"/>
      <c r="AA77" s="2485"/>
      <c r="AB77" s="2485"/>
      <c r="AC77" s="2485"/>
    </row>
    <row r="78" spans="1:29" ht="1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20"/>
      <c r="O78" s="2520"/>
      <c r="P78" s="2518"/>
      <c r="Q78" s="2506"/>
      <c r="R78" s="2485"/>
      <c r="S78" s="2485"/>
      <c r="T78" s="2485"/>
      <c r="U78" s="2485"/>
      <c r="V78" s="2485"/>
      <c r="W78" s="2485"/>
      <c r="X78" s="2485"/>
      <c r="Y78" s="2485"/>
      <c r="Z78" s="2485"/>
      <c r="AA78" s="2485"/>
      <c r="AB78" s="2485"/>
      <c r="AC78" s="2485"/>
    </row>
    <row r="79" spans="1:29">
      <c r="A79" s="366"/>
      <c r="B79" s="478"/>
      <c r="C79" s="479"/>
      <c r="D79" s="479"/>
      <c r="E79" s="479"/>
      <c r="F79" s="479"/>
      <c r="G79" s="479"/>
      <c r="H79" s="479"/>
      <c r="I79" s="479"/>
      <c r="J79" s="479"/>
      <c r="K79" s="480"/>
      <c r="L79" s="481"/>
      <c r="M79" s="482"/>
      <c r="N79" s="2519"/>
      <c r="O79" s="2519"/>
      <c r="P79" s="2518"/>
      <c r="Q79" s="2506"/>
      <c r="R79" s="2485"/>
      <c r="S79" s="2485"/>
      <c r="T79" s="2485"/>
      <c r="U79" s="2485"/>
      <c r="V79" s="2485"/>
      <c r="W79" s="2485"/>
      <c r="X79" s="2485"/>
      <c r="Y79" s="2485"/>
      <c r="Z79" s="2485"/>
      <c r="AA79" s="2485"/>
      <c r="AB79" s="2485"/>
      <c r="AC79" s="2485"/>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20"/>
      <c r="O80" s="2520"/>
      <c r="P80" s="2518"/>
      <c r="Q80" s="2506"/>
      <c r="R80" s="2485"/>
      <c r="S80" s="2485"/>
      <c r="T80" s="2485"/>
      <c r="U80" s="2485"/>
      <c r="V80" s="2485"/>
      <c r="W80" s="2485"/>
      <c r="X80" s="2485"/>
      <c r="Y80" s="2485"/>
      <c r="Z80" s="2485"/>
      <c r="AA80" s="2485"/>
      <c r="AB80" s="2485"/>
      <c r="AC80" s="2485"/>
    </row>
    <row r="81" spans="1:29" s="407" customFormat="1" ht="14.4" thickTop="1">
      <c r="A81" s="483"/>
      <c r="B81" s="468" t="str">
        <f>B12</f>
        <v>配建</v>
      </c>
      <c r="C81" s="484"/>
      <c r="D81" s="484"/>
      <c r="E81" s="484"/>
      <c r="F81" s="484"/>
      <c r="G81" s="484"/>
      <c r="H81" s="485"/>
      <c r="I81" s="485"/>
      <c r="J81" s="485"/>
      <c r="K81" s="485"/>
      <c r="L81" s="486"/>
      <c r="M81" s="487"/>
      <c r="N81" s="2521"/>
      <c r="O81" s="2521"/>
      <c r="P81" s="2521"/>
      <c r="Q81" s="2513"/>
      <c r="R81" s="2491"/>
      <c r="S81" s="2491"/>
      <c r="T81" s="2491"/>
      <c r="U81" s="2491"/>
      <c r="V81" s="2491"/>
      <c r="W81" s="2491"/>
      <c r="X81" s="2491"/>
      <c r="Y81" s="2491"/>
      <c r="Z81" s="2491"/>
      <c r="AA81" s="2491"/>
      <c r="AB81" s="2491"/>
      <c r="AC81" s="2491"/>
    </row>
    <row r="82" spans="1:29" s="407" customFormat="1" ht="14.4" thickBot="1">
      <c r="A82" s="483"/>
      <c r="B82" s="473"/>
      <c r="C82" s="490"/>
      <c r="D82" s="466"/>
      <c r="E82" s="466"/>
      <c r="F82" s="466"/>
      <c r="G82" s="466"/>
      <c r="H82" s="466"/>
      <c r="I82" s="466"/>
      <c r="J82" s="466"/>
      <c r="K82" s="466"/>
      <c r="L82" s="466"/>
      <c r="M82" s="467"/>
      <c r="N82" s="2520"/>
      <c r="O82" s="2520"/>
      <c r="P82" s="2521"/>
      <c r="Q82" s="2513"/>
      <c r="R82" s="2491"/>
      <c r="S82" s="2491"/>
      <c r="T82" s="2491"/>
      <c r="U82" s="2491"/>
      <c r="V82" s="2491"/>
      <c r="W82" s="2491"/>
      <c r="X82" s="2491"/>
      <c r="Y82" s="2491"/>
      <c r="Z82" s="2491"/>
      <c r="AA82" s="2491"/>
      <c r="AB82" s="2491"/>
      <c r="AC82" s="2491"/>
    </row>
    <row r="83" spans="1:29" s="407" customFormat="1" ht="14.4" thickTop="1">
      <c r="A83" s="483"/>
      <c r="B83" s="468">
        <f>B13</f>
        <v>111</v>
      </c>
      <c r="C83" s="484"/>
      <c r="D83" s="484"/>
      <c r="E83" s="484"/>
      <c r="F83" s="484"/>
      <c r="G83" s="484"/>
      <c r="H83" s="485"/>
      <c r="I83" s="485"/>
      <c r="J83" s="485"/>
      <c r="K83" s="485"/>
      <c r="L83" s="486"/>
      <c r="M83" s="487"/>
      <c r="N83" s="2521"/>
      <c r="O83" s="2521"/>
      <c r="P83" s="2491"/>
      <c r="Q83" s="2515"/>
      <c r="R83" s="2491"/>
      <c r="S83" s="2491"/>
      <c r="T83" s="2491"/>
      <c r="U83" s="2491"/>
      <c r="V83" s="2491"/>
      <c r="W83" s="2491"/>
      <c r="X83" s="2491"/>
      <c r="Y83" s="2491"/>
      <c r="Z83" s="2491"/>
      <c r="AA83" s="2491"/>
      <c r="AB83" s="2491"/>
      <c r="AC83" s="2491"/>
    </row>
    <row r="84" spans="1:29" s="407" customFormat="1" ht="14.4" thickBot="1">
      <c r="A84" s="483"/>
      <c r="B84" s="473"/>
      <c r="C84" s="490"/>
      <c r="D84" s="490"/>
      <c r="E84" s="490"/>
      <c r="F84" s="490"/>
      <c r="G84" s="490"/>
      <c r="H84" s="492"/>
      <c r="I84" s="492"/>
      <c r="J84" s="492"/>
      <c r="K84" s="492"/>
      <c r="L84" s="492"/>
      <c r="M84" s="493"/>
      <c r="N84" s="2521"/>
      <c r="O84" s="2521"/>
      <c r="P84" s="2521"/>
      <c r="Q84" s="2513"/>
      <c r="R84" s="2491"/>
      <c r="S84" s="2491"/>
      <c r="T84" s="2491"/>
      <c r="U84" s="2491"/>
      <c r="V84" s="2491"/>
      <c r="W84" s="2491"/>
      <c r="X84" s="2491"/>
      <c r="Y84" s="2491"/>
      <c r="Z84" s="2491"/>
      <c r="AA84" s="2491"/>
      <c r="AB84" s="2491"/>
      <c r="AC84" s="2491"/>
    </row>
    <row r="85" spans="1:29" s="407" customFormat="1" ht="14.4" thickTop="1">
      <c r="A85" s="483"/>
      <c r="B85" s="476">
        <f>B14</f>
        <v>111</v>
      </c>
      <c r="C85" s="31"/>
      <c r="D85" s="31"/>
      <c r="E85" s="31"/>
      <c r="F85" s="31"/>
      <c r="G85" s="31"/>
      <c r="H85" s="494"/>
      <c r="I85" s="494"/>
      <c r="J85" s="494"/>
      <c r="K85" s="494"/>
      <c r="L85" s="495"/>
      <c r="M85" s="496"/>
      <c r="N85" s="2521"/>
      <c r="O85" s="2521"/>
      <c r="P85" s="2546"/>
      <c r="Q85" s="2513"/>
      <c r="R85" s="2491"/>
      <c r="S85" s="2491"/>
      <c r="T85" s="2491"/>
      <c r="U85" s="2491"/>
      <c r="V85" s="2491"/>
      <c r="W85" s="2491"/>
      <c r="X85" s="2491"/>
      <c r="Y85" s="2491"/>
      <c r="Z85" s="2491"/>
      <c r="AA85" s="2491"/>
      <c r="AB85" s="2491"/>
      <c r="AC85" s="2491"/>
    </row>
    <row r="86" spans="1:29" s="407" customFormat="1" ht="14.4" thickBot="1">
      <c r="A86" s="498"/>
      <c r="B86" s="499"/>
      <c r="C86" s="500"/>
      <c r="D86" s="500"/>
      <c r="E86" s="500"/>
      <c r="F86" s="500"/>
      <c r="G86" s="500"/>
      <c r="H86" s="501"/>
      <c r="I86" s="501"/>
      <c r="J86" s="501"/>
      <c r="K86" s="501"/>
      <c r="L86" s="501"/>
      <c r="M86" s="502"/>
      <c r="N86" s="2521"/>
      <c r="O86" s="2521"/>
      <c r="P86" s="2521"/>
      <c r="Q86" s="2513"/>
      <c r="R86" s="2491"/>
      <c r="S86" s="2491"/>
      <c r="T86" s="2491"/>
      <c r="U86" s="2491"/>
      <c r="V86" s="2491"/>
      <c r="W86" s="2491"/>
      <c r="X86" s="2491"/>
      <c r="Y86" s="2491"/>
      <c r="Z86" s="2491"/>
      <c r="AA86" s="2491"/>
      <c r="AB86" s="2491"/>
      <c r="AC86" s="2491"/>
    </row>
    <row r="87" spans="1:29" ht="14.4">
      <c r="A87" s="378" t="s">
        <v>1690</v>
      </c>
      <c r="B87" s="459" t="s">
        <v>1720</v>
      </c>
      <c r="C87" s="503" t="s">
        <v>1721</v>
      </c>
      <c r="D87" s="503" t="s">
        <v>1722</v>
      </c>
      <c r="E87" s="503" t="s">
        <v>1723</v>
      </c>
      <c r="F87" s="503" t="s">
        <v>1724</v>
      </c>
      <c r="G87" s="503" t="s">
        <v>1725</v>
      </c>
      <c r="H87" s="460"/>
      <c r="I87" s="460"/>
      <c r="J87" s="460"/>
      <c r="K87" s="504"/>
      <c r="L87" s="505"/>
      <c r="M87" s="506"/>
      <c r="N87" s="2519"/>
      <c r="O87" s="2519"/>
      <c r="P87" s="2543"/>
      <c r="Q87" s="2506"/>
      <c r="R87" s="2485"/>
      <c r="S87" s="2485"/>
      <c r="T87" s="2485"/>
      <c r="U87" s="2485"/>
      <c r="V87" s="2485"/>
      <c r="W87" s="2485"/>
      <c r="X87" s="2485"/>
      <c r="Y87" s="2485"/>
      <c r="Z87" s="2485"/>
      <c r="AA87" s="2485"/>
      <c r="AB87" s="2485"/>
      <c r="AC87" s="2485"/>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20"/>
      <c r="O88" s="2520"/>
      <c r="P88" s="2518"/>
      <c r="Q88" s="2506"/>
      <c r="R88" s="2485"/>
      <c r="S88" s="2485"/>
      <c r="T88" s="2485"/>
      <c r="U88" s="2485"/>
      <c r="V88" s="2485"/>
      <c r="W88" s="2485"/>
      <c r="X88" s="2485"/>
      <c r="Y88" s="2485"/>
      <c r="Z88" s="2485"/>
      <c r="AA88" s="2485"/>
      <c r="AB88" s="2485"/>
      <c r="AC88" s="2485"/>
    </row>
    <row r="89" spans="1:29" ht="15" thickTop="1">
      <c r="A89" s="366"/>
      <c r="B89" s="468" t="s">
        <v>1906</v>
      </c>
      <c r="C89" s="508" t="s">
        <v>1721</v>
      </c>
      <c r="D89" s="508" t="s">
        <v>1722</v>
      </c>
      <c r="E89" s="508" t="s">
        <v>1723</v>
      </c>
      <c r="F89" s="508" t="s">
        <v>1724</v>
      </c>
      <c r="G89" s="508" t="s">
        <v>1725</v>
      </c>
      <c r="H89" s="469"/>
      <c r="I89" s="469"/>
      <c r="J89" s="469"/>
      <c r="K89" s="470"/>
      <c r="L89" s="471"/>
      <c r="M89" s="472"/>
      <c r="N89" s="2519"/>
      <c r="O89" s="2519"/>
      <c r="P89" s="2518"/>
      <c r="Q89" s="2506"/>
      <c r="R89" s="2485"/>
      <c r="S89" s="2485"/>
      <c r="T89" s="2485"/>
      <c r="U89" s="2485"/>
      <c r="V89" s="2485"/>
      <c r="W89" s="2485"/>
      <c r="X89" s="2485"/>
      <c r="Y89" s="2485"/>
      <c r="Z89" s="2485"/>
      <c r="AA89" s="2485"/>
      <c r="AB89" s="2485"/>
      <c r="AC89" s="2485"/>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20"/>
      <c r="O90" s="2520"/>
      <c r="P90" s="2518"/>
      <c r="Q90" s="2506"/>
      <c r="R90" s="2485"/>
      <c r="S90" s="2485"/>
      <c r="T90" s="2485"/>
      <c r="U90" s="2485"/>
      <c r="V90" s="2485"/>
      <c r="W90" s="2485"/>
      <c r="X90" s="2485"/>
      <c r="Y90" s="2485"/>
      <c r="Z90" s="2485"/>
      <c r="AA90" s="2485"/>
      <c r="AB90" s="2485"/>
      <c r="AC90" s="2485"/>
    </row>
    <row r="91" spans="1:29" ht="15" thickTop="1">
      <c r="A91" s="366"/>
      <c r="B91" s="468" t="s">
        <v>1821</v>
      </c>
      <c r="C91" s="508" t="s">
        <v>1721</v>
      </c>
      <c r="D91" s="508" t="s">
        <v>1722</v>
      </c>
      <c r="E91" s="508" t="s">
        <v>1723</v>
      </c>
      <c r="F91" s="508" t="s">
        <v>1724</v>
      </c>
      <c r="G91" s="508" t="s">
        <v>1725</v>
      </c>
      <c r="H91" s="469"/>
      <c r="I91" s="469"/>
      <c r="J91" s="469"/>
      <c r="K91" s="470"/>
      <c r="L91" s="471"/>
      <c r="M91" s="472"/>
      <c r="N91" s="2519"/>
      <c r="O91" s="2519"/>
      <c r="P91" s="2518"/>
      <c r="Q91" s="2506"/>
      <c r="R91" s="2485"/>
      <c r="S91" s="2485"/>
      <c r="T91" s="2485"/>
      <c r="U91" s="2485"/>
      <c r="V91" s="2485"/>
      <c r="W91" s="2485"/>
      <c r="X91" s="2485"/>
      <c r="Y91" s="2485"/>
      <c r="Z91" s="2485"/>
      <c r="AA91" s="2485"/>
      <c r="AB91" s="2485"/>
      <c r="AC91" s="2485"/>
    </row>
    <row r="92" spans="1:29" ht="14.4" thickBot="1">
      <c r="A92" s="366"/>
      <c r="B92" s="473"/>
      <c r="C92" s="474">
        <v>100</v>
      </c>
      <c r="D92" s="474">
        <f>C92-$K19</f>
        <v>100</v>
      </c>
      <c r="E92" s="474">
        <f>D92-$K19</f>
        <v>100</v>
      </c>
      <c r="F92" s="474">
        <f>E92-$K19</f>
        <v>100</v>
      </c>
      <c r="G92" s="474">
        <f>F92-$K19</f>
        <v>100</v>
      </c>
      <c r="H92" s="474"/>
      <c r="I92" s="474"/>
      <c r="J92" s="474"/>
      <c r="K92" s="474"/>
      <c r="L92" s="474"/>
      <c r="M92" s="475"/>
      <c r="N92" s="2520"/>
      <c r="O92" s="2520"/>
      <c r="P92" s="2518"/>
      <c r="Q92" s="2506"/>
      <c r="R92" s="2485"/>
      <c r="S92" s="2485"/>
      <c r="T92" s="2485"/>
      <c r="U92" s="2485"/>
      <c r="V92" s="2485"/>
      <c r="W92" s="2485"/>
      <c r="X92" s="2485"/>
      <c r="Y92" s="2485"/>
      <c r="Z92" s="2485"/>
      <c r="AA92" s="2485"/>
      <c r="AB92" s="2485"/>
      <c r="AC92" s="2485"/>
    </row>
    <row r="93" spans="1:29" ht="15" thickTop="1">
      <c r="A93" s="366"/>
      <c r="B93" s="468" t="s">
        <v>1726</v>
      </c>
      <c r="C93" s="508" t="s">
        <v>1721</v>
      </c>
      <c r="D93" s="508" t="s">
        <v>1722</v>
      </c>
      <c r="E93" s="508" t="s">
        <v>1723</v>
      </c>
      <c r="F93" s="508" t="s">
        <v>1724</v>
      </c>
      <c r="G93" s="508" t="s">
        <v>1725</v>
      </c>
      <c r="H93" s="469"/>
      <c r="I93" s="469"/>
      <c r="J93" s="469"/>
      <c r="K93" s="470"/>
      <c r="L93" s="471"/>
      <c r="M93" s="472"/>
      <c r="N93" s="2519"/>
      <c r="O93" s="2519"/>
      <c r="P93" s="2518"/>
      <c r="Q93" s="2506"/>
      <c r="R93" s="2485"/>
      <c r="S93" s="2485"/>
      <c r="T93" s="2485"/>
      <c r="U93" s="2485"/>
      <c r="V93" s="2485"/>
      <c r="W93" s="2485"/>
      <c r="X93" s="2485"/>
      <c r="Y93" s="2485"/>
      <c r="Z93" s="2485"/>
      <c r="AA93" s="2485"/>
      <c r="AB93" s="2485"/>
      <c r="AC93" s="2485"/>
    </row>
    <row r="94" spans="1:29" ht="14.4" thickBot="1">
      <c r="A94" s="366"/>
      <c r="B94" s="473"/>
      <c r="C94" s="474">
        <v>100</v>
      </c>
      <c r="D94" s="474">
        <f>C94-$K21</f>
        <v>100</v>
      </c>
      <c r="E94" s="474">
        <f>D94-$K21</f>
        <v>100</v>
      </c>
      <c r="F94" s="474">
        <f>E94-$K21</f>
        <v>100</v>
      </c>
      <c r="G94" s="474">
        <f>F94-$K21</f>
        <v>100</v>
      </c>
      <c r="H94" s="474"/>
      <c r="I94" s="474"/>
      <c r="J94" s="474"/>
      <c r="K94" s="474"/>
      <c r="L94" s="474"/>
      <c r="M94" s="475"/>
      <c r="N94" s="2520"/>
      <c r="O94" s="2520"/>
      <c r="P94" s="2518"/>
      <c r="Q94" s="2506"/>
      <c r="R94" s="2485"/>
      <c r="S94" s="2485"/>
      <c r="T94" s="2485"/>
      <c r="U94" s="2485"/>
      <c r="V94" s="2485"/>
      <c r="W94" s="2485"/>
      <c r="X94" s="2485"/>
      <c r="Y94" s="2485"/>
      <c r="Z94" s="2485"/>
      <c r="AA94" s="2485"/>
      <c r="AB94" s="2485"/>
      <c r="AC94" s="2485"/>
    </row>
    <row r="95" spans="1:29" s="101" customFormat="1" ht="29.4" thickTop="1">
      <c r="A95" s="369"/>
      <c r="B95" s="468" t="s">
        <v>1907</v>
      </c>
      <c r="C95" s="508" t="s">
        <v>1721</v>
      </c>
      <c r="D95" s="508" t="s">
        <v>1722</v>
      </c>
      <c r="E95" s="508" t="s">
        <v>1723</v>
      </c>
      <c r="F95" s="508" t="s">
        <v>1724</v>
      </c>
      <c r="G95" s="508" t="s">
        <v>1725</v>
      </c>
      <c r="H95" s="508"/>
      <c r="I95" s="508"/>
      <c r="J95" s="508"/>
      <c r="K95" s="508"/>
      <c r="L95" s="617"/>
      <c r="M95" s="546"/>
      <c r="N95" s="2518"/>
      <c r="O95" s="2518"/>
      <c r="P95" s="2518"/>
      <c r="Q95" s="2506"/>
      <c r="R95" s="2438"/>
      <c r="S95" s="2438"/>
      <c r="T95" s="2438"/>
      <c r="U95" s="2438"/>
      <c r="V95" s="2438"/>
      <c r="W95" s="2438"/>
      <c r="X95" s="2438"/>
      <c r="Y95" s="2438"/>
      <c r="Z95" s="2438"/>
      <c r="AA95" s="2438"/>
      <c r="AB95" s="2438"/>
      <c r="AC95" s="2438"/>
    </row>
    <row r="96" spans="1:29" s="101" customFormat="1" ht="14.4" thickBot="1">
      <c r="A96" s="369"/>
      <c r="B96" s="473"/>
      <c r="C96" s="511">
        <v>100</v>
      </c>
      <c r="D96" s="474">
        <f>C96-$K23</f>
        <v>100</v>
      </c>
      <c r="E96" s="474">
        <f>D96-$K23</f>
        <v>100</v>
      </c>
      <c r="F96" s="474">
        <f>E96-$K23</f>
        <v>100</v>
      </c>
      <c r="G96" s="474">
        <f>F96-$K23</f>
        <v>100</v>
      </c>
      <c r="H96" s="474"/>
      <c r="I96" s="474"/>
      <c r="J96" s="474"/>
      <c r="K96" s="474"/>
      <c r="L96" s="474"/>
      <c r="M96" s="475"/>
      <c r="N96" s="2520"/>
      <c r="O96" s="2520"/>
      <c r="P96" s="2518"/>
      <c r="Q96" s="2506"/>
      <c r="R96" s="2438"/>
      <c r="S96" s="2438"/>
      <c r="T96" s="2438"/>
      <c r="U96" s="2438"/>
      <c r="V96" s="2438"/>
      <c r="W96" s="2438"/>
      <c r="X96" s="2438"/>
      <c r="Y96" s="2438"/>
      <c r="Z96" s="2438"/>
      <c r="AA96" s="2438"/>
      <c r="AB96" s="2438"/>
      <c r="AC96" s="2438"/>
    </row>
    <row r="97" spans="1:29" s="101" customFormat="1" ht="29.4" thickTop="1">
      <c r="A97" s="369"/>
      <c r="B97" s="468" t="s">
        <v>1908</v>
      </c>
      <c r="C97" s="503" t="s">
        <v>1721</v>
      </c>
      <c r="D97" s="503" t="s">
        <v>1722</v>
      </c>
      <c r="E97" s="503" t="s">
        <v>1723</v>
      </c>
      <c r="F97" s="503" t="s">
        <v>1724</v>
      </c>
      <c r="G97" s="503" t="s">
        <v>1725</v>
      </c>
      <c r="H97" s="508"/>
      <c r="I97" s="508"/>
      <c r="J97" s="508"/>
      <c r="K97" s="508"/>
      <c r="L97" s="508"/>
      <c r="M97" s="546"/>
      <c r="N97" s="2518"/>
      <c r="O97" s="2518"/>
      <c r="P97" s="2518"/>
      <c r="Q97" s="2506"/>
      <c r="R97" s="2438"/>
      <c r="S97" s="2438"/>
      <c r="T97" s="2438"/>
      <c r="U97" s="2438"/>
      <c r="V97" s="2438"/>
      <c r="W97" s="2438"/>
      <c r="X97" s="2438"/>
      <c r="Y97" s="2438"/>
      <c r="Z97" s="2438"/>
      <c r="AA97" s="2438"/>
      <c r="AB97" s="2438"/>
      <c r="AC97" s="2438"/>
    </row>
    <row r="98" spans="1:29" s="101" customFormat="1" ht="14.4" thickBot="1">
      <c r="A98" s="369"/>
      <c r="B98" s="473"/>
      <c r="C98" s="474">
        <v>100</v>
      </c>
      <c r="D98" s="474">
        <f>C98-$K25</f>
        <v>100</v>
      </c>
      <c r="E98" s="474">
        <f>D98-$K25</f>
        <v>100</v>
      </c>
      <c r="F98" s="474">
        <f>E98-$K25</f>
        <v>100</v>
      </c>
      <c r="G98" s="474">
        <f>F98-$K25</f>
        <v>100</v>
      </c>
      <c r="H98" s="474"/>
      <c r="I98" s="474"/>
      <c r="J98" s="474"/>
      <c r="K98" s="474"/>
      <c r="L98" s="474"/>
      <c r="M98" s="475"/>
      <c r="N98" s="2520"/>
      <c r="O98" s="2520"/>
      <c r="P98" s="2518"/>
      <c r="Q98" s="2506"/>
      <c r="R98" s="2438"/>
      <c r="S98" s="2438"/>
      <c r="T98" s="2438"/>
      <c r="U98" s="2438"/>
      <c r="V98" s="2438"/>
      <c r="W98" s="2438"/>
      <c r="X98" s="2438"/>
      <c r="Y98" s="2438"/>
      <c r="Z98" s="2438"/>
      <c r="AA98" s="2438"/>
      <c r="AB98" s="2438"/>
      <c r="AC98" s="2438"/>
    </row>
    <row r="99" spans="1:29" s="407" customFormat="1" ht="15" thickTop="1">
      <c r="A99" s="483"/>
      <c r="B99" s="468" t="s">
        <v>1778</v>
      </c>
      <c r="C99" s="503" t="s">
        <v>1721</v>
      </c>
      <c r="D99" s="503" t="s">
        <v>1722</v>
      </c>
      <c r="E99" s="503" t="s">
        <v>1723</v>
      </c>
      <c r="F99" s="503" t="s">
        <v>1724</v>
      </c>
      <c r="G99" s="503" t="s">
        <v>1725</v>
      </c>
      <c r="H99" s="526"/>
      <c r="I99" s="526"/>
      <c r="J99" s="526"/>
      <c r="K99" s="526"/>
      <c r="L99" s="527"/>
      <c r="M99" s="528"/>
      <c r="N99" s="2521"/>
      <c r="O99" s="2521"/>
      <c r="P99" s="2521"/>
      <c r="Q99" s="2513"/>
      <c r="R99" s="2491"/>
      <c r="S99" s="2491"/>
      <c r="T99" s="2491"/>
      <c r="U99" s="2491"/>
      <c r="V99" s="2491"/>
      <c r="W99" s="2491"/>
      <c r="X99" s="2491"/>
      <c r="Y99" s="2491"/>
      <c r="Z99" s="2491"/>
      <c r="AA99" s="2491"/>
      <c r="AB99" s="2491"/>
      <c r="AC99" s="2491"/>
    </row>
    <row r="100" spans="1:29" s="407" customFormat="1" ht="14.4" thickBot="1">
      <c r="A100" s="483"/>
      <c r="B100" s="473"/>
      <c r="C100" s="474">
        <v>100</v>
      </c>
      <c r="D100" s="474">
        <f>C100-$K27</f>
        <v>100</v>
      </c>
      <c r="E100" s="474">
        <f>D100-$K27</f>
        <v>100</v>
      </c>
      <c r="F100" s="474">
        <f>E100-$K27</f>
        <v>100</v>
      </c>
      <c r="G100" s="474">
        <f>F100-$K27</f>
        <v>100</v>
      </c>
      <c r="H100" s="533"/>
      <c r="I100" s="533"/>
      <c r="J100" s="533"/>
      <c r="K100" s="533"/>
      <c r="L100" s="533"/>
      <c r="M100" s="534"/>
      <c r="N100" s="2521"/>
      <c r="O100" s="2521"/>
      <c r="P100" s="2521"/>
      <c r="Q100" s="2513"/>
      <c r="R100" s="2491"/>
      <c r="S100" s="2491"/>
      <c r="T100" s="2491"/>
      <c r="U100" s="2491"/>
      <c r="V100" s="2491"/>
      <c r="W100" s="2491"/>
      <c r="X100" s="2491"/>
      <c r="Y100" s="2491"/>
      <c r="Z100" s="2491"/>
      <c r="AA100" s="2491"/>
      <c r="AB100" s="2491"/>
      <c r="AC100" s="2491"/>
    </row>
    <row r="101" spans="1:29" s="407" customFormat="1" ht="15" thickTop="1">
      <c r="A101" s="483"/>
      <c r="B101" s="476" t="s">
        <v>1779</v>
      </c>
      <c r="C101" s="580" t="s">
        <v>1799</v>
      </c>
      <c r="D101" s="580" t="s">
        <v>1800</v>
      </c>
      <c r="E101" s="580" t="s">
        <v>1801</v>
      </c>
      <c r="F101" s="580" t="s">
        <v>1802</v>
      </c>
      <c r="G101" s="580" t="s">
        <v>1803</v>
      </c>
      <c r="H101" s="526"/>
      <c r="I101" s="526"/>
      <c r="J101" s="526"/>
      <c r="K101" s="526"/>
      <c r="L101" s="526"/>
      <c r="M101" s="1064"/>
      <c r="N101" s="2521"/>
      <c r="O101" s="2521"/>
      <c r="P101" s="2521"/>
      <c r="Q101" s="2513"/>
      <c r="R101" s="2491"/>
      <c r="S101" s="2491"/>
      <c r="T101" s="2491"/>
      <c r="U101" s="2491"/>
      <c r="V101" s="2491"/>
      <c r="W101" s="2491"/>
      <c r="X101" s="2491"/>
      <c r="Y101" s="2491"/>
      <c r="Z101" s="2491"/>
      <c r="AA101" s="2491"/>
      <c r="AB101" s="2491"/>
      <c r="AC101" s="2491"/>
    </row>
    <row r="102" spans="1:29" s="407" customFormat="1" ht="14.4" thickBot="1">
      <c r="A102" s="483"/>
      <c r="B102" s="476"/>
      <c r="C102" s="474">
        <v>100</v>
      </c>
      <c r="D102" s="474">
        <f>C102-$K29</f>
        <v>100</v>
      </c>
      <c r="E102" s="474">
        <f>D102-$K29</f>
        <v>100</v>
      </c>
      <c r="F102" s="474">
        <f>E102-$K29</f>
        <v>100</v>
      </c>
      <c r="G102" s="474">
        <f>F102-$K29</f>
        <v>100</v>
      </c>
      <c r="H102" s="478"/>
      <c r="I102" s="478"/>
      <c r="J102" s="478"/>
      <c r="K102" s="478"/>
      <c r="L102" s="478"/>
      <c r="M102" s="1064"/>
      <c r="N102" s="2521"/>
      <c r="O102" s="2521"/>
      <c r="P102" s="2521"/>
      <c r="Q102" s="2513"/>
      <c r="R102" s="2491"/>
      <c r="S102" s="2491"/>
      <c r="T102" s="2491"/>
      <c r="U102" s="2491"/>
      <c r="V102" s="2491"/>
      <c r="W102" s="2491"/>
      <c r="X102" s="2491"/>
      <c r="Y102" s="2491"/>
      <c r="Z102" s="2491"/>
      <c r="AA102" s="2491"/>
      <c r="AB102" s="2491"/>
      <c r="AC102" s="2491"/>
    </row>
    <row r="103" spans="1:29" ht="15" thickTop="1">
      <c r="A103" s="366"/>
      <c r="B103" s="468" t="str">
        <f>B31</f>
        <v>临街状况</v>
      </c>
      <c r="C103" s="469" t="s">
        <v>1909</v>
      </c>
      <c r="D103" s="469" t="s">
        <v>1910</v>
      </c>
      <c r="E103" s="469" t="s">
        <v>1911</v>
      </c>
      <c r="F103" s="469" t="s">
        <v>1912</v>
      </c>
      <c r="G103" s="469"/>
      <c r="H103" s="469"/>
      <c r="I103" s="469"/>
      <c r="J103" s="469"/>
      <c r="K103" s="470"/>
      <c r="L103" s="471"/>
      <c r="M103" s="472"/>
      <c r="N103" s="2519"/>
      <c r="O103" s="2519"/>
      <c r="P103" s="2518"/>
      <c r="Q103" s="2506"/>
      <c r="R103" s="2485"/>
      <c r="S103" s="2485"/>
      <c r="T103" s="2485"/>
      <c r="U103" s="2485"/>
      <c r="V103" s="2485"/>
      <c r="W103" s="2485"/>
      <c r="X103" s="2485"/>
      <c r="Y103" s="2485"/>
      <c r="Z103" s="2485"/>
      <c r="AA103" s="2485"/>
      <c r="AB103" s="2485"/>
      <c r="AC103" s="2485"/>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6"/>
      <c r="B105" s="468" t="s">
        <v>1815</v>
      </c>
      <c r="C105" s="484"/>
      <c r="D105" s="484"/>
      <c r="E105" s="484"/>
      <c r="F105" s="484"/>
      <c r="G105" s="484"/>
      <c r="H105" s="512"/>
      <c r="I105" s="512"/>
      <c r="J105" s="512"/>
      <c r="K105" s="513"/>
      <c r="L105" s="514"/>
      <c r="M105" s="515"/>
      <c r="N105" s="2519"/>
      <c r="O105" s="2519"/>
      <c r="P105" s="2518"/>
      <c r="Q105" s="2506"/>
      <c r="R105" s="2485"/>
      <c r="S105" s="2485"/>
      <c r="T105" s="2485"/>
      <c r="U105" s="2485"/>
      <c r="V105" s="2485"/>
      <c r="W105" s="2485"/>
      <c r="X105" s="2485"/>
      <c r="Y105" s="2485"/>
      <c r="Z105" s="2485"/>
      <c r="AA105" s="2485"/>
      <c r="AB105" s="2485"/>
      <c r="AC105" s="2485"/>
    </row>
    <row r="106" spans="1:29" ht="14.4"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6"/>
      <c r="B107" s="468" t="s">
        <v>1873</v>
      </c>
      <c r="C107" s="512"/>
      <c r="D107" s="512"/>
      <c r="E107" s="512"/>
      <c r="F107" s="512"/>
      <c r="G107" s="512"/>
      <c r="H107" s="512"/>
      <c r="I107" s="512"/>
      <c r="J107" s="512"/>
      <c r="K107" s="513"/>
      <c r="L107" s="514"/>
      <c r="M107" s="515"/>
      <c r="N107" s="2519"/>
      <c r="O107" s="2519"/>
      <c r="P107" s="2518"/>
      <c r="Q107" s="2506"/>
      <c r="R107" s="2485"/>
      <c r="S107" s="2485"/>
      <c r="T107" s="2485"/>
      <c r="U107" s="2485"/>
      <c r="V107" s="2485"/>
      <c r="W107" s="2485"/>
      <c r="X107" s="2485"/>
      <c r="Y107" s="2485"/>
      <c r="Z107" s="2485"/>
      <c r="AA107" s="2485"/>
      <c r="AB107" s="2485"/>
      <c r="AC107" s="2485"/>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6"/>
      <c r="B109" s="476">
        <f>B35</f>
        <v>111</v>
      </c>
      <c r="C109" s="484"/>
      <c r="D109" s="484"/>
      <c r="E109" s="484"/>
      <c r="F109" s="484"/>
      <c r="G109" s="516"/>
      <c r="H109" s="516"/>
      <c r="I109" s="516"/>
      <c r="J109" s="516"/>
      <c r="K109" s="517"/>
      <c r="L109" s="518"/>
      <c r="M109" s="519"/>
      <c r="N109" s="2519"/>
      <c r="O109" s="2519"/>
      <c r="P109" s="2518"/>
      <c r="Q109" s="2506"/>
      <c r="R109" s="2485"/>
      <c r="S109" s="2485"/>
      <c r="T109" s="2485"/>
      <c r="U109" s="2485"/>
      <c r="V109" s="2485"/>
      <c r="W109" s="2485"/>
      <c r="X109" s="2485"/>
      <c r="Y109" s="2485"/>
      <c r="Z109" s="2485"/>
      <c r="AA109" s="2485"/>
      <c r="AB109" s="2485"/>
      <c r="AC109" s="2485"/>
    </row>
    <row r="110" spans="1:29" ht="14.4" thickBot="1">
      <c r="A110" s="366"/>
      <c r="B110" s="499"/>
      <c r="C110" s="490"/>
      <c r="D110" s="490"/>
      <c r="E110" s="490"/>
      <c r="F110" s="490"/>
      <c r="G110" s="520"/>
      <c r="H110" s="520"/>
      <c r="I110" s="520"/>
      <c r="J110" s="520"/>
      <c r="K110" s="520"/>
      <c r="L110" s="520"/>
      <c r="M110" s="521"/>
      <c r="N110" s="2520"/>
      <c r="O110" s="2520"/>
      <c r="P110" s="2518"/>
      <c r="Q110" s="2506"/>
      <c r="R110" s="2485"/>
      <c r="S110" s="2485"/>
      <c r="T110" s="2485"/>
      <c r="U110" s="2485"/>
      <c r="V110" s="2485"/>
      <c r="W110" s="2485"/>
      <c r="X110" s="2485"/>
      <c r="Y110" s="2485"/>
      <c r="Z110" s="2485"/>
      <c r="AA110" s="2485"/>
      <c r="AB110" s="2485"/>
      <c r="AC110" s="2485"/>
    </row>
    <row r="111" spans="1:29" ht="14.4" thickTop="1">
      <c r="A111" s="594"/>
      <c r="B111" s="468">
        <f>B36</f>
        <v>111</v>
      </c>
      <c r="C111" s="31"/>
      <c r="D111" s="31"/>
      <c r="E111" s="31"/>
      <c r="F111" s="31"/>
      <c r="G111" s="512"/>
      <c r="H111" s="512"/>
      <c r="I111" s="512"/>
      <c r="J111" s="512"/>
      <c r="K111" s="513"/>
      <c r="L111" s="514"/>
      <c r="M111" s="515"/>
      <c r="N111" s="2519"/>
      <c r="O111" s="2519"/>
      <c r="P111" s="2518"/>
      <c r="Q111" s="2506"/>
      <c r="R111" s="2485"/>
      <c r="S111" s="2485"/>
      <c r="T111" s="2485"/>
      <c r="U111" s="2485"/>
      <c r="V111" s="2485"/>
      <c r="W111" s="2485"/>
      <c r="X111" s="2485"/>
      <c r="Y111" s="2485"/>
      <c r="Z111" s="2485"/>
      <c r="AA111" s="2485"/>
      <c r="AB111" s="2485"/>
      <c r="AC111" s="2485"/>
    </row>
    <row r="112" spans="1:29" ht="14.4" thickBot="1">
      <c r="A112" s="366"/>
      <c r="B112" s="473"/>
      <c r="C112" s="500"/>
      <c r="D112" s="500"/>
      <c r="E112" s="500"/>
      <c r="F112" s="500"/>
      <c r="G112" s="466"/>
      <c r="H112" s="466"/>
      <c r="I112" s="466"/>
      <c r="J112" s="466"/>
      <c r="K112" s="466"/>
      <c r="L112" s="466"/>
      <c r="M112" s="467"/>
      <c r="N112" s="2520"/>
      <c r="O112" s="2520"/>
      <c r="P112" s="2518"/>
      <c r="Q112" s="2506"/>
      <c r="R112" s="2485"/>
      <c r="S112" s="2485"/>
      <c r="T112" s="2485"/>
      <c r="U112" s="2485"/>
      <c r="V112" s="2485"/>
      <c r="W112" s="2485"/>
      <c r="X112" s="2485"/>
      <c r="Y112" s="2485"/>
      <c r="Z112" s="2485"/>
      <c r="AA112" s="2485"/>
      <c r="AB112" s="2485"/>
      <c r="AC112" s="2485"/>
    </row>
    <row r="113" spans="1:29" s="407" customFormat="1" ht="14.4" thickTop="1">
      <c r="A113" s="405"/>
      <c r="B113" s="522">
        <f>B37</f>
        <v>111</v>
      </c>
      <c r="C113" s="6"/>
      <c r="D113" s="6"/>
      <c r="E113" s="6"/>
      <c r="F113" s="6"/>
      <c r="G113" s="6"/>
      <c r="H113" s="6"/>
      <c r="I113" s="6"/>
      <c r="J113" s="523"/>
      <c r="K113" s="523"/>
      <c r="L113" s="524"/>
      <c r="M113" s="525"/>
      <c r="N113" s="2521"/>
      <c r="O113" s="2521"/>
      <c r="P113" s="2521"/>
      <c r="Q113" s="2513"/>
      <c r="R113" s="2491"/>
      <c r="S113" s="2491"/>
      <c r="T113" s="2491"/>
      <c r="U113" s="2491"/>
      <c r="V113" s="2491"/>
      <c r="W113" s="2491"/>
      <c r="X113" s="2491"/>
      <c r="Y113" s="2491"/>
      <c r="Z113" s="2491"/>
      <c r="AA113" s="2491"/>
      <c r="AB113" s="2491"/>
      <c r="AC113" s="2491"/>
    </row>
    <row r="114" spans="1:29" s="407" customFormat="1" ht="14.4" thickBot="1">
      <c r="A114" s="483"/>
      <c r="B114" s="476"/>
      <c r="C114" s="445"/>
      <c r="D114" s="596"/>
      <c r="E114" s="596"/>
      <c r="F114" s="596"/>
      <c r="G114" s="596"/>
      <c r="H114" s="596"/>
      <c r="I114" s="596"/>
      <c r="J114" s="596"/>
      <c r="K114" s="596"/>
      <c r="L114" s="596"/>
      <c r="M114" s="618"/>
      <c r="N114" s="2520"/>
      <c r="O114" s="2520"/>
      <c r="P114" s="2521"/>
      <c r="Q114" s="2513"/>
      <c r="R114" s="2491"/>
      <c r="S114" s="2491"/>
      <c r="T114" s="2491"/>
      <c r="U114" s="2491"/>
      <c r="V114" s="2491"/>
      <c r="W114" s="2491"/>
      <c r="X114" s="2491"/>
      <c r="Y114" s="2491"/>
      <c r="Z114" s="2491"/>
      <c r="AA114" s="2491"/>
      <c r="AB114" s="2491"/>
      <c r="AC114" s="2491"/>
    </row>
    <row r="115" spans="1:29" ht="14.4">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6"/>
      <c r="B116" s="476"/>
      <c r="C116" s="6"/>
      <c r="D116" s="6"/>
      <c r="E116" s="6"/>
      <c r="F116" s="6"/>
      <c r="G116" s="6"/>
      <c r="H116" s="6"/>
      <c r="I116" s="6"/>
      <c r="J116" s="523"/>
      <c r="K116" s="523"/>
      <c r="L116" s="524"/>
      <c r="M116" s="525"/>
      <c r="N116" s="2519"/>
      <c r="O116" s="2519"/>
      <c r="P116" s="2518"/>
      <c r="Q116" s="2506"/>
      <c r="R116" s="2485"/>
      <c r="S116" s="2485"/>
      <c r="T116" s="2485"/>
      <c r="U116" s="2485"/>
      <c r="V116" s="2485"/>
      <c r="W116" s="2485"/>
      <c r="X116" s="2485"/>
      <c r="Y116" s="2485"/>
      <c r="Z116" s="2485"/>
      <c r="AA116" s="2485"/>
      <c r="AB116" s="2485"/>
      <c r="AC116" s="2485"/>
    </row>
    <row r="117" spans="1:29" ht="14.4" thickBot="1">
      <c r="A117" s="366"/>
      <c r="B117" s="473"/>
      <c r="C117" s="500"/>
      <c r="D117" s="520"/>
      <c r="E117" s="520"/>
      <c r="F117" s="520"/>
      <c r="G117" s="520"/>
      <c r="H117" s="520"/>
      <c r="I117" s="520"/>
      <c r="J117" s="520"/>
      <c r="K117" s="520"/>
      <c r="L117" s="520"/>
      <c r="M117" s="521"/>
      <c r="N117" s="2520"/>
      <c r="O117" s="2520"/>
      <c r="P117" s="2518"/>
      <c r="Q117" s="2506"/>
      <c r="R117" s="2485"/>
      <c r="S117" s="2485"/>
      <c r="T117" s="2485"/>
      <c r="U117" s="2485"/>
      <c r="V117" s="2485"/>
      <c r="W117" s="2485"/>
      <c r="X117" s="2485"/>
      <c r="Y117" s="2485"/>
      <c r="Z117" s="2485"/>
      <c r="AA117" s="2485"/>
      <c r="AB117" s="2485"/>
      <c r="AC117" s="2485"/>
    </row>
    <row r="118" spans="1:29" ht="15" thickTop="1">
      <c r="A118" s="408"/>
      <c r="B118" s="468" t="s">
        <v>1914</v>
      </c>
      <c r="C118" s="512"/>
      <c r="D118" s="512"/>
      <c r="E118" s="512"/>
      <c r="F118" s="512"/>
      <c r="G118" s="512"/>
      <c r="H118" s="512"/>
      <c r="I118" s="512"/>
      <c r="J118" s="512"/>
      <c r="K118" s="513"/>
      <c r="L118" s="514"/>
      <c r="M118" s="515"/>
      <c r="N118" s="2519"/>
      <c r="O118" s="2519"/>
      <c r="P118" s="2518"/>
      <c r="Q118" s="2506"/>
      <c r="R118" s="2485"/>
      <c r="S118" s="2485"/>
      <c r="T118" s="2485"/>
      <c r="U118" s="2485"/>
      <c r="V118" s="2485"/>
      <c r="W118" s="2485"/>
      <c r="X118" s="2485"/>
      <c r="Y118" s="2485"/>
      <c r="Z118" s="2485"/>
      <c r="AA118" s="2485"/>
      <c r="AB118" s="2485"/>
      <c r="AC118" s="2485"/>
    </row>
    <row r="119" spans="1:29" ht="14.4"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8"/>
      <c r="B120" s="468" t="s">
        <v>1915</v>
      </c>
      <c r="C120" s="484"/>
      <c r="D120" s="484"/>
      <c r="E120" s="484"/>
      <c r="F120" s="512"/>
      <c r="G120" s="512"/>
      <c r="H120" s="512"/>
      <c r="I120" s="512"/>
      <c r="J120" s="512"/>
      <c r="K120" s="513"/>
      <c r="L120" s="514"/>
      <c r="M120" s="515"/>
      <c r="N120" s="2519"/>
      <c r="O120" s="2519"/>
      <c r="P120" s="2518"/>
      <c r="Q120" s="2506"/>
      <c r="R120" s="2485"/>
      <c r="S120" s="2485"/>
      <c r="T120" s="2485"/>
      <c r="U120" s="2485"/>
      <c r="V120" s="2485"/>
      <c r="W120" s="2485"/>
      <c r="X120" s="2485"/>
      <c r="Y120" s="2485"/>
      <c r="Z120" s="2485"/>
      <c r="AA120" s="2485"/>
      <c r="AB120" s="2485"/>
      <c r="AC120" s="2485"/>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20"/>
      <c r="O121" s="2520"/>
      <c r="P121" s="2518"/>
      <c r="Q121" s="2506"/>
      <c r="R121" s="2485"/>
      <c r="S121" s="2485"/>
      <c r="T121" s="2485"/>
      <c r="U121" s="2485"/>
      <c r="V121" s="2485"/>
      <c r="W121" s="2485"/>
      <c r="X121" s="2485"/>
      <c r="Y121" s="2485"/>
      <c r="Z121" s="2485"/>
      <c r="AA121" s="2485"/>
      <c r="AB121" s="2485"/>
      <c r="AC121" s="2485"/>
    </row>
    <row r="122" spans="1:29" s="407" customFormat="1" ht="15" thickTop="1">
      <c r="A122" s="405"/>
      <c r="B122" s="468" t="s">
        <v>1916</v>
      </c>
      <c r="C122" s="484"/>
      <c r="D122" s="484"/>
      <c r="E122" s="484"/>
      <c r="F122" s="484"/>
      <c r="G122" s="484"/>
      <c r="H122" s="512"/>
      <c r="I122" s="512"/>
      <c r="J122" s="512"/>
      <c r="K122" s="513"/>
      <c r="L122" s="514"/>
      <c r="M122" s="515"/>
      <c r="N122" s="2521"/>
      <c r="O122" s="2521"/>
      <c r="P122" s="2521"/>
      <c r="Q122" s="2513"/>
      <c r="R122" s="2491"/>
      <c r="S122" s="2491"/>
      <c r="T122" s="2491"/>
      <c r="U122" s="2491"/>
      <c r="V122" s="2491"/>
      <c r="W122" s="2491"/>
      <c r="X122" s="2491"/>
      <c r="Y122" s="2491"/>
      <c r="Z122" s="2491"/>
      <c r="AA122" s="2491"/>
      <c r="AB122" s="2491"/>
      <c r="AC122" s="2491"/>
    </row>
    <row r="123" spans="1:29" s="407" customFormat="1" ht="14.4"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8"/>
      <c r="B124" s="468" t="s">
        <v>1917</v>
      </c>
      <c r="C124" s="484"/>
      <c r="D124" s="484"/>
      <c r="E124" s="512"/>
      <c r="F124" s="512"/>
      <c r="G124" s="512"/>
      <c r="H124" s="512"/>
      <c r="I124" s="512"/>
      <c r="J124" s="512"/>
      <c r="K124" s="513"/>
      <c r="L124" s="514"/>
      <c r="M124" s="515"/>
      <c r="N124" s="2519"/>
      <c r="O124" s="2519"/>
      <c r="P124" s="2518"/>
      <c r="Q124" s="2506"/>
      <c r="R124" s="2485"/>
      <c r="S124" s="2485"/>
      <c r="T124" s="2485"/>
      <c r="U124" s="2485"/>
      <c r="V124" s="2485"/>
      <c r="W124" s="2485"/>
      <c r="X124" s="2485"/>
      <c r="Y124" s="2485"/>
      <c r="Z124" s="2485"/>
      <c r="AA124" s="2485"/>
      <c r="AB124" s="2485"/>
      <c r="AC124" s="2485"/>
    </row>
    <row r="125" spans="1:29" ht="14.4"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8"/>
      <c r="B126" s="468">
        <f>B43</f>
        <v>111</v>
      </c>
      <c r="C126" s="484"/>
      <c r="D126" s="484"/>
      <c r="E126" s="484"/>
      <c r="F126" s="484"/>
      <c r="G126" s="484"/>
      <c r="H126" s="512"/>
      <c r="I126" s="512"/>
      <c r="J126" s="512"/>
      <c r="K126" s="513"/>
      <c r="L126" s="514"/>
      <c r="M126" s="515"/>
      <c r="N126" s="2519"/>
      <c r="O126" s="2519"/>
      <c r="P126" s="2518"/>
      <c r="Q126" s="2506"/>
      <c r="R126" s="2485"/>
      <c r="S126" s="2485"/>
      <c r="T126" s="2485"/>
      <c r="U126" s="2485"/>
      <c r="V126" s="2485"/>
      <c r="W126" s="2485"/>
      <c r="X126" s="2485"/>
      <c r="Y126" s="2485"/>
      <c r="Z126" s="2485"/>
      <c r="AA126" s="2485"/>
      <c r="AB126" s="2485"/>
      <c r="AC126" s="2485"/>
    </row>
    <row r="127" spans="1:29" ht="14.4" thickBot="1">
      <c r="A127" s="366"/>
      <c r="B127" s="473"/>
      <c r="C127" s="490"/>
      <c r="D127" s="490"/>
      <c r="E127" s="490"/>
      <c r="F127" s="490"/>
      <c r="G127" s="466"/>
      <c r="H127" s="466"/>
      <c r="I127" s="466"/>
      <c r="J127" s="466"/>
      <c r="K127" s="466"/>
      <c r="L127" s="466"/>
      <c r="M127" s="467"/>
      <c r="N127" s="2520"/>
      <c r="O127" s="2520"/>
      <c r="P127" s="2518"/>
      <c r="Q127" s="2506"/>
      <c r="R127" s="2485"/>
      <c r="S127" s="2485"/>
      <c r="T127" s="2485"/>
      <c r="U127" s="2485"/>
      <c r="V127" s="2485"/>
      <c r="W127" s="2485"/>
      <c r="X127" s="2485"/>
      <c r="Y127" s="2485"/>
      <c r="Z127" s="2485"/>
      <c r="AA127" s="2485"/>
      <c r="AB127" s="2485"/>
      <c r="AC127" s="2485"/>
    </row>
    <row r="128" spans="1:29" ht="14.4" thickTop="1">
      <c r="A128" s="408"/>
      <c r="B128" s="468">
        <f>B44</f>
        <v>111</v>
      </c>
      <c r="C128" s="31"/>
      <c r="D128" s="31"/>
      <c r="E128" s="31"/>
      <c r="F128" s="31"/>
      <c r="G128" s="512"/>
      <c r="H128" s="512"/>
      <c r="I128" s="512"/>
      <c r="J128" s="512"/>
      <c r="K128" s="513"/>
      <c r="L128" s="514"/>
      <c r="M128" s="515"/>
      <c r="N128" s="2519"/>
      <c r="O128" s="2519"/>
      <c r="P128" s="2518"/>
      <c r="Q128" s="2506"/>
      <c r="R128" s="2485"/>
      <c r="S128" s="2485"/>
      <c r="T128" s="2485"/>
      <c r="U128" s="2485"/>
      <c r="V128" s="2485"/>
      <c r="W128" s="2485"/>
      <c r="X128" s="2485"/>
      <c r="Y128" s="2485"/>
      <c r="Z128" s="2485"/>
      <c r="AA128" s="2485"/>
      <c r="AB128" s="2485"/>
      <c r="AC128" s="2485"/>
    </row>
    <row r="129" spans="1:29" ht="14.4" thickBot="1">
      <c r="A129" s="366"/>
      <c r="B129" s="473"/>
      <c r="C129" s="500"/>
      <c r="D129" s="500"/>
      <c r="E129" s="500"/>
      <c r="F129" s="500"/>
      <c r="G129" s="466"/>
      <c r="H129" s="466"/>
      <c r="I129" s="466"/>
      <c r="J129" s="466"/>
      <c r="K129" s="466"/>
      <c r="L129" s="466"/>
      <c r="M129" s="467"/>
      <c r="N129" s="2520"/>
      <c r="O129" s="2520"/>
      <c r="P129" s="2518"/>
      <c r="Q129" s="2506"/>
      <c r="R129" s="2485"/>
      <c r="S129" s="2485"/>
      <c r="T129" s="2485"/>
      <c r="U129" s="2485"/>
      <c r="V129" s="2485"/>
      <c r="W129" s="2485"/>
      <c r="X129" s="2485"/>
      <c r="Y129" s="2485"/>
      <c r="Z129" s="2485"/>
      <c r="AA129" s="2485"/>
      <c r="AB129" s="2485"/>
      <c r="AC129" s="2485"/>
    </row>
    <row r="130" spans="1:29" s="407" customFormat="1" ht="14.4" thickTop="1">
      <c r="A130" s="405"/>
      <c r="B130" s="468">
        <f>B45</f>
        <v>111</v>
      </c>
      <c r="C130" s="31"/>
      <c r="D130" s="31"/>
      <c r="E130" s="31"/>
      <c r="F130" s="31"/>
      <c r="G130" s="485"/>
      <c r="H130" s="485"/>
      <c r="I130" s="485"/>
      <c r="J130" s="485"/>
      <c r="K130" s="485"/>
      <c r="L130" s="486"/>
      <c r="M130" s="487"/>
      <c r="N130" s="2521"/>
      <c r="O130" s="2521"/>
      <c r="P130" s="2521"/>
      <c r="Q130" s="2513"/>
      <c r="R130" s="2491"/>
      <c r="S130" s="2491"/>
      <c r="T130" s="2491"/>
      <c r="U130" s="2491"/>
      <c r="V130" s="2491"/>
      <c r="W130" s="2491"/>
      <c r="X130" s="2491"/>
      <c r="Y130" s="2491"/>
      <c r="Z130" s="2491"/>
      <c r="AA130" s="2491"/>
      <c r="AB130" s="2491"/>
      <c r="AC130" s="2491"/>
    </row>
    <row r="131" spans="1:29" s="407" customFormat="1" ht="14.4" thickBot="1">
      <c r="A131" s="498"/>
      <c r="B131" s="619"/>
      <c r="C131" s="500"/>
      <c r="D131" s="500"/>
      <c r="E131" s="500"/>
      <c r="F131" s="500"/>
      <c r="G131" s="520"/>
      <c r="H131" s="520"/>
      <c r="I131" s="520"/>
      <c r="J131" s="520"/>
      <c r="K131" s="520"/>
      <c r="L131" s="520"/>
      <c r="M131" s="521"/>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60" priority="13" stopIfTrue="1">
      <formula>$F$51="超过30%"</formula>
    </cfRule>
  </conditionalFormatting>
  <conditionalFormatting sqref="E52">
    <cfRule type="expression" dxfId="59" priority="11" stopIfTrue="1">
      <formula>$F$52="超过20%"</formula>
    </cfRule>
  </conditionalFormatting>
  <conditionalFormatting sqref="E53">
    <cfRule type="expression" dxfId="58" priority="10" stopIfTrue="1">
      <formula>$F$53="超过30%"</formula>
    </cfRule>
  </conditionalFormatting>
  <conditionalFormatting sqref="F7:F45 H7:H45 J7:J45">
    <cfRule type="cellIs" dxfId="57" priority="1" operator="notEqual">
      <formula>100</formula>
    </cfRule>
  </conditionalFormatting>
  <conditionalFormatting sqref="F47">
    <cfRule type="expression" dxfId="56" priority="4">
      <formula>$D$47="简单平均"</formula>
    </cfRule>
  </conditionalFormatting>
  <conditionalFormatting sqref="F51:F53 H51:H53 J51:J53">
    <cfRule type="containsText" dxfId="55" priority="14" stopIfTrue="1" operator="containsText" text="超过">
      <formula>NOT(ISERROR(SEARCH("超过",F51)))</formula>
    </cfRule>
  </conditionalFormatting>
  <conditionalFormatting sqref="G51">
    <cfRule type="expression" dxfId="54" priority="9" stopIfTrue="1">
      <formula>$H$53+$H$51="超过30%"</formula>
    </cfRule>
  </conditionalFormatting>
  <conditionalFormatting sqref="G52">
    <cfRule type="expression" dxfId="53" priority="8" stopIfTrue="1">
      <formula>$H$52="超过20%"</formula>
    </cfRule>
  </conditionalFormatting>
  <conditionalFormatting sqref="G53">
    <cfRule type="expression" dxfId="52" priority="12" stopIfTrue="1">
      <formula>$H$53="超过30%"</formula>
    </cfRule>
  </conditionalFormatting>
  <conditionalFormatting sqref="H47">
    <cfRule type="expression" dxfId="51" priority="3">
      <formula>$D$47="简单平均"</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J47">
    <cfRule type="expression" dxfId="47" priority="2">
      <formula>$D$47="简单平均"</formula>
    </cfRule>
  </conditionalFormatting>
  <dataValidations count="25">
    <dataValidation type="list" allowBlank="1" showInputMessage="1" showErrorMessage="1" sqref="C25" xr:uid="{00000000-0002-0000-2200-000000000000}">
      <formula1>住宅朝向</formula1>
    </dataValidation>
    <dataValidation type="list" allowBlank="1" showInputMessage="1" showErrorMessage="1" sqref="E28 C28 G28 I28" xr:uid="{00000000-0002-0000-2200-000001000000}">
      <formula1>公共配套设施</formula1>
    </dataValidation>
    <dataValidation type="list" allowBlank="1" showInputMessage="1" showErrorMessage="1" sqref="E22 C22 G22 I22" xr:uid="{00000000-0002-0000-2200-000002000000}">
      <formula1>交通便捷度</formula1>
    </dataValidation>
    <dataValidation type="list" allowBlank="1" showInputMessage="1" showErrorMessage="1" sqref="E16 G16 I16 C16" xr:uid="{00000000-0002-0000-2200-000003000000}">
      <formula1>居住社区成熟度</formula1>
    </dataValidation>
    <dataValidation type="list" allowBlank="1" showInputMessage="1" showErrorMessage="1" sqref="C26 E26 G26 I26" xr:uid="{00000000-0002-0000-2200-000004000000}">
      <formula1>环境</formula1>
    </dataValidation>
    <dataValidation type="list" allowBlank="1" showInputMessage="1" showErrorMessage="1" sqref="B46" xr:uid="{00000000-0002-0000-2200-000005000000}">
      <formula1>单价内涵</formula1>
    </dataValidation>
    <dataValidation type="list" allowBlank="1" showInputMessage="1" showErrorMessage="1" sqref="C8 E8 G8 I8" xr:uid="{00000000-0002-0000-2200-000006000000}">
      <formula1>套综交易情况</formula1>
    </dataValidation>
    <dataValidation type="list" allowBlank="1" showInputMessage="1" showErrorMessage="1" sqref="C9 E9 G9 I9" xr:uid="{00000000-0002-0000-2200-000007000000}">
      <formula1>套综用途</formula1>
    </dataValidation>
    <dataValidation type="list" allowBlank="1" showInputMessage="1" showErrorMessage="1" sqref="E18 C18 G18 I18" xr:uid="{00000000-0002-0000-2200-000008000000}">
      <formula1>商业繁华度</formula1>
    </dataValidation>
    <dataValidation type="list" allowBlank="1" showInputMessage="1" showErrorMessage="1" sqref="E20 C20 G20 I20" xr:uid="{00000000-0002-0000-2200-000009000000}">
      <formula1>办公集聚程度</formula1>
    </dataValidation>
    <dataValidation type="list" allowBlank="1" showInputMessage="1" showErrorMessage="1" sqref="C33 E33 G33 I33" xr:uid="{00000000-0002-0000-2200-00000A000000}">
      <formula1>套综道路等级</formula1>
    </dataValidation>
    <dataValidation type="list" allowBlank="1" showInputMessage="1" showErrorMessage="1" sqref="C34 E34 G34 I34" xr:uid="{00000000-0002-0000-2200-00000B000000}">
      <formula1>套综土地级别</formula1>
    </dataValidation>
    <dataValidation type="list" allowBlank="1" showInputMessage="1" showErrorMessage="1" sqref="C39 E39 G39 I39" xr:uid="{00000000-0002-0000-2200-00000C000000}">
      <formula1>套综宗地形状</formula1>
    </dataValidation>
    <dataValidation type="list" allowBlank="1" showInputMessage="1" showErrorMessage="1" sqref="C40 E40 G40 I40" xr:uid="{00000000-0002-0000-2200-00000D000000}">
      <formula1>套综临街宽度及深度</formula1>
    </dataValidation>
    <dataValidation type="list" allowBlank="1" showInputMessage="1" showErrorMessage="1" sqref="C41 E41 G41 I41" xr:uid="{00000000-0002-0000-2200-00000E000000}">
      <formula1>套综宗地内开发程度</formula1>
    </dataValidation>
    <dataValidation type="list" allowBlank="1" showInputMessage="1" showErrorMessage="1" sqref="C42 E42 G42 I42" xr:uid="{00000000-0002-0000-2200-00000F000000}">
      <formula1>套综工程地质条件</formula1>
    </dataValidation>
    <dataValidation type="list" allowBlank="1" showInputMessage="1" showErrorMessage="1" sqref="C31 E31 G31 I31" xr:uid="{00000000-0002-0000-2200-000010000000}">
      <formula1>临街状况</formula1>
    </dataValidation>
    <dataValidation type="list" allowBlank="1" showInputMessage="1" showErrorMessage="1" sqref="E24 G24 I24 C24" xr:uid="{00000000-0002-0000-2200-000011000000}">
      <formula1>区域土地利用方向</formula1>
    </dataValidation>
    <dataValidation type="list" allowBlank="1" showInputMessage="1" showErrorMessage="1" sqref="C55" xr:uid="{00000000-0002-0000-2200-000012000000}">
      <formula1>"北京市系数,其他省市系数"</formula1>
    </dataValidation>
    <dataValidation type="list" allowBlank="1" showInputMessage="1" showErrorMessage="1" sqref="G61" xr:uid="{00000000-0002-0000-2200-000013000000}">
      <formula1>"商业,办公,住宅,工业"</formula1>
    </dataValidation>
    <dataValidation type="list" allowBlank="1" showInputMessage="1" showErrorMessage="1" sqref="G62" xr:uid="{00000000-0002-0000-2200-000014000000}">
      <formula1>"住宅,工业"</formula1>
    </dataValidation>
    <dataValidation type="list" allowBlank="1" showInputMessage="1" showErrorMessage="1" sqref="C30 E30 G30 I30" xr:uid="{00000000-0002-0000-2200-000015000000}">
      <formula1>基础设施水平</formula1>
    </dataValidation>
    <dataValidation type="list" allowBlank="1" showInputMessage="1" showErrorMessage="1" sqref="A70" xr:uid="{00000000-0002-0000-2200-000016000000}">
      <formula1>"综合,商业,办公,住宅"</formula1>
    </dataValidation>
    <dataValidation type="list" allowBlank="1" showInputMessage="1" showErrorMessage="1" sqref="D47" xr:uid="{00000000-0002-0000-2200-000017000000}">
      <formula1>"简单平均,加权平均"</formula1>
    </dataValidation>
    <dataValidation type="list" allowBlank="1" showInputMessage="1" showErrorMessage="1" sqref="D57:D64" xr:uid="{00000000-0002-0000-2200-000018000000}">
      <formula1>"25%,1"</formula1>
    </dataValidation>
  </dataValidations>
  <pageMargins left="0.70866141732283472" right="0.70866141732283472" top="1.0629921259842521" bottom="0.94488188976377963" header="0.31496062992125984" footer="0.31496062992125984"/>
  <pageSetup paperSize="9" scale="41"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1"/>
      <c r="M3" s="2502"/>
      <c r="N3" s="2502"/>
      <c r="O3" s="2502"/>
      <c r="P3" s="340"/>
      <c r="Q3" s="340"/>
      <c r="R3" s="340"/>
      <c r="S3" s="340"/>
      <c r="T3" s="340"/>
      <c r="U3" s="340"/>
      <c r="V3" s="340"/>
      <c r="W3" s="340"/>
      <c r="X3" s="340"/>
      <c r="Y3" s="340"/>
      <c r="Z3" s="340"/>
      <c r="AA3" s="340"/>
      <c r="AB3" s="675"/>
      <c r="AC3" s="662"/>
    </row>
    <row r="4" spans="1:29" ht="14.4">
      <c r="A4" s="344" t="s">
        <v>1769</v>
      </c>
      <c r="B4" s="345"/>
      <c r="C4" s="3401" t="s">
        <v>1770</v>
      </c>
      <c r="D4" s="3402"/>
      <c r="E4" s="3403" t="s">
        <v>1771</v>
      </c>
      <c r="F4" s="3404"/>
      <c r="G4" s="3401" t="s">
        <v>1772</v>
      </c>
      <c r="H4" s="3402"/>
      <c r="I4" s="3401" t="s">
        <v>1773</v>
      </c>
      <c r="J4" s="3402"/>
      <c r="K4" s="536" t="s">
        <v>1774</v>
      </c>
      <c r="L4" s="2484"/>
      <c r="M4" s="2485"/>
      <c r="N4" s="2485"/>
      <c r="O4" s="2485"/>
      <c r="P4" s="3405" t="s">
        <v>1775</v>
      </c>
      <c r="Q4" s="3406"/>
      <c r="R4" s="3411" t="s">
        <v>1771</v>
      </c>
      <c r="S4" s="3412"/>
      <c r="T4" s="3411" t="s">
        <v>1772</v>
      </c>
      <c r="U4" s="3412"/>
      <c r="V4" s="3384" t="s">
        <v>1773</v>
      </c>
      <c r="W4" s="3384"/>
      <c r="X4" s="1264"/>
      <c r="Y4" s="3411" t="s">
        <v>1775</v>
      </c>
      <c r="Z4" s="3412"/>
      <c r="AA4" s="3398" t="s">
        <v>1771</v>
      </c>
      <c r="AB4" s="3399" t="s">
        <v>1772</v>
      </c>
      <c r="AC4" s="3398" t="s">
        <v>1773</v>
      </c>
    </row>
    <row r="5" spans="1:29">
      <c r="A5" s="347"/>
      <c r="B5" s="348"/>
      <c r="C5" s="3419" t="s">
        <v>1673</v>
      </c>
      <c r="D5" s="3420"/>
      <c r="E5" s="3427" t="s">
        <v>1674</v>
      </c>
      <c r="F5" s="3428"/>
      <c r="G5" s="3419" t="s">
        <v>1675</v>
      </c>
      <c r="H5" s="3420"/>
      <c r="I5" s="3419" t="s">
        <v>1676</v>
      </c>
      <c r="J5" s="3420"/>
      <c r="K5" s="536"/>
      <c r="L5" s="2484"/>
      <c r="M5" s="2485"/>
      <c r="N5" s="2485"/>
      <c r="O5" s="2485"/>
      <c r="P5" s="3407"/>
      <c r="Q5" s="3408"/>
      <c r="R5" s="3413"/>
      <c r="S5" s="3414"/>
      <c r="T5" s="3413"/>
      <c r="U5" s="3414"/>
      <c r="V5" s="3384"/>
      <c r="W5" s="3384"/>
      <c r="X5" s="1264"/>
      <c r="Y5" s="3413"/>
      <c r="Z5" s="3414"/>
      <c r="AA5" s="3399"/>
      <c r="AB5" s="3399"/>
      <c r="AC5" s="3399"/>
    </row>
    <row r="6" spans="1:29" ht="15" thickBot="1">
      <c r="A6" s="349"/>
      <c r="B6" s="350"/>
      <c r="C6" s="3470" t="s">
        <v>1919</v>
      </c>
      <c r="D6" s="3471"/>
      <c r="E6" s="3472" t="s">
        <v>1919</v>
      </c>
      <c r="F6" s="3473"/>
      <c r="G6" s="3470" t="s">
        <v>1919</v>
      </c>
      <c r="H6" s="3471"/>
      <c r="I6" s="3470" t="s">
        <v>1919</v>
      </c>
      <c r="J6" s="3471"/>
      <c r="K6" s="536" t="s">
        <v>1678</v>
      </c>
      <c r="L6" s="2484"/>
      <c r="M6" s="2485"/>
      <c r="N6" s="2485"/>
      <c r="O6" s="2485"/>
      <c r="P6" s="3409"/>
      <c r="Q6" s="3410"/>
      <c r="R6" s="3413"/>
      <c r="S6" s="3414"/>
      <c r="T6" s="3415"/>
      <c r="U6" s="3416"/>
      <c r="V6" s="3384"/>
      <c r="W6" s="3384"/>
      <c r="X6" s="1264"/>
      <c r="Y6" s="3415"/>
      <c r="Z6" s="3416"/>
      <c r="AA6" s="3400"/>
      <c r="AB6" s="3400"/>
      <c r="AC6" s="3400"/>
    </row>
    <row r="7" spans="1:29" s="101" customFormat="1" ht="15" thickBot="1">
      <c r="A7" s="351" t="s">
        <v>1679</v>
      </c>
      <c r="B7" s="352"/>
      <c r="C7" s="353">
        <f>'数据-取费表'!B2</f>
        <v>45562</v>
      </c>
      <c r="D7" s="354">
        <v>100</v>
      </c>
      <c r="E7" s="355"/>
      <c r="F7" s="356">
        <f>SUMIF(65:65,YEAR(E7)&amp;"-"&amp;INT((MONTH(E7)+2)/3),66:66)</f>
        <v>0</v>
      </c>
      <c r="G7" s="1821"/>
      <c r="H7" s="354">
        <f>SUMIF(65:65,YEAR(G7)&amp;"-"&amp;INT((MONTH(G7)+2)/3),66:66)</f>
        <v>0</v>
      </c>
      <c r="I7" s="1821"/>
      <c r="J7" s="354">
        <f>SUMIF(65:65,YEAR(I7)&amp;"-"&amp;INT((MONTH(I7)+2)/3),66:66)</f>
        <v>0</v>
      </c>
      <c r="K7" s="38"/>
      <c r="L7" s="2486"/>
      <c r="M7" s="2438"/>
      <c r="N7" s="2438"/>
      <c r="O7" s="2438"/>
      <c r="P7" s="3421" t="s">
        <v>1680</v>
      </c>
      <c r="Q7" s="3423"/>
      <c r="R7" s="663" t="s">
        <v>14</v>
      </c>
      <c r="S7" s="664">
        <f t="shared" ref="S7:S15" si="0">F7</f>
        <v>0</v>
      </c>
      <c r="T7" s="663" t="s">
        <v>14</v>
      </c>
      <c r="U7" s="664">
        <f t="shared" ref="U7:U15" si="1">H7</f>
        <v>0</v>
      </c>
      <c r="V7" s="663" t="s">
        <v>14</v>
      </c>
      <c r="W7" s="664">
        <f t="shared" ref="W7:W15" si="2">J7</f>
        <v>0</v>
      </c>
      <c r="X7" s="665"/>
      <c r="Y7" s="3421" t="s">
        <v>1680</v>
      </c>
      <c r="Z7" s="3422"/>
      <c r="AA7" s="50" t="e">
        <f>D7/F7</f>
        <v>#DIV/0!</v>
      </c>
      <c r="AB7" s="50" t="e">
        <f>D7/H7</f>
        <v>#DIV/0!</v>
      </c>
      <c r="AC7" s="50" t="e">
        <f>D7/J7</f>
        <v>#DIV/0!</v>
      </c>
    </row>
    <row r="8" spans="1:29" s="101" customFormat="1" ht="1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6"/>
      <c r="M8" s="2438"/>
      <c r="N8" s="2438"/>
      <c r="O8" s="2438"/>
      <c r="P8" s="3421" t="s">
        <v>1683</v>
      </c>
      <c r="Q8" s="3422"/>
      <c r="R8" s="663" t="s">
        <v>14</v>
      </c>
      <c r="S8" s="664">
        <f t="shared" si="0"/>
        <v>0</v>
      </c>
      <c r="T8" s="663" t="s">
        <v>14</v>
      </c>
      <c r="U8" s="664">
        <f t="shared" si="1"/>
        <v>0</v>
      </c>
      <c r="V8" s="663" t="s">
        <v>14</v>
      </c>
      <c r="W8" s="664">
        <f t="shared" si="2"/>
        <v>0</v>
      </c>
      <c r="X8" s="665"/>
      <c r="Y8" s="3421" t="s">
        <v>1683</v>
      </c>
      <c r="Z8" s="3422"/>
      <c r="AA8" s="50" t="e">
        <f t="shared" ref="AA8:AA40" si="3">D8/F8</f>
        <v>#DIV/0!</v>
      </c>
      <c r="AB8" s="50" t="e">
        <f t="shared" ref="AB8:AB40" si="4">D8/H8</f>
        <v>#DIV/0!</v>
      </c>
      <c r="AC8" s="50" t="e">
        <f t="shared" ref="AC8:AC40" si="5">D8/J8</f>
        <v>#DIV/0!</v>
      </c>
    </row>
    <row r="9" spans="1:29" s="101" customFormat="1" ht="14.4">
      <c r="A9" s="358"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6"/>
      <c r="M9" s="2438"/>
      <c r="N9" s="2438"/>
      <c r="O9" s="2538"/>
      <c r="P9" s="3383" t="s">
        <v>1686</v>
      </c>
      <c r="Q9" s="529" t="str">
        <f t="shared" ref="Q9:Q15" si="6">B9</f>
        <v>用途</v>
      </c>
      <c r="R9" s="663" t="s">
        <v>14</v>
      </c>
      <c r="S9" s="664">
        <f t="shared" si="0"/>
        <v>100</v>
      </c>
      <c r="T9" s="663" t="s">
        <v>14</v>
      </c>
      <c r="U9" s="664">
        <f t="shared" si="1"/>
        <v>100</v>
      </c>
      <c r="V9" s="663" t="s">
        <v>14</v>
      </c>
      <c r="W9" s="664">
        <f t="shared" si="2"/>
        <v>100</v>
      </c>
      <c r="X9" s="665"/>
      <c r="Y9" s="3290"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370"/>
      <c r="F10" s="118">
        <f>ROUND(100/'数据-取费表'!G16,0)</f>
        <v>152</v>
      </c>
      <c r="G10" s="370"/>
      <c r="H10" s="118">
        <f>ROUND(100/'数据-取费表'!G16,0)</f>
        <v>152</v>
      </c>
      <c r="I10" s="370"/>
      <c r="J10" s="118">
        <f>ROUND(100/'数据-取费表'!G16,0)</f>
        <v>152</v>
      </c>
      <c r="K10" s="591"/>
      <c r="L10" s="2487"/>
      <c r="M10" s="2488"/>
      <c r="N10" s="2488"/>
      <c r="O10" s="2539"/>
      <c r="P10" s="3383"/>
      <c r="Q10" s="529" t="str">
        <f t="shared" si="6"/>
        <v>土地使用年限（年）</v>
      </c>
      <c r="R10" s="663" t="s">
        <v>14</v>
      </c>
      <c r="S10" s="664">
        <f t="shared" si="0"/>
        <v>152</v>
      </c>
      <c r="T10" s="663" t="s">
        <v>14</v>
      </c>
      <c r="U10" s="664">
        <f t="shared" si="1"/>
        <v>152</v>
      </c>
      <c r="V10" s="663" t="s">
        <v>14</v>
      </c>
      <c r="W10" s="664">
        <f t="shared" si="2"/>
        <v>152</v>
      </c>
      <c r="X10" s="665"/>
      <c r="Y10" s="3290"/>
      <c r="Z10" s="50" t="str">
        <f t="shared" si="7"/>
        <v>土地使用年限（年）</v>
      </c>
      <c r="AA10" s="50">
        <f t="shared" si="3"/>
        <v>0.65789473684210531</v>
      </c>
      <c r="AB10" s="50">
        <f t="shared" si="4"/>
        <v>0.65789473684210531</v>
      </c>
      <c r="AC10" s="50">
        <f t="shared" si="5"/>
        <v>0.65789473684210531</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9"/>
      <c r="M11" s="2485"/>
      <c r="N11" s="2485"/>
      <c r="O11" s="2540"/>
      <c r="P11" s="3383"/>
      <c r="Q11" s="529" t="str">
        <f t="shared" si="6"/>
        <v>容积率</v>
      </c>
      <c r="R11" s="663" t="s">
        <v>14</v>
      </c>
      <c r="S11" s="664" t="e">
        <f t="shared" si="0"/>
        <v>#N/A</v>
      </c>
      <c r="T11" s="663" t="s">
        <v>14</v>
      </c>
      <c r="U11" s="664" t="e">
        <f t="shared" si="1"/>
        <v>#N/A</v>
      </c>
      <c r="V11" s="663" t="s">
        <v>14</v>
      </c>
      <c r="W11" s="664" t="e">
        <f t="shared" si="2"/>
        <v>#N/A</v>
      </c>
      <c r="X11" s="665"/>
      <c r="Y11" s="3290"/>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6"/>
      <c r="M12" s="2438"/>
      <c r="N12" s="2438"/>
      <c r="O12" s="2538"/>
      <c r="P12" s="3383"/>
      <c r="Q12" s="529">
        <f t="shared" si="6"/>
        <v>111</v>
      </c>
      <c r="R12" s="663" t="s">
        <v>14</v>
      </c>
      <c r="S12" s="664">
        <f t="shared" si="0"/>
        <v>100</v>
      </c>
      <c r="T12" s="663" t="s">
        <v>14</v>
      </c>
      <c r="U12" s="664">
        <f t="shared" si="1"/>
        <v>100</v>
      </c>
      <c r="V12" s="663" t="s">
        <v>14</v>
      </c>
      <c r="W12" s="664">
        <f t="shared" si="2"/>
        <v>100</v>
      </c>
      <c r="X12" s="665"/>
      <c r="Y12" s="3290"/>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0"/>
      <c r="M13" s="2485"/>
      <c r="N13" s="2485"/>
      <c r="O13" s="2540"/>
      <c r="P13" s="3383"/>
      <c r="Q13" s="529">
        <f t="shared" si="6"/>
        <v>111</v>
      </c>
      <c r="R13" s="663" t="s">
        <v>14</v>
      </c>
      <c r="S13" s="664">
        <f t="shared" si="0"/>
        <v>100</v>
      </c>
      <c r="T13" s="663" t="s">
        <v>14</v>
      </c>
      <c r="U13" s="664">
        <f t="shared" si="1"/>
        <v>100</v>
      </c>
      <c r="V13" s="663" t="s">
        <v>14</v>
      </c>
      <c r="W13" s="664">
        <f t="shared" si="2"/>
        <v>100</v>
      </c>
      <c r="X13" s="665"/>
      <c r="Y13" s="3290"/>
      <c r="Z13" s="50">
        <f t="shared" si="7"/>
        <v>111</v>
      </c>
      <c r="AA13" s="50">
        <f t="shared" si="3"/>
        <v>1</v>
      </c>
      <c r="AB13" s="50">
        <f t="shared" si="4"/>
        <v>1</v>
      </c>
      <c r="AC13" s="50">
        <f t="shared" si="5"/>
        <v>1</v>
      </c>
    </row>
    <row r="14" spans="1:29" ht="15.6"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90"/>
      <c r="M14" s="2485"/>
      <c r="N14" s="2485"/>
      <c r="O14" s="2540"/>
      <c r="P14" s="3383"/>
      <c r="Q14" s="529">
        <f t="shared" si="6"/>
        <v>111</v>
      </c>
      <c r="R14" s="663" t="s">
        <v>14</v>
      </c>
      <c r="S14" s="664">
        <f t="shared" si="0"/>
        <v>100</v>
      </c>
      <c r="T14" s="663" t="s">
        <v>14</v>
      </c>
      <c r="U14" s="664">
        <f t="shared" si="1"/>
        <v>100</v>
      </c>
      <c r="V14" s="663" t="s">
        <v>14</v>
      </c>
      <c r="W14" s="664">
        <f t="shared" si="2"/>
        <v>100</v>
      </c>
      <c r="X14" s="665"/>
      <c r="Y14" s="3290"/>
      <c r="Z14" s="50">
        <f t="shared" si="7"/>
        <v>111</v>
      </c>
      <c r="AA14" s="50">
        <f t="shared" si="3"/>
        <v>1</v>
      </c>
      <c r="AB14" s="50">
        <f t="shared" si="4"/>
        <v>1</v>
      </c>
      <c r="AC14" s="50">
        <f t="shared" si="5"/>
        <v>1</v>
      </c>
    </row>
    <row r="15" spans="1:29" ht="69">
      <c r="A15" s="378" t="s">
        <v>1690</v>
      </c>
      <c r="B15" s="553" t="s">
        <v>1920</v>
      </c>
      <c r="C15" s="1818"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90"/>
      <c r="M15" s="2485"/>
      <c r="N15" s="2485"/>
      <c r="O15" s="2540"/>
      <c r="P15" s="3390" t="s">
        <v>1691</v>
      </c>
      <c r="Q15" s="1262" t="str">
        <f t="shared" si="6"/>
        <v>产业集聚程度</v>
      </c>
      <c r="R15" s="666" t="s">
        <v>14</v>
      </c>
      <c r="S15" s="667">
        <f t="shared" si="0"/>
        <v>100</v>
      </c>
      <c r="T15" s="666" t="s">
        <v>14</v>
      </c>
      <c r="U15" s="667">
        <f t="shared" si="1"/>
        <v>100</v>
      </c>
      <c r="V15" s="666" t="s">
        <v>14</v>
      </c>
      <c r="W15" s="667">
        <f t="shared" si="2"/>
        <v>100</v>
      </c>
      <c r="X15" s="1264"/>
      <c r="Y15" s="3390" t="s">
        <v>1691</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90"/>
      <c r="M16" s="2485"/>
      <c r="N16" s="2485"/>
      <c r="O16" s="2540"/>
      <c r="P16" s="3391"/>
      <c r="Q16" s="1262"/>
      <c r="R16" s="666"/>
      <c r="S16" s="667"/>
      <c r="T16" s="666"/>
      <c r="U16" s="667"/>
      <c r="V16" s="666"/>
      <c r="W16" s="667"/>
      <c r="X16" s="1264"/>
      <c r="Y16" s="3391"/>
      <c r="Z16" s="1263"/>
      <c r="AA16" s="1263">
        <v>1</v>
      </c>
      <c r="AB16" s="1263">
        <v>1</v>
      </c>
      <c r="AC16" s="1263">
        <v>1</v>
      </c>
    </row>
    <row r="17" spans="1:29" ht="96.6">
      <c r="A17" s="366"/>
      <c r="B17" s="555" t="s">
        <v>1833</v>
      </c>
      <c r="C17" s="1753"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90"/>
      <c r="M17" s="2485"/>
      <c r="N17" s="2485"/>
      <c r="O17" s="2540"/>
      <c r="P17" s="3391"/>
      <c r="Q17" s="1262" t="str">
        <f>B17</f>
        <v>交通便捷度</v>
      </c>
      <c r="R17" s="666" t="s">
        <v>14</v>
      </c>
      <c r="S17" s="667">
        <f>F17</f>
        <v>100</v>
      </c>
      <c r="T17" s="666" t="s">
        <v>14</v>
      </c>
      <c r="U17" s="667">
        <f>H17</f>
        <v>100</v>
      </c>
      <c r="V17" s="666" t="s">
        <v>14</v>
      </c>
      <c r="W17" s="667">
        <f>J17</f>
        <v>100</v>
      </c>
      <c r="X17" s="1264"/>
      <c r="Y17" s="3391"/>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90"/>
      <c r="M18" s="2485"/>
      <c r="N18" s="2485"/>
      <c r="O18" s="2540"/>
      <c r="P18" s="3391"/>
      <c r="Q18" s="1262"/>
      <c r="R18" s="666"/>
      <c r="S18" s="667"/>
      <c r="T18" s="666"/>
      <c r="U18" s="667"/>
      <c r="V18" s="666"/>
      <c r="W18" s="667"/>
      <c r="X18" s="1264"/>
      <c r="Y18" s="3391"/>
      <c r="Z18" s="1263"/>
      <c r="AA18" s="1263">
        <v>1</v>
      </c>
      <c r="AB18" s="1263">
        <v>1</v>
      </c>
      <c r="AC18" s="1263">
        <v>1</v>
      </c>
    </row>
    <row r="19" spans="1:29" ht="28.8">
      <c r="A19" s="366"/>
      <c r="B19" s="555" t="s">
        <v>1871</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0"/>
      <c r="M19" s="2485"/>
      <c r="N19" s="2485"/>
      <c r="O19" s="2540"/>
      <c r="P19" s="3391"/>
      <c r="Q19" s="1262" t="str">
        <f t="shared" ref="Q19:Q33" si="8">B19</f>
        <v>区域土地利用方向</v>
      </c>
      <c r="R19" s="666" t="s">
        <v>14</v>
      </c>
      <c r="S19" s="667">
        <f>F19</f>
        <v>100</v>
      </c>
      <c r="T19" s="666" t="s">
        <v>14</v>
      </c>
      <c r="U19" s="667">
        <f>H19</f>
        <v>100</v>
      </c>
      <c r="V19" s="666" t="s">
        <v>14</v>
      </c>
      <c r="W19" s="667">
        <f>J19</f>
        <v>100</v>
      </c>
      <c r="X19" s="1264"/>
      <c r="Y19" s="3391"/>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90"/>
      <c r="M20" s="2485"/>
      <c r="N20" s="2485"/>
      <c r="O20" s="2540"/>
      <c r="P20" s="3391"/>
      <c r="Q20" s="1262"/>
      <c r="R20" s="666"/>
      <c r="S20" s="667"/>
      <c r="T20" s="666"/>
      <c r="U20" s="667"/>
      <c r="V20" s="666"/>
      <c r="W20" s="667"/>
      <c r="X20" s="1264"/>
      <c r="Y20" s="3391"/>
      <c r="Z20" s="1263"/>
      <c r="AA20" s="1263"/>
      <c r="AB20" s="1263"/>
      <c r="AC20" s="1263"/>
    </row>
    <row r="21" spans="1:29" ht="82.8">
      <c r="A21" s="347"/>
      <c r="B21" s="555" t="s">
        <v>1921</v>
      </c>
      <c r="C21" s="1753"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90"/>
      <c r="M21" s="2485"/>
      <c r="N21" s="2485"/>
      <c r="O21" s="2540"/>
      <c r="P21" s="3391"/>
      <c r="Q21" s="1262" t="str">
        <f t="shared" si="8"/>
        <v>环境状况</v>
      </c>
      <c r="R21" s="666" t="s">
        <v>14</v>
      </c>
      <c r="S21" s="667">
        <f>F21</f>
        <v>100</v>
      </c>
      <c r="T21" s="666" t="s">
        <v>14</v>
      </c>
      <c r="U21" s="667">
        <f>H21</f>
        <v>100</v>
      </c>
      <c r="V21" s="666" t="s">
        <v>14</v>
      </c>
      <c r="W21" s="667">
        <f>J21</f>
        <v>100</v>
      </c>
      <c r="X21" s="1264"/>
      <c r="Y21" s="3391"/>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90"/>
      <c r="M22" s="2485"/>
      <c r="N22" s="2485"/>
      <c r="O22" s="2540"/>
      <c r="P22" s="3391"/>
      <c r="Q22" s="1262"/>
      <c r="R22" s="666"/>
      <c r="S22" s="667"/>
      <c r="T22" s="666"/>
      <c r="U22" s="667"/>
      <c r="V22" s="666"/>
      <c r="W22" s="667"/>
      <c r="X22" s="1264"/>
      <c r="Y22" s="3391"/>
      <c r="Z22" s="1263"/>
      <c r="AA22" s="1263">
        <v>1</v>
      </c>
      <c r="AB22" s="1263">
        <v>1</v>
      </c>
      <c r="AC22" s="1263">
        <v>1</v>
      </c>
    </row>
    <row r="23" spans="1:29" s="101" customFormat="1" ht="41.4">
      <c r="A23" s="442"/>
      <c r="B23" s="556" t="s">
        <v>1778</v>
      </c>
      <c r="C23" s="1753"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6"/>
      <c r="M23" s="2438"/>
      <c r="N23" s="2438"/>
      <c r="O23" s="2538"/>
      <c r="P23" s="3391"/>
      <c r="Q23" s="529" t="str">
        <f t="shared" si="8"/>
        <v>公共配套设施</v>
      </c>
      <c r="R23" s="663" t="s">
        <v>14</v>
      </c>
      <c r="S23" s="664">
        <f>F23</f>
        <v>100</v>
      </c>
      <c r="T23" s="663" t="s">
        <v>14</v>
      </c>
      <c r="U23" s="664">
        <f>H23</f>
        <v>100</v>
      </c>
      <c r="V23" s="663" t="s">
        <v>14</v>
      </c>
      <c r="W23" s="664">
        <f>J23</f>
        <v>100</v>
      </c>
      <c r="X23" s="665"/>
      <c r="Y23" s="3391"/>
      <c r="Z23" s="50" t="str">
        <f>Q23</f>
        <v>公共配套设施</v>
      </c>
      <c r="AA23" s="1263">
        <f>D23/F23</f>
        <v>1</v>
      </c>
      <c r="AB23" s="1263">
        <f>D23/H23</f>
        <v>1</v>
      </c>
      <c r="AC23" s="1263">
        <f>D23/J23</f>
        <v>1</v>
      </c>
    </row>
    <row r="24" spans="1:29" s="101" customFormat="1" ht="15">
      <c r="A24" s="442"/>
      <c r="B24" s="400"/>
      <c r="C24" s="1825"/>
      <c r="D24" s="386"/>
      <c r="E24" s="1757"/>
      <c r="F24" s="386"/>
      <c r="G24" s="1757"/>
      <c r="H24" s="386"/>
      <c r="I24" s="385"/>
      <c r="J24" s="386"/>
      <c r="K24" s="591"/>
      <c r="L24" s="2486"/>
      <c r="M24" s="2438"/>
      <c r="N24" s="2438"/>
      <c r="O24" s="2538"/>
      <c r="P24" s="3391"/>
      <c r="Q24" s="529"/>
      <c r="R24" s="663"/>
      <c r="S24" s="664"/>
      <c r="T24" s="663"/>
      <c r="U24" s="664"/>
      <c r="V24" s="663"/>
      <c r="W24" s="664"/>
      <c r="X24" s="665"/>
      <c r="Y24" s="3391"/>
      <c r="Z24" s="50"/>
      <c r="AA24" s="50">
        <v>1</v>
      </c>
      <c r="AB24" s="50">
        <v>1</v>
      </c>
      <c r="AC24" s="50">
        <v>1</v>
      </c>
    </row>
    <row r="25" spans="1:29" s="101" customFormat="1" ht="41.4">
      <c r="A25" s="442"/>
      <c r="B25" s="556" t="s">
        <v>1779</v>
      </c>
      <c r="C25" s="1753"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6"/>
      <c r="M25" s="2438"/>
      <c r="N25" s="2438"/>
      <c r="O25" s="2538"/>
      <c r="P25" s="3391"/>
      <c r="Q25" s="529" t="str">
        <f t="shared" ref="Q25" si="9">B25</f>
        <v>基础设施水平</v>
      </c>
      <c r="R25" s="663" t="s">
        <v>14</v>
      </c>
      <c r="S25" s="664">
        <f>F25</f>
        <v>100</v>
      </c>
      <c r="T25" s="663" t="s">
        <v>14</v>
      </c>
      <c r="U25" s="664">
        <f>H25</f>
        <v>100</v>
      </c>
      <c r="V25" s="663" t="s">
        <v>14</v>
      </c>
      <c r="W25" s="664">
        <f>J25</f>
        <v>100</v>
      </c>
      <c r="X25" s="665"/>
      <c r="Y25" s="3391"/>
      <c r="Z25" s="50" t="str">
        <f>Q25</f>
        <v>基础设施水平</v>
      </c>
      <c r="AA25" s="1263">
        <f>D25/F25</f>
        <v>1</v>
      </c>
      <c r="AB25" s="1263">
        <f>D25/H25</f>
        <v>1</v>
      </c>
      <c r="AC25" s="1263">
        <f>D25/J25</f>
        <v>1</v>
      </c>
    </row>
    <row r="26" spans="1:29" s="101" customFormat="1" ht="15">
      <c r="A26" s="442"/>
      <c r="B26" s="400"/>
      <c r="C26" s="1825"/>
      <c r="D26" s="386"/>
      <c r="E26" s="1826"/>
      <c r="F26" s="386"/>
      <c r="G26" s="1826"/>
      <c r="H26" s="386"/>
      <c r="I26" s="1826"/>
      <c r="J26" s="386"/>
      <c r="K26" s="591"/>
      <c r="L26" s="2486"/>
      <c r="M26" s="2438"/>
      <c r="N26" s="2438"/>
      <c r="O26" s="2538"/>
      <c r="P26" s="3391"/>
      <c r="Q26" s="529"/>
      <c r="R26" s="663"/>
      <c r="S26" s="664"/>
      <c r="T26" s="663"/>
      <c r="U26" s="664"/>
      <c r="V26" s="663"/>
      <c r="W26" s="664"/>
      <c r="X26" s="665"/>
      <c r="Y26" s="3391"/>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90"/>
      <c r="M27" s="2485"/>
      <c r="N27" s="2485"/>
      <c r="O27" s="2540"/>
      <c r="P27" s="3391"/>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91"/>
      <c r="Z27" s="1263" t="str">
        <f t="shared" ref="Z27:Z40" si="13">Q27</f>
        <v>临街状况</v>
      </c>
      <c r="AA27" s="1263">
        <f t="shared" si="3"/>
        <v>1</v>
      </c>
      <c r="AB27" s="1263">
        <f t="shared" si="4"/>
        <v>1</v>
      </c>
      <c r="AC27" s="1263">
        <f t="shared" si="5"/>
        <v>1</v>
      </c>
    </row>
    <row r="28" spans="1:29" ht="28.8">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0"/>
      <c r="M28" s="2485"/>
      <c r="N28" s="2485"/>
      <c r="O28" s="2540"/>
      <c r="P28" s="3391"/>
      <c r="Q28" s="1262" t="str">
        <f t="shared" si="8"/>
        <v>毗邻道路的类型与等级</v>
      </c>
      <c r="R28" s="666" t="s">
        <v>14</v>
      </c>
      <c r="S28" s="667">
        <f t="shared" si="10"/>
        <v>100</v>
      </c>
      <c r="T28" s="666" t="s">
        <v>14</v>
      </c>
      <c r="U28" s="667">
        <f t="shared" si="11"/>
        <v>100</v>
      </c>
      <c r="V28" s="666" t="s">
        <v>14</v>
      </c>
      <c r="W28" s="667">
        <f t="shared" si="12"/>
        <v>100</v>
      </c>
      <c r="X28" s="1264"/>
      <c r="Y28" s="3391"/>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90"/>
      <c r="M29" s="2485"/>
      <c r="N29" s="2485"/>
      <c r="O29" s="2540"/>
      <c r="P29" s="3391"/>
      <c r="Q29" s="1262"/>
      <c r="R29" s="666"/>
      <c r="S29" s="667"/>
      <c r="T29" s="666"/>
      <c r="U29" s="667"/>
      <c r="V29" s="666"/>
      <c r="W29" s="667"/>
      <c r="X29" s="1264"/>
      <c r="Y29" s="3391"/>
      <c r="Z29" s="1263"/>
      <c r="AA29" s="1263">
        <v>1</v>
      </c>
      <c r="AB29" s="1263">
        <v>1</v>
      </c>
      <c r="AC29" s="1263">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0"/>
      <c r="M30" s="2485"/>
      <c r="N30" s="2485"/>
      <c r="O30" s="2540"/>
      <c r="P30" s="3391"/>
      <c r="Q30" s="1262" t="str">
        <f t="shared" si="8"/>
        <v>土地级别</v>
      </c>
      <c r="R30" s="666" t="s">
        <v>14</v>
      </c>
      <c r="S30" s="667">
        <f t="shared" si="10"/>
        <v>100</v>
      </c>
      <c r="T30" s="666" t="s">
        <v>14</v>
      </c>
      <c r="U30" s="667">
        <f t="shared" si="11"/>
        <v>100</v>
      </c>
      <c r="V30" s="666" t="s">
        <v>14</v>
      </c>
      <c r="W30" s="667">
        <f t="shared" si="12"/>
        <v>100</v>
      </c>
      <c r="X30" s="1264"/>
      <c r="Y30" s="3391"/>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0"/>
      <c r="M31" s="2485"/>
      <c r="N31" s="2485"/>
      <c r="O31" s="2540"/>
      <c r="P31" s="3391"/>
      <c r="Q31" s="1262">
        <f t="shared" si="8"/>
        <v>111</v>
      </c>
      <c r="R31" s="666" t="s">
        <v>14</v>
      </c>
      <c r="S31" s="667">
        <f t="shared" si="10"/>
        <v>100</v>
      </c>
      <c r="T31" s="666" t="s">
        <v>14</v>
      </c>
      <c r="U31" s="667">
        <f t="shared" si="11"/>
        <v>100</v>
      </c>
      <c r="V31" s="666" t="s">
        <v>14</v>
      </c>
      <c r="W31" s="667">
        <f t="shared" si="12"/>
        <v>100</v>
      </c>
      <c r="X31" s="1264"/>
      <c r="Y31" s="3391"/>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0"/>
      <c r="M32" s="2485"/>
      <c r="N32" s="2485"/>
      <c r="O32" s="2540"/>
      <c r="P32" s="3465" t="s">
        <v>1696</v>
      </c>
      <c r="Q32" s="1262">
        <f t="shared" si="8"/>
        <v>111</v>
      </c>
      <c r="R32" s="666" t="s">
        <v>14</v>
      </c>
      <c r="S32" s="667">
        <f t="shared" si="10"/>
        <v>100</v>
      </c>
      <c r="T32" s="666" t="s">
        <v>14</v>
      </c>
      <c r="U32" s="667">
        <f t="shared" si="11"/>
        <v>100</v>
      </c>
      <c r="V32" s="666" t="s">
        <v>14</v>
      </c>
      <c r="W32" s="667">
        <f t="shared" si="12"/>
        <v>100</v>
      </c>
      <c r="X32" s="1264"/>
      <c r="Y32" s="3395" t="s">
        <v>1696</v>
      </c>
      <c r="Z32" s="1263">
        <f t="shared" si="13"/>
        <v>111</v>
      </c>
      <c r="AA32" s="1263">
        <f t="shared" si="3"/>
        <v>1</v>
      </c>
      <c r="AB32" s="1263">
        <f t="shared" si="4"/>
        <v>1</v>
      </c>
      <c r="AC32" s="1263">
        <f t="shared" si="5"/>
        <v>1</v>
      </c>
    </row>
    <row r="33" spans="1:31" s="407" customFormat="1" ht="15.6"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9"/>
      <c r="M33" s="2491"/>
      <c r="N33" s="2491"/>
      <c r="O33" s="2541"/>
      <c r="P33" s="3395"/>
      <c r="Q33" s="1262">
        <f t="shared" si="8"/>
        <v>111</v>
      </c>
      <c r="R33" s="668" t="s">
        <v>14</v>
      </c>
      <c r="S33" s="669">
        <f t="shared" si="10"/>
        <v>100</v>
      </c>
      <c r="T33" s="668" t="s">
        <v>14</v>
      </c>
      <c r="U33" s="669">
        <f t="shared" si="11"/>
        <v>100</v>
      </c>
      <c r="V33" s="668" t="s">
        <v>14</v>
      </c>
      <c r="W33" s="669">
        <f t="shared" si="12"/>
        <v>100</v>
      </c>
      <c r="X33" s="670"/>
      <c r="Y33" s="3395"/>
      <c r="Z33" s="671">
        <f t="shared" si="13"/>
        <v>111</v>
      </c>
      <c r="AA33" s="1263">
        <f t="shared" si="3"/>
        <v>1</v>
      </c>
      <c r="AB33" s="1263">
        <f t="shared" si="4"/>
        <v>1</v>
      </c>
      <c r="AC33" s="1263">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0"/>
      <c r="M34" s="2485"/>
      <c r="N34" s="2485"/>
      <c r="O34" s="2540"/>
      <c r="P34" s="3395"/>
      <c r="Q34" s="1262" t="str">
        <f>B34</f>
        <v>宗地面积</v>
      </c>
      <c r="R34" s="666" t="s">
        <v>14</v>
      </c>
      <c r="S34" s="667" t="e">
        <f t="shared" si="10"/>
        <v>#N/A</v>
      </c>
      <c r="T34" s="666" t="s">
        <v>14</v>
      </c>
      <c r="U34" s="667" t="e">
        <f t="shared" si="11"/>
        <v>#N/A</v>
      </c>
      <c r="V34" s="666" t="s">
        <v>14</v>
      </c>
      <c r="W34" s="667" t="e">
        <f t="shared" si="12"/>
        <v>#N/A</v>
      </c>
      <c r="X34" s="1264"/>
      <c r="Y34" s="3395"/>
      <c r="Z34" s="1263" t="str">
        <f t="shared" si="13"/>
        <v>宗地面积</v>
      </c>
      <c r="AA34" s="1263" t="e">
        <f t="shared" si="3"/>
        <v>#N/A</v>
      </c>
      <c r="AB34" s="1263" t="e">
        <f t="shared" si="4"/>
        <v>#N/A</v>
      </c>
      <c r="AC34" s="1263" t="e">
        <f t="shared" si="5"/>
        <v>#N/A</v>
      </c>
    </row>
    <row r="35" spans="1:31" ht="15">
      <c r="A35" s="408"/>
      <c r="B35" s="363" t="s">
        <v>1875</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90"/>
      <c r="M35" s="2485"/>
      <c r="N35" s="2485"/>
      <c r="O35" s="2540"/>
      <c r="P35" s="3395"/>
      <c r="Q35" s="1262" t="str">
        <f t="shared" ref="Q35:Q40" si="14">B35</f>
        <v>宗地形状</v>
      </c>
      <c r="R35" s="666" t="s">
        <v>14</v>
      </c>
      <c r="S35" s="667">
        <f t="shared" si="10"/>
        <v>100</v>
      </c>
      <c r="T35" s="666" t="s">
        <v>14</v>
      </c>
      <c r="U35" s="667">
        <f t="shared" si="11"/>
        <v>100</v>
      </c>
      <c r="V35" s="666" t="s">
        <v>14</v>
      </c>
      <c r="W35" s="667">
        <f t="shared" si="12"/>
        <v>100</v>
      </c>
      <c r="X35" s="1264"/>
      <c r="Y35" s="3395"/>
      <c r="Z35" s="1263" t="str">
        <f t="shared" si="13"/>
        <v>宗地形状</v>
      </c>
      <c r="AA35" s="1263">
        <f t="shared" si="3"/>
        <v>1</v>
      </c>
      <c r="AB35" s="1263">
        <f t="shared" si="4"/>
        <v>1</v>
      </c>
      <c r="AC35" s="1263">
        <f t="shared" si="5"/>
        <v>1</v>
      </c>
    </row>
    <row r="36" spans="1:31" s="101" customFormat="1" ht="15">
      <c r="A36" s="409"/>
      <c r="B36" s="363" t="s">
        <v>1877</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6"/>
      <c r="M36" s="2438"/>
      <c r="N36" s="2438"/>
      <c r="O36" s="2538"/>
      <c r="P36" s="3395"/>
      <c r="Q36" s="1262" t="str">
        <f t="shared" si="14"/>
        <v>宗地开发程度</v>
      </c>
      <c r="R36" s="663" t="s">
        <v>14</v>
      </c>
      <c r="S36" s="664">
        <f t="shared" si="10"/>
        <v>100</v>
      </c>
      <c r="T36" s="663" t="s">
        <v>14</v>
      </c>
      <c r="U36" s="664">
        <f t="shared" si="11"/>
        <v>100</v>
      </c>
      <c r="V36" s="663" t="s">
        <v>14</v>
      </c>
      <c r="W36" s="664">
        <f t="shared" si="12"/>
        <v>100</v>
      </c>
      <c r="X36" s="665"/>
      <c r="Y36" s="3395"/>
      <c r="Z36" s="50" t="str">
        <f t="shared" si="13"/>
        <v>宗地开发程度</v>
      </c>
      <c r="AA36" s="50">
        <f t="shared" si="3"/>
        <v>1</v>
      </c>
      <c r="AB36" s="50">
        <f t="shared" si="4"/>
        <v>1</v>
      </c>
      <c r="AC36" s="50">
        <f t="shared" si="5"/>
        <v>1</v>
      </c>
    </row>
    <row r="37" spans="1:31" ht="15">
      <c r="A37" s="408"/>
      <c r="B37" s="363" t="s">
        <v>1878</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90"/>
      <c r="M37" s="2485"/>
      <c r="N37" s="2485"/>
      <c r="O37" s="2540"/>
      <c r="P37" s="3395" t="s">
        <v>1696</v>
      </c>
      <c r="Q37" s="1262" t="str">
        <f t="shared" si="14"/>
        <v>工程地质条件</v>
      </c>
      <c r="R37" s="666" t="s">
        <v>14</v>
      </c>
      <c r="S37" s="667">
        <f t="shared" si="10"/>
        <v>100</v>
      </c>
      <c r="T37" s="666" t="s">
        <v>14</v>
      </c>
      <c r="U37" s="667">
        <f t="shared" si="11"/>
        <v>100</v>
      </c>
      <c r="V37" s="666" t="s">
        <v>14</v>
      </c>
      <c r="W37" s="667">
        <f t="shared" si="12"/>
        <v>100</v>
      </c>
      <c r="X37" s="1264"/>
      <c r="Y37" s="3395"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0"/>
      <c r="M38" s="2485"/>
      <c r="N38" s="2485"/>
      <c r="O38" s="2540"/>
      <c r="P38" s="3395"/>
      <c r="Q38" s="1262">
        <f t="shared" si="14"/>
        <v>111</v>
      </c>
      <c r="R38" s="666" t="s">
        <v>14</v>
      </c>
      <c r="S38" s="667">
        <f t="shared" si="10"/>
        <v>100</v>
      </c>
      <c r="T38" s="666" t="s">
        <v>14</v>
      </c>
      <c r="U38" s="667">
        <f t="shared" si="11"/>
        <v>100</v>
      </c>
      <c r="V38" s="666" t="s">
        <v>14</v>
      </c>
      <c r="W38" s="667">
        <f t="shared" si="12"/>
        <v>100</v>
      </c>
      <c r="X38" s="1264"/>
      <c r="Y38" s="3395"/>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0"/>
      <c r="M39" s="2485"/>
      <c r="N39" s="2485"/>
      <c r="O39" s="2540"/>
      <c r="P39" s="3395"/>
      <c r="Q39" s="1262">
        <f t="shared" si="14"/>
        <v>111</v>
      </c>
      <c r="R39" s="666" t="s">
        <v>14</v>
      </c>
      <c r="S39" s="667">
        <f t="shared" si="10"/>
        <v>100</v>
      </c>
      <c r="T39" s="666" t="s">
        <v>14</v>
      </c>
      <c r="U39" s="667">
        <f t="shared" si="11"/>
        <v>100</v>
      </c>
      <c r="V39" s="666" t="s">
        <v>14</v>
      </c>
      <c r="W39" s="667">
        <f t="shared" si="12"/>
        <v>100</v>
      </c>
      <c r="X39" s="1264"/>
      <c r="Y39" s="3395"/>
      <c r="Z39" s="1263">
        <f t="shared" si="13"/>
        <v>111</v>
      </c>
      <c r="AA39" s="1263">
        <f t="shared" si="3"/>
        <v>1</v>
      </c>
      <c r="AB39" s="1263">
        <f t="shared" si="4"/>
        <v>1</v>
      </c>
      <c r="AC39" s="1263">
        <f t="shared" si="5"/>
        <v>1</v>
      </c>
    </row>
    <row r="40" spans="1:31" s="407" customFormat="1" ht="15.6"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89"/>
      <c r="M40" s="2491"/>
      <c r="N40" s="2491"/>
      <c r="O40" s="2541"/>
      <c r="P40" s="3395"/>
      <c r="Q40" s="1262">
        <f t="shared" si="14"/>
        <v>111</v>
      </c>
      <c r="R40" s="668" t="s">
        <v>14</v>
      </c>
      <c r="S40" s="669">
        <f t="shared" si="10"/>
        <v>100</v>
      </c>
      <c r="T40" s="668" t="s">
        <v>14</v>
      </c>
      <c r="U40" s="669">
        <f t="shared" si="11"/>
        <v>100</v>
      </c>
      <c r="V40" s="668" t="s">
        <v>14</v>
      </c>
      <c r="W40" s="669">
        <f t="shared" si="12"/>
        <v>100</v>
      </c>
      <c r="X40" s="670"/>
      <c r="Y40" s="3395"/>
      <c r="Z40" s="671">
        <f t="shared" si="13"/>
        <v>111</v>
      </c>
      <c r="AA40" s="1263">
        <f t="shared" si="3"/>
        <v>1</v>
      </c>
      <c r="AB40" s="1263">
        <f t="shared" si="4"/>
        <v>1</v>
      </c>
      <c r="AC40" s="1263">
        <f t="shared" si="5"/>
        <v>1</v>
      </c>
    </row>
    <row r="41" spans="1:31" ht="14.4">
      <c r="A41" s="415" t="s">
        <v>1844</v>
      </c>
      <c r="B41" s="1829" t="s">
        <v>1922</v>
      </c>
      <c r="C41" s="601" t="s">
        <v>0</v>
      </c>
      <c r="D41" s="417"/>
      <c r="E41" s="418"/>
      <c r="F41" s="419"/>
      <c r="G41" s="420"/>
      <c r="H41" s="421"/>
      <c r="I41" s="418"/>
      <c r="J41" s="421"/>
      <c r="K41" s="673"/>
      <c r="L41" s="2492"/>
      <c r="M41" s="2485"/>
      <c r="N41" s="2485"/>
      <c r="O41" s="2485"/>
      <c r="P41" s="3383" t="str">
        <f>A41</f>
        <v>成交单价</v>
      </c>
      <c r="Q41" s="3383"/>
      <c r="R41" s="3384">
        <f>E41</f>
        <v>0</v>
      </c>
      <c r="S41" s="3384"/>
      <c r="T41" s="3384">
        <f>G41</f>
        <v>0</v>
      </c>
      <c r="U41" s="3384"/>
      <c r="V41" s="3384">
        <f>I41</f>
        <v>0</v>
      </c>
      <c r="W41" s="3384"/>
      <c r="X41" s="384"/>
      <c r="Y41" s="672"/>
      <c r="Z41" s="384"/>
      <c r="AA41" s="384"/>
      <c r="AB41" s="384"/>
      <c r="AC41" s="384"/>
    </row>
    <row r="42" spans="1:31" ht="15" thickBot="1">
      <c r="A42" s="422" t="s">
        <v>1793</v>
      </c>
      <c r="B42" s="602"/>
      <c r="C42" s="425" t="e">
        <f>R43</f>
        <v>#DIV/0!</v>
      </c>
      <c r="D42" s="2140" t="s">
        <v>2138</v>
      </c>
      <c r="E42" s="425" t="e">
        <f>R42</f>
        <v>#DIV/0!</v>
      </c>
      <c r="F42" s="2141"/>
      <c r="G42" s="424" t="e">
        <f>T42</f>
        <v>#DIV/0!</v>
      </c>
      <c r="H42" s="2141"/>
      <c r="I42" s="425" t="e">
        <f>V42</f>
        <v>#DIV/0!</v>
      </c>
      <c r="J42" s="2141"/>
      <c r="K42" s="2143">
        <f>F42+H42+J42</f>
        <v>0</v>
      </c>
      <c r="L42" s="2492"/>
      <c r="M42" s="2485"/>
      <c r="N42" s="2485"/>
      <c r="O42" s="2485"/>
      <c r="P42" s="3383" t="str">
        <f>A42</f>
        <v>比较价值（元/平方米）</v>
      </c>
      <c r="Q42" s="3383"/>
      <c r="R42" s="3467" t="e">
        <f>ROUND(PRODUCT(R41,AA7:AA40),0)</f>
        <v>#DIV/0!</v>
      </c>
      <c r="S42" s="3467"/>
      <c r="T42" s="3467" t="e">
        <f>ROUND(PRODUCT(T41,AB7:AB40),0)</f>
        <v>#DIV/0!</v>
      </c>
      <c r="U42" s="3467"/>
      <c r="V42" s="3467" t="e">
        <f>ROUND(PRODUCT(V41,AC7:AC40),0)</f>
        <v>#DIV/0!</v>
      </c>
      <c r="W42" s="3467"/>
      <c r="X42" s="384"/>
      <c r="Y42" s="384"/>
      <c r="Z42" s="384"/>
      <c r="AA42" s="384"/>
      <c r="AB42" s="384"/>
      <c r="AC42" s="384"/>
    </row>
    <row r="43" spans="1:31" ht="15" thickBot="1">
      <c r="A43" s="426" t="s">
        <v>1794</v>
      </c>
      <c r="B43" s="427"/>
      <c r="C43" s="428" t="e">
        <f>R43</f>
        <v>#DIV/0!</v>
      </c>
      <c r="D43" s="428"/>
      <c r="E43" s="428"/>
      <c r="F43" s="428"/>
      <c r="G43" s="428"/>
      <c r="H43" s="428"/>
      <c r="I43" s="428"/>
      <c r="J43" s="428"/>
      <c r="K43" s="674"/>
      <c r="L43" s="2492"/>
      <c r="M43" s="2485"/>
      <c r="N43" s="2485"/>
      <c r="O43" s="2485"/>
      <c r="P43" s="3385" t="str">
        <f>A43</f>
        <v>估价对象XX用房的比较价值（楼面单价，元/平方米）</v>
      </c>
      <c r="Q43" s="3386"/>
      <c r="R43" s="3468" t="e">
        <f>ROUND(IF(D42="简单平均",AVERAGE(R42:W42),R42*F42+T42*H42+V42*J42),0)</f>
        <v>#DIV/0!</v>
      </c>
      <c r="S43" s="3468"/>
      <c r="T43" s="3468"/>
      <c r="U43" s="3468"/>
      <c r="V43" s="3468"/>
      <c r="W43" s="3468"/>
      <c r="X43" s="384"/>
      <c r="Y43" s="384"/>
      <c r="Z43" s="384"/>
      <c r="AA43" s="384"/>
      <c r="AB43" s="384"/>
      <c r="AC43" s="384"/>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6" customFormat="1" ht="13.5" customHeight="1">
      <c r="A48" s="2495"/>
      <c r="B48" s="2495"/>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6" customFormat="1" ht="14.4" thickBot="1">
      <c r="A49" s="2495"/>
      <c r="B49" s="2498"/>
      <c r="C49" s="656"/>
      <c r="D49" s="654"/>
      <c r="E49" s="654"/>
      <c r="F49" s="654"/>
      <c r="G49" s="654"/>
      <c r="H49" s="654"/>
      <c r="I49" s="654"/>
      <c r="J49" s="654"/>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3" t="s">
        <v>1881</v>
      </c>
      <c r="B50" s="604" t="s">
        <v>1882</v>
      </c>
      <c r="C50" s="1830" t="s">
        <v>1883</v>
      </c>
      <c r="D50" s="1831" t="s">
        <v>1884</v>
      </c>
      <c r="E50" s="605" t="s">
        <v>1885</v>
      </c>
      <c r="F50" s="606" t="s">
        <v>1886</v>
      </c>
      <c r="G50" s="3401" t="s">
        <v>1887</v>
      </c>
      <c r="H50" s="3469"/>
      <c r="I50" s="1263" t="s">
        <v>1923</v>
      </c>
      <c r="J50" s="1263">
        <f>项目基本情况!F35</f>
        <v>0</v>
      </c>
      <c r="K50" s="1833"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1" customFormat="1">
      <c r="A51" s="607" t="s">
        <v>1890</v>
      </c>
      <c r="B51" s="608" t="e">
        <f>C43</f>
        <v>#DIV/0!</v>
      </c>
      <c r="C51" s="609">
        <v>1</v>
      </c>
      <c r="D51" s="889">
        <v>1</v>
      </c>
      <c r="E51" s="609">
        <f>'数据-汇总表'!E8+'数据-汇总表'!E9</f>
        <v>312.66000000000003</v>
      </c>
      <c r="F51" s="610" t="e">
        <f t="shared" ref="F51:F60" si="15">ROUND(B51*E51/10000,0)</f>
        <v>#DIV/0!</v>
      </c>
      <c r="G51" s="3397"/>
      <c r="H51" s="3383"/>
      <c r="I51" s="726">
        <v>1</v>
      </c>
      <c r="J51" s="726">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1" customFormat="1">
      <c r="A52" s="612" t="s">
        <v>1891</v>
      </c>
      <c r="B52" s="209" t="e">
        <f>ROUND($C$43*C52*D52,0)</f>
        <v>#DIV/0!</v>
      </c>
      <c r="C52" s="162">
        <f t="shared" ref="C52:C60" si="16">IF($C$50="北京市系数",I52,J52)</f>
        <v>0.5</v>
      </c>
      <c r="D52" s="890">
        <v>0.25</v>
      </c>
      <c r="E52" s="613"/>
      <c r="F52" s="610" t="e">
        <f t="shared" si="15"/>
        <v>#DIV/0!</v>
      </c>
      <c r="G52" s="2748" t="s">
        <v>1892</v>
      </c>
      <c r="H52" s="833" t="str">
        <f>项目基本情况!B37</f>
        <v>九级</v>
      </c>
      <c r="I52" s="726">
        <f>SUMIF(修正!A57:A68,H52,修正!B57:B68)</f>
        <v>0.5</v>
      </c>
      <c r="J52" s="727"/>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1" customFormat="1">
      <c r="A53" s="612" t="s">
        <v>1893</v>
      </c>
      <c r="B53" s="209" t="e">
        <f t="shared" ref="B53:B60" si="17">ROUND($C$43*C53*D53,0)</f>
        <v>#DIV/0!</v>
      </c>
      <c r="C53" s="162">
        <f t="shared" si="16"/>
        <v>0.2</v>
      </c>
      <c r="D53" s="890">
        <v>0.25</v>
      </c>
      <c r="E53" s="613"/>
      <c r="F53" s="610" t="e">
        <f t="shared" si="15"/>
        <v>#DIV/0!</v>
      </c>
      <c r="G53" s="2749"/>
      <c r="H53" s="833" t="str">
        <f>项目基本情况!B37</f>
        <v>九级</v>
      </c>
      <c r="I53" s="726">
        <f>SUMIF(修正!A57:A68,H53,修正!C57:C68)</f>
        <v>0.2</v>
      </c>
      <c r="J53" s="727"/>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1" customFormat="1">
      <c r="A54" s="612" t="s">
        <v>1894</v>
      </c>
      <c r="B54" s="209" t="e">
        <f t="shared" si="17"/>
        <v>#DIV/0!</v>
      </c>
      <c r="C54" s="162">
        <f t="shared" si="16"/>
        <v>0.2</v>
      </c>
      <c r="D54" s="890">
        <v>0.25</v>
      </c>
      <c r="E54" s="613"/>
      <c r="F54" s="610" t="e">
        <f t="shared" si="15"/>
        <v>#DIV/0!</v>
      </c>
      <c r="G54" s="2749"/>
      <c r="H54" s="833" t="str">
        <f>项目基本情况!B37</f>
        <v>九级</v>
      </c>
      <c r="I54" s="726">
        <f>SUMIF(修正!A57:A68,H54,修正!D57:D68)</f>
        <v>0.2</v>
      </c>
      <c r="J54" s="727"/>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1" customFormat="1" hidden="1">
      <c r="A55" s="612"/>
      <c r="B55" s="209"/>
      <c r="C55" s="162"/>
      <c r="D55" s="890"/>
      <c r="E55" s="613"/>
      <c r="F55" s="610"/>
      <c r="G55" s="2750"/>
      <c r="H55" s="833"/>
      <c r="I55" s="726"/>
      <c r="J55" s="727"/>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1" customFormat="1">
      <c r="A56" s="612" t="s">
        <v>1895</v>
      </c>
      <c r="B56" s="209" t="e">
        <f t="shared" si="17"/>
        <v>#DIV/0!</v>
      </c>
      <c r="C56" s="162">
        <f t="shared" si="16"/>
        <v>0</v>
      </c>
      <c r="D56" s="890">
        <v>0.25</v>
      </c>
      <c r="E56" s="208">
        <f>'数据-汇总表'!E11</f>
        <v>0</v>
      </c>
      <c r="F56" s="610" t="e">
        <f t="shared" si="15"/>
        <v>#DIV/0!</v>
      </c>
      <c r="G56" s="1834" t="s">
        <v>1896</v>
      </c>
      <c r="H56" s="833">
        <f>项目基本情况!C37</f>
        <v>0</v>
      </c>
      <c r="I56" s="726">
        <f>SUMIF(修正!A57:A68,H56,修正!E57:E68)</f>
        <v>0</v>
      </c>
      <c r="J56" s="727"/>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1" customFormat="1">
      <c r="A57" s="612" t="s">
        <v>1897</v>
      </c>
      <c r="B57" s="209" t="e">
        <f t="shared" si="17"/>
        <v>#DIV/0!</v>
      </c>
      <c r="C57" s="162">
        <f t="shared" si="16"/>
        <v>0</v>
      </c>
      <c r="D57" s="890">
        <v>0.25</v>
      </c>
      <c r="E57" s="208">
        <f>'数据-汇总表'!E12</f>
        <v>0</v>
      </c>
      <c r="F57" s="610" t="e">
        <f t="shared" si="15"/>
        <v>#DIV/0!</v>
      </c>
      <c r="G57" s="838" t="s">
        <v>1898</v>
      </c>
      <c r="H57" s="833">
        <f>IF(G57="商业",项目基本情况!B37,IF(G57="办公",项目基本情况!C37,IF(G57="住宅",项目基本情况!D37,项目基本情况!E37)))</f>
        <v>0</v>
      </c>
      <c r="I57" s="726">
        <f>SUMIF(修正!A57:A68,H57,修正!F57:F68)</f>
        <v>0</v>
      </c>
      <c r="J57" s="727"/>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1" customFormat="1">
      <c r="A58" s="612" t="s">
        <v>1899</v>
      </c>
      <c r="B58" s="209" t="e">
        <f t="shared" si="17"/>
        <v>#DIV/0!</v>
      </c>
      <c r="C58" s="162">
        <f t="shared" si="16"/>
        <v>0</v>
      </c>
      <c r="D58" s="890">
        <v>0.25</v>
      </c>
      <c r="E58" s="208">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1" customFormat="1">
      <c r="A59" s="612" t="s">
        <v>1901</v>
      </c>
      <c r="B59" s="209" t="e">
        <f t="shared" si="17"/>
        <v>#DIV/0!</v>
      </c>
      <c r="C59" s="162">
        <f t="shared" si="16"/>
        <v>0.1</v>
      </c>
      <c r="D59" s="890">
        <v>0.25</v>
      </c>
      <c r="E59" s="208">
        <f>'数据-汇总表'!E14</f>
        <v>0</v>
      </c>
      <c r="F59" s="610" t="e">
        <f t="shared" si="15"/>
        <v>#DIV/0!</v>
      </c>
      <c r="G59" s="1834" t="s">
        <v>1892</v>
      </c>
      <c r="H59" s="833" t="str">
        <f>项目基本情况!B37</f>
        <v>九级</v>
      </c>
      <c r="I59" s="726">
        <f>SUMIF(修正!A57:A68,H59,修正!G57:G68)</f>
        <v>0.1</v>
      </c>
      <c r="J59" s="727"/>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1" customFormat="1" ht="14.4" thickBot="1">
      <c r="A60" s="612" t="s">
        <v>1902</v>
      </c>
      <c r="B60" s="209" t="e">
        <f t="shared" si="17"/>
        <v>#DIV/0!</v>
      </c>
      <c r="C60" s="162">
        <f t="shared" si="16"/>
        <v>0</v>
      </c>
      <c r="D60" s="890">
        <v>0.25</v>
      </c>
      <c r="E60" s="208">
        <f>'数据-汇总表'!E15</f>
        <v>0</v>
      </c>
      <c r="F60" s="610" t="e">
        <f t="shared" si="15"/>
        <v>#DIV/0!</v>
      </c>
      <c r="G60" s="1835" t="s">
        <v>1896</v>
      </c>
      <c r="H60" s="843">
        <f>项目基本情况!C37</f>
        <v>0</v>
      </c>
      <c r="I60" s="726">
        <f>SUMIF(修正!A57:A68,H60,修正!G57:G68)</f>
        <v>0</v>
      </c>
      <c r="J60" s="727"/>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1" customFormat="1" ht="14.4" thickBot="1">
      <c r="A61" s="614" t="s">
        <v>1903</v>
      </c>
      <c r="B61" s="615" t="s">
        <v>22</v>
      </c>
      <c r="C61" s="615" t="s">
        <v>23</v>
      </c>
      <c r="D61" s="615" t="s">
        <v>392</v>
      </c>
      <c r="E61" s="615">
        <f>IF(B41="楼面地价",SUM(E51:E60),'数据-汇总表'!D3)</f>
        <v>0</v>
      </c>
      <c r="F61" s="616" t="e">
        <f>IF(B41="楼面地价",SUM(F51:F60),ROUND(C43*E61/10000,0))</f>
        <v>#DIV/0!</v>
      </c>
      <c r="G61" s="884"/>
      <c r="H61" s="884"/>
      <c r="I61" s="884"/>
      <c r="J61" s="884"/>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0"/>
      <c r="B62" s="874"/>
      <c r="C62" s="876"/>
      <c r="D62" s="860"/>
      <c r="E62" s="860"/>
      <c r="F62" s="860"/>
      <c r="G62" s="860"/>
      <c r="H62" s="860"/>
      <c r="I62" s="860"/>
      <c r="J62" s="860"/>
      <c r="K62" s="834"/>
      <c r="L62" s="835"/>
      <c r="M62" s="860"/>
      <c r="N62" s="860"/>
      <c r="O62" s="860"/>
      <c r="P62" s="2485"/>
      <c r="Q62" s="2485"/>
      <c r="R62" s="2485"/>
      <c r="S62" s="2485"/>
      <c r="T62" s="2485"/>
      <c r="U62" s="2485"/>
      <c r="V62" s="2485"/>
      <c r="W62" s="2485"/>
      <c r="X62" s="2485"/>
      <c r="Y62" s="2485"/>
      <c r="Z62" s="2485"/>
      <c r="AA62" s="2485"/>
      <c r="AB62" s="2485"/>
      <c r="AC62" s="2485"/>
      <c r="AD62" s="2485"/>
      <c r="AE62" s="2485"/>
    </row>
    <row r="63" spans="1:31">
      <c r="A63" s="860"/>
      <c r="B63" s="874"/>
      <c r="C63" s="655" t="str">
        <f>YEAR(C7)&amp;"-"&amp;MONTH(C7)&amp;"-1"</f>
        <v>2024-9-1</v>
      </c>
      <c r="D63" s="655">
        <f>EDATE(C63,-3)</f>
        <v>45444</v>
      </c>
      <c r="E63" s="655">
        <f>EDATE(D63,-3)</f>
        <v>45352</v>
      </c>
      <c r="F63" s="655">
        <f t="shared" ref="F63:O63" si="18">EDATE(E63,-3)</f>
        <v>45261</v>
      </c>
      <c r="G63" s="655">
        <f t="shared" si="18"/>
        <v>45170</v>
      </c>
      <c r="H63" s="655">
        <f t="shared" si="18"/>
        <v>45078</v>
      </c>
      <c r="I63" s="655">
        <f t="shared" si="18"/>
        <v>44986</v>
      </c>
      <c r="J63" s="655">
        <f t="shared" si="18"/>
        <v>44896</v>
      </c>
      <c r="K63" s="655">
        <f t="shared" si="18"/>
        <v>44805</v>
      </c>
      <c r="L63" s="655">
        <f t="shared" si="18"/>
        <v>44713</v>
      </c>
      <c r="M63" s="655">
        <f t="shared" si="18"/>
        <v>44621</v>
      </c>
      <c r="N63" s="655">
        <f t="shared" si="18"/>
        <v>44531</v>
      </c>
      <c r="O63" s="655">
        <f t="shared" si="18"/>
        <v>44440</v>
      </c>
      <c r="P63" s="2485"/>
      <c r="Q63" s="2485"/>
      <c r="R63" s="2485"/>
      <c r="S63" s="2485"/>
      <c r="T63" s="2485"/>
      <c r="U63" s="2485"/>
      <c r="V63" s="2485"/>
      <c r="W63" s="2485"/>
      <c r="X63" s="2485"/>
      <c r="Y63" s="2485"/>
      <c r="Z63" s="2485"/>
      <c r="AA63" s="2485"/>
      <c r="AB63" s="2485"/>
      <c r="AC63" s="2485"/>
      <c r="AD63" s="2485"/>
      <c r="AE63" s="2485"/>
    </row>
    <row r="64" spans="1:31" ht="22.2" thickBot="1">
      <c r="A64" s="657" t="s">
        <v>1798</v>
      </c>
      <c r="B64" s="384"/>
      <c r="C64" s="658"/>
      <c r="D64" s="658"/>
      <c r="E64" s="658"/>
      <c r="F64" s="659"/>
      <c r="G64" s="659"/>
      <c r="H64" s="658"/>
      <c r="I64" s="658"/>
      <c r="J64" s="658"/>
      <c r="K64" s="660"/>
      <c r="L64" s="661"/>
      <c r="M64" s="658"/>
      <c r="N64" s="658"/>
      <c r="O64" s="885"/>
      <c r="P64" s="2535"/>
      <c r="Q64" s="2506"/>
      <c r="R64" s="2485"/>
      <c r="S64" s="2485"/>
      <c r="T64" s="2485"/>
      <c r="U64" s="2485"/>
      <c r="V64" s="2485"/>
      <c r="W64" s="2485"/>
      <c r="X64" s="2485"/>
      <c r="Y64" s="2485"/>
      <c r="Z64" s="2485"/>
      <c r="AA64" s="2485"/>
      <c r="AB64" s="2485"/>
      <c r="AC64" s="2485"/>
      <c r="AD64" s="2485"/>
      <c r="AE64" s="2485"/>
    </row>
    <row r="65" spans="1:31" s="441" customFormat="1" ht="14.4">
      <c r="A65" s="1629" t="s">
        <v>1904</v>
      </c>
      <c r="B65" s="1045"/>
      <c r="C65" s="1100" t="str">
        <f>YEAR(C63)&amp;"-"&amp;ROUNDUP(MONTH(C63)/3,0)</f>
        <v>2024-3</v>
      </c>
      <c r="D65" s="1100" t="str">
        <f t="shared" ref="D65:O65" si="19">YEAR(D63)&amp;"-"&amp;ROUNDUP(MONTH(D63)/3,0)</f>
        <v>2024-2</v>
      </c>
      <c r="E65" s="1100" t="str">
        <f t="shared" si="19"/>
        <v>2024-1</v>
      </c>
      <c r="F65" s="1100" t="str">
        <f t="shared" si="19"/>
        <v>2023-4</v>
      </c>
      <c r="G65" s="1100" t="str">
        <f t="shared" si="19"/>
        <v>2023-3</v>
      </c>
      <c r="H65" s="1100" t="str">
        <f t="shared" si="19"/>
        <v>2023-2</v>
      </c>
      <c r="I65" s="1100" t="str">
        <f t="shared" si="19"/>
        <v>2023-1</v>
      </c>
      <c r="J65" s="1100" t="str">
        <f t="shared" si="19"/>
        <v>2022-4</v>
      </c>
      <c r="K65" s="1100" t="str">
        <f t="shared" si="19"/>
        <v>2022-3</v>
      </c>
      <c r="L65" s="1100" t="str">
        <f t="shared" si="19"/>
        <v>2022-2</v>
      </c>
      <c r="M65" s="1100" t="str">
        <f t="shared" si="19"/>
        <v>2022-1</v>
      </c>
      <c r="N65" s="1100" t="str">
        <f t="shared" si="19"/>
        <v>2021-4</v>
      </c>
      <c r="O65" s="1100" t="str">
        <f t="shared" si="19"/>
        <v>2021-3</v>
      </c>
      <c r="P65" s="2508"/>
      <c r="Q65" s="2508"/>
      <c r="R65" s="2508"/>
      <c r="S65" s="2508"/>
      <c r="T65" s="2508"/>
      <c r="U65" s="2508"/>
      <c r="V65" s="2508"/>
      <c r="W65" s="2508"/>
      <c r="X65" s="2508"/>
      <c r="Y65" s="2508"/>
      <c r="Z65" s="2508"/>
      <c r="AA65" s="2508"/>
      <c r="AB65" s="2508"/>
      <c r="AC65" s="2508"/>
      <c r="AD65" s="2508"/>
      <c r="AE65" s="2508"/>
    </row>
    <row r="66" spans="1:31" s="101" customFormat="1" ht="30.75" customHeight="1">
      <c r="A66" s="1840" t="s">
        <v>1924</v>
      </c>
      <c r="B66" s="279" t="str">
        <f>"北京市平均增长率"&amp;TEXT(基准地价修正!P28,"0.00%")</f>
        <v>北京市平均增长率0.00%</v>
      </c>
      <c r="C66" s="529">
        <v>100</v>
      </c>
      <c r="D66" s="6"/>
      <c r="E66" s="6"/>
      <c r="F66" s="6"/>
      <c r="G66" s="6"/>
      <c r="H66" s="6"/>
      <c r="I66" s="6"/>
      <c r="J66" s="6"/>
      <c r="K66" s="6"/>
      <c r="L66" s="6"/>
      <c r="M66" s="1065"/>
      <c r="N66" s="1065"/>
      <c r="O66" s="1098"/>
      <c r="P66" s="2506"/>
      <c r="Q66" s="2438"/>
      <c r="R66" s="2438"/>
      <c r="S66" s="2438"/>
      <c r="T66" s="2438"/>
      <c r="U66" s="2438"/>
      <c r="V66" s="2438"/>
      <c r="W66" s="2438"/>
      <c r="X66" s="2438"/>
      <c r="Y66" s="2438"/>
      <c r="Z66" s="2438"/>
      <c r="AA66" s="2438"/>
      <c r="AB66" s="2438"/>
      <c r="AC66" s="2438"/>
      <c r="AD66" s="2438"/>
      <c r="AE66" s="2438"/>
    </row>
    <row r="67" spans="1:31" s="101" customFormat="1" ht="15" thickBot="1">
      <c r="A67" s="448" t="s">
        <v>1716</v>
      </c>
      <c r="B67" s="449"/>
      <c r="C67" s="450"/>
      <c r="D67" s="451"/>
      <c r="E67" s="451"/>
      <c r="F67" s="451"/>
      <c r="G67" s="451"/>
      <c r="H67" s="451"/>
      <c r="I67" s="451"/>
      <c r="J67" s="451"/>
      <c r="K67" s="451"/>
      <c r="L67" s="451"/>
      <c r="M67" s="452"/>
      <c r="N67" s="452"/>
      <c r="O67" s="453"/>
      <c r="P67" s="2506"/>
      <c r="Q67" s="2506"/>
      <c r="R67" s="2438"/>
      <c r="S67" s="2438"/>
      <c r="T67" s="2438"/>
      <c r="U67" s="2438"/>
      <c r="V67" s="2438"/>
      <c r="W67" s="2438"/>
      <c r="X67" s="2438"/>
      <c r="Y67" s="2438"/>
      <c r="Z67" s="2438"/>
      <c r="AA67" s="2438"/>
      <c r="AB67" s="2438"/>
      <c r="AC67" s="2438"/>
      <c r="AD67" s="2438"/>
      <c r="AE67" s="2438"/>
    </row>
    <row r="68" spans="1:31" s="101" customFormat="1" ht="14.4">
      <c r="A68" s="454" t="s">
        <v>1681</v>
      </c>
      <c r="B68" s="443"/>
      <c r="C68" s="455" t="s">
        <v>1776</v>
      </c>
      <c r="D68" s="31"/>
      <c r="E68" s="31"/>
      <c r="F68" s="31"/>
      <c r="G68" s="31"/>
      <c r="H68" s="31"/>
      <c r="I68" s="31"/>
      <c r="J68" s="31"/>
      <c r="K68" s="31"/>
      <c r="L68" s="456"/>
      <c r="M68" s="457"/>
      <c r="N68" s="2518"/>
      <c r="O68" s="2518"/>
      <c r="P68" s="2542"/>
      <c r="Q68" s="2506"/>
      <c r="R68" s="2438"/>
      <c r="S68" s="2438"/>
      <c r="T68" s="2438"/>
      <c r="U68" s="2438"/>
      <c r="V68" s="2438"/>
      <c r="W68" s="2438"/>
      <c r="X68" s="2438"/>
      <c r="Y68" s="2438"/>
      <c r="Z68" s="2438"/>
      <c r="AA68" s="2438"/>
      <c r="AB68" s="2438"/>
      <c r="AC68" s="2438"/>
      <c r="AD68" s="2438"/>
      <c r="AE68" s="2438"/>
    </row>
    <row r="69" spans="1:31" s="101" customFormat="1" ht="14.4" thickBot="1">
      <c r="A69" s="454"/>
      <c r="B69" s="443"/>
      <c r="C69" s="562">
        <v>100</v>
      </c>
      <c r="D69" s="445"/>
      <c r="E69" s="445"/>
      <c r="F69" s="445"/>
      <c r="G69" s="445"/>
      <c r="H69" s="445"/>
      <c r="I69" s="445"/>
      <c r="J69" s="445"/>
      <c r="K69" s="445"/>
      <c r="L69" s="445"/>
      <c r="M69" s="447"/>
      <c r="N69" s="2518"/>
      <c r="O69" s="2518"/>
      <c r="P69" s="2506"/>
      <c r="Q69" s="2506"/>
      <c r="R69" s="2438"/>
      <c r="S69" s="2438"/>
      <c r="T69" s="2438"/>
      <c r="U69" s="2438"/>
      <c r="V69" s="2438"/>
      <c r="W69" s="2438"/>
      <c r="X69" s="2438"/>
      <c r="Y69" s="2438"/>
      <c r="Z69" s="2438"/>
      <c r="AA69" s="2438"/>
      <c r="AB69" s="2438"/>
      <c r="AC69" s="2438"/>
      <c r="AD69" s="2438"/>
      <c r="AE69" s="2438"/>
    </row>
    <row r="70" spans="1:31" ht="14.4">
      <c r="A70" s="378" t="s">
        <v>1719</v>
      </c>
      <c r="B70" s="459" t="s">
        <v>1685</v>
      </c>
      <c r="C70" s="461"/>
      <c r="D70" s="461"/>
      <c r="E70" s="461"/>
      <c r="F70" s="461"/>
      <c r="G70" s="461"/>
      <c r="H70" s="461"/>
      <c r="I70" s="461"/>
      <c r="J70" s="461"/>
      <c r="K70" s="462"/>
      <c r="L70" s="463"/>
      <c r="M70" s="464"/>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6"/>
      <c r="B71" s="465"/>
      <c r="C71" s="466"/>
      <c r="D71" s="466"/>
      <c r="E71" s="466"/>
      <c r="F71" s="466"/>
      <c r="G71" s="466"/>
      <c r="H71" s="466"/>
      <c r="I71" s="466"/>
      <c r="J71" s="466"/>
      <c r="K71" s="466"/>
      <c r="L71" s="466"/>
      <c r="M71" s="467"/>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6"/>
      <c r="B72" s="468" t="s">
        <v>1688</v>
      </c>
      <c r="C72" s="469"/>
      <c r="D72" s="469"/>
      <c r="E72" s="469"/>
      <c r="F72" s="469"/>
      <c r="G72" s="469"/>
      <c r="H72" s="469"/>
      <c r="I72" s="469"/>
      <c r="J72" s="469"/>
      <c r="K72" s="470"/>
      <c r="L72" s="471"/>
      <c r="M72" s="472"/>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6"/>
      <c r="B73" s="473"/>
      <c r="C73" s="474"/>
      <c r="D73" s="474"/>
      <c r="E73" s="474"/>
      <c r="F73" s="474"/>
      <c r="G73" s="474"/>
      <c r="H73" s="474"/>
      <c r="I73" s="474"/>
      <c r="J73" s="474"/>
      <c r="K73" s="474"/>
      <c r="L73" s="474"/>
      <c r="M73" s="475"/>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6"/>
      <c r="B75" s="478"/>
      <c r="C75" s="479"/>
      <c r="D75" s="479"/>
      <c r="E75" s="479"/>
      <c r="F75" s="479"/>
      <c r="G75" s="479"/>
      <c r="H75" s="479"/>
      <c r="I75" s="479"/>
      <c r="J75" s="479"/>
      <c r="K75" s="480"/>
      <c r="L75" s="481"/>
      <c r="M75" s="482"/>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7" customFormat="1" ht="14.4" thickTop="1">
      <c r="A77" s="483"/>
      <c r="B77" s="468">
        <f>B12</f>
        <v>111</v>
      </c>
      <c r="C77" s="484"/>
      <c r="D77" s="484"/>
      <c r="E77" s="484"/>
      <c r="F77" s="484"/>
      <c r="G77" s="484"/>
      <c r="H77" s="485"/>
      <c r="I77" s="485"/>
      <c r="J77" s="485"/>
      <c r="K77" s="485"/>
      <c r="L77" s="486"/>
      <c r="M77" s="487"/>
      <c r="N77" s="2521"/>
      <c r="O77" s="2521"/>
      <c r="P77" s="2521"/>
      <c r="Q77" s="2513"/>
      <c r="R77" s="2491"/>
      <c r="S77" s="2491"/>
      <c r="T77" s="2491"/>
      <c r="U77" s="2491"/>
      <c r="V77" s="2491"/>
      <c r="W77" s="2491"/>
      <c r="X77" s="2491"/>
      <c r="Y77" s="2491"/>
      <c r="Z77" s="2491"/>
      <c r="AA77" s="2491"/>
      <c r="AB77" s="2491"/>
      <c r="AC77" s="2491"/>
      <c r="AD77" s="2491"/>
      <c r="AE77" s="2491"/>
    </row>
    <row r="78" spans="1:31" s="407" customFormat="1" ht="14.4" thickBot="1">
      <c r="A78" s="483"/>
      <c r="B78" s="473"/>
      <c r="C78" s="490"/>
      <c r="D78" s="466"/>
      <c r="E78" s="466"/>
      <c r="F78" s="466"/>
      <c r="G78" s="466"/>
      <c r="H78" s="466"/>
      <c r="I78" s="466"/>
      <c r="J78" s="466"/>
      <c r="K78" s="466"/>
      <c r="L78" s="466"/>
      <c r="M78" s="467"/>
      <c r="N78" s="2520"/>
      <c r="O78" s="2520"/>
      <c r="P78" s="2521"/>
      <c r="Q78" s="2513"/>
      <c r="R78" s="2491"/>
      <c r="S78" s="2491"/>
      <c r="T78" s="2491"/>
      <c r="U78" s="2491"/>
      <c r="V78" s="2491"/>
      <c r="W78" s="2491"/>
      <c r="X78" s="2491"/>
      <c r="Y78" s="2491"/>
      <c r="Z78" s="2491"/>
      <c r="AA78" s="2491"/>
      <c r="AB78" s="2491"/>
      <c r="AC78" s="2491"/>
      <c r="AD78" s="2491"/>
      <c r="AE78" s="2491"/>
    </row>
    <row r="79" spans="1:31" s="407" customFormat="1" ht="14.4" thickTop="1">
      <c r="A79" s="483"/>
      <c r="B79" s="468">
        <f>B13</f>
        <v>111</v>
      </c>
      <c r="C79" s="484"/>
      <c r="D79" s="484"/>
      <c r="E79" s="484"/>
      <c r="F79" s="484"/>
      <c r="G79" s="484"/>
      <c r="H79" s="485"/>
      <c r="I79" s="485"/>
      <c r="J79" s="485"/>
      <c r="K79" s="485"/>
      <c r="L79" s="486"/>
      <c r="M79" s="487"/>
      <c r="N79" s="2521"/>
      <c r="O79" s="2521"/>
      <c r="P79" s="2491"/>
      <c r="Q79" s="2515"/>
      <c r="R79" s="2491"/>
      <c r="S79" s="2491"/>
      <c r="T79" s="2491"/>
      <c r="U79" s="2491"/>
      <c r="V79" s="2491"/>
      <c r="W79" s="2491"/>
      <c r="X79" s="2491"/>
      <c r="Y79" s="2491"/>
      <c r="Z79" s="2491"/>
      <c r="AA79" s="2491"/>
      <c r="AB79" s="2491"/>
      <c r="AC79" s="2491"/>
      <c r="AD79" s="2491"/>
      <c r="AE79" s="2491"/>
    </row>
    <row r="80" spans="1:31" s="407" customFormat="1" ht="14.4" thickBot="1">
      <c r="A80" s="483"/>
      <c r="B80" s="473"/>
      <c r="C80" s="490"/>
      <c r="D80" s="490"/>
      <c r="E80" s="490"/>
      <c r="F80" s="490"/>
      <c r="G80" s="490"/>
      <c r="H80" s="492"/>
      <c r="I80" s="492"/>
      <c r="J80" s="492"/>
      <c r="K80" s="492"/>
      <c r="L80" s="492"/>
      <c r="M80" s="493"/>
      <c r="N80" s="2521"/>
      <c r="O80" s="2521"/>
      <c r="P80" s="2521"/>
      <c r="Q80" s="2513"/>
      <c r="R80" s="2491"/>
      <c r="S80" s="2491"/>
      <c r="T80" s="2491"/>
      <c r="U80" s="2491"/>
      <c r="V80" s="2491"/>
      <c r="W80" s="2491"/>
      <c r="X80" s="2491"/>
      <c r="Y80" s="2491"/>
      <c r="Z80" s="2491"/>
      <c r="AA80" s="2491"/>
      <c r="AB80" s="2491"/>
      <c r="AC80" s="2491"/>
      <c r="AD80" s="2491"/>
      <c r="AE80" s="2491"/>
    </row>
    <row r="81" spans="1:31" s="407" customFormat="1" ht="14.4" thickTop="1">
      <c r="A81" s="483"/>
      <c r="B81" s="476">
        <f>B14</f>
        <v>111</v>
      </c>
      <c r="C81" s="31"/>
      <c r="D81" s="31"/>
      <c r="E81" s="31"/>
      <c r="F81" s="31"/>
      <c r="G81" s="31"/>
      <c r="H81" s="494"/>
      <c r="I81" s="494"/>
      <c r="J81" s="494"/>
      <c r="K81" s="494"/>
      <c r="L81" s="495"/>
      <c r="M81" s="496"/>
      <c r="N81" s="2521"/>
      <c r="O81" s="2521"/>
      <c r="P81" s="2546"/>
      <c r="Q81" s="2513"/>
      <c r="R81" s="2491"/>
      <c r="S81" s="2491"/>
      <c r="T81" s="2491"/>
      <c r="U81" s="2491"/>
      <c r="V81" s="2491"/>
      <c r="W81" s="2491"/>
      <c r="X81" s="2491"/>
      <c r="Y81" s="2491"/>
      <c r="Z81" s="2491"/>
      <c r="AA81" s="2491"/>
      <c r="AB81" s="2491"/>
      <c r="AC81" s="2491"/>
      <c r="AD81" s="2491"/>
      <c r="AE81" s="2491"/>
    </row>
    <row r="82" spans="1:31" s="407" customFormat="1" ht="14.4" thickBot="1">
      <c r="A82" s="498"/>
      <c r="B82" s="499"/>
      <c r="C82" s="500"/>
      <c r="D82" s="500"/>
      <c r="E82" s="500"/>
      <c r="F82" s="500"/>
      <c r="G82" s="500"/>
      <c r="H82" s="501"/>
      <c r="I82" s="501"/>
      <c r="J82" s="501"/>
      <c r="K82" s="501"/>
      <c r="L82" s="501"/>
      <c r="M82" s="502"/>
      <c r="N82" s="2521"/>
      <c r="O82" s="2521"/>
      <c r="P82" s="2521"/>
      <c r="Q82" s="2513"/>
      <c r="R82" s="2491"/>
      <c r="S82" s="2491"/>
      <c r="T82" s="2491"/>
      <c r="U82" s="2491"/>
      <c r="V82" s="2491"/>
      <c r="W82" s="2491"/>
      <c r="X82" s="2491"/>
      <c r="Y82" s="2491"/>
      <c r="Z82" s="2491"/>
      <c r="AA82" s="2491"/>
      <c r="AB82" s="2491"/>
      <c r="AC82" s="2491"/>
      <c r="AD82" s="2491"/>
      <c r="AE82" s="2491"/>
    </row>
    <row r="83" spans="1:31" ht="14.4">
      <c r="A83" s="378" t="s">
        <v>1690</v>
      </c>
      <c r="B83" s="459" t="s">
        <v>1829</v>
      </c>
      <c r="C83" s="503" t="s">
        <v>1721</v>
      </c>
      <c r="D83" s="503" t="s">
        <v>1722</v>
      </c>
      <c r="E83" s="503" t="s">
        <v>1723</v>
      </c>
      <c r="F83" s="503" t="s">
        <v>1724</v>
      </c>
      <c r="G83" s="503" t="s">
        <v>1725</v>
      </c>
      <c r="H83" s="460"/>
      <c r="I83" s="460"/>
      <c r="J83" s="460"/>
      <c r="K83" s="504"/>
      <c r="L83" s="505"/>
      <c r="M83" s="506"/>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6"/>
      <c r="B84" s="473"/>
      <c r="C84" s="474">
        <v>100</v>
      </c>
      <c r="D84" s="474">
        <f>C84-$K15</f>
        <v>100</v>
      </c>
      <c r="E84" s="474">
        <f>D84-$K15</f>
        <v>100</v>
      </c>
      <c r="F84" s="474">
        <f>E84-$K15</f>
        <v>100</v>
      </c>
      <c r="G84" s="474">
        <f>F84-$K15</f>
        <v>100</v>
      </c>
      <c r="H84" s="474"/>
      <c r="I84" s="474"/>
      <c r="J84" s="474"/>
      <c r="K84" s="474"/>
      <c r="L84" s="474"/>
      <c r="M84" s="475"/>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6"/>
      <c r="B85" s="468" t="s">
        <v>1726</v>
      </c>
      <c r="C85" s="508" t="s">
        <v>1721</v>
      </c>
      <c r="D85" s="508" t="s">
        <v>1722</v>
      </c>
      <c r="E85" s="508" t="s">
        <v>1723</v>
      </c>
      <c r="F85" s="508" t="s">
        <v>1724</v>
      </c>
      <c r="G85" s="508" t="s">
        <v>1725</v>
      </c>
      <c r="H85" s="469"/>
      <c r="I85" s="469"/>
      <c r="J85" s="469"/>
      <c r="K85" s="470"/>
      <c r="L85" s="471"/>
      <c r="M85" s="472"/>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6"/>
      <c r="B86" s="473"/>
      <c r="C86" s="474">
        <v>100</v>
      </c>
      <c r="D86" s="474">
        <f>C86-$K17</f>
        <v>100</v>
      </c>
      <c r="E86" s="474">
        <f>D86-$K17</f>
        <v>100</v>
      </c>
      <c r="F86" s="474">
        <f>E86-$K17</f>
        <v>100</v>
      </c>
      <c r="G86" s="474">
        <f>F86-$K17</f>
        <v>100</v>
      </c>
      <c r="H86" s="474"/>
      <c r="I86" s="474"/>
      <c r="J86" s="474"/>
      <c r="K86" s="474"/>
      <c r="L86" s="474"/>
      <c r="M86" s="475"/>
      <c r="N86" s="2520"/>
      <c r="O86" s="2520"/>
      <c r="P86" s="2518"/>
      <c r="Q86" s="2506"/>
      <c r="R86" s="2485"/>
      <c r="S86" s="2485"/>
      <c r="T86" s="2485"/>
      <c r="U86" s="2485"/>
      <c r="V86" s="2485"/>
      <c r="W86" s="2485"/>
      <c r="X86" s="2485"/>
      <c r="Y86" s="2485"/>
      <c r="Z86" s="2485"/>
      <c r="AA86" s="2485"/>
      <c r="AB86" s="2485"/>
      <c r="AC86" s="2485"/>
      <c r="AD86" s="2485"/>
      <c r="AE86" s="2485"/>
    </row>
    <row r="87" spans="1:31" s="101" customFormat="1" ht="29.4" thickTop="1">
      <c r="A87" s="369"/>
      <c r="B87" s="468" t="s">
        <v>1907</v>
      </c>
      <c r="C87" s="503" t="s">
        <v>1721</v>
      </c>
      <c r="D87" s="503" t="s">
        <v>1722</v>
      </c>
      <c r="E87" s="503" t="s">
        <v>1723</v>
      </c>
      <c r="F87" s="503" t="s">
        <v>1724</v>
      </c>
      <c r="G87" s="503" t="s">
        <v>1725</v>
      </c>
      <c r="H87" s="508"/>
      <c r="I87" s="508"/>
      <c r="J87" s="508"/>
      <c r="K87" s="508"/>
      <c r="L87" s="617"/>
      <c r="M87" s="546"/>
      <c r="N87" s="2518"/>
      <c r="O87" s="2518"/>
      <c r="P87" s="2518"/>
      <c r="Q87" s="2506"/>
      <c r="R87" s="2438"/>
      <c r="S87" s="2438"/>
      <c r="T87" s="2438"/>
      <c r="U87" s="2438"/>
      <c r="V87" s="2438"/>
      <c r="W87" s="2438"/>
      <c r="X87" s="2438"/>
      <c r="Y87" s="2438"/>
      <c r="Z87" s="2438"/>
      <c r="AA87" s="2438"/>
      <c r="AB87" s="2438"/>
      <c r="AC87" s="2438"/>
      <c r="AD87" s="2438"/>
      <c r="AE87" s="2438"/>
    </row>
    <row r="88" spans="1:31" s="101" customFormat="1" ht="14.4" thickBot="1">
      <c r="A88" s="369"/>
      <c r="B88" s="473"/>
      <c r="C88" s="511">
        <v>100</v>
      </c>
      <c r="D88" s="474">
        <f>C88-$K19</f>
        <v>100</v>
      </c>
      <c r="E88" s="474">
        <f>D88-$K19</f>
        <v>100</v>
      </c>
      <c r="F88" s="474">
        <f>E88-$K19</f>
        <v>100</v>
      </c>
      <c r="G88" s="474">
        <f>F88-$K19</f>
        <v>100</v>
      </c>
      <c r="H88" s="474"/>
      <c r="I88" s="474"/>
      <c r="J88" s="474"/>
      <c r="K88" s="474"/>
      <c r="L88" s="474"/>
      <c r="M88" s="475"/>
      <c r="N88" s="2520"/>
      <c r="O88" s="2520"/>
      <c r="P88" s="2518"/>
      <c r="Q88" s="2506"/>
      <c r="R88" s="2438"/>
      <c r="S88" s="2438"/>
      <c r="T88" s="2438"/>
      <c r="U88" s="2438"/>
      <c r="V88" s="2438"/>
      <c r="W88" s="2438"/>
      <c r="X88" s="2438"/>
      <c r="Y88" s="2438"/>
      <c r="Z88" s="2438"/>
      <c r="AA88" s="2438"/>
      <c r="AB88" s="2438"/>
      <c r="AC88" s="2438"/>
      <c r="AD88" s="2438"/>
      <c r="AE88" s="2438"/>
    </row>
    <row r="89" spans="1:31" s="101" customFormat="1" ht="29.4" thickTop="1">
      <c r="A89" s="369"/>
      <c r="B89" s="468" t="s">
        <v>1908</v>
      </c>
      <c r="C89" s="503" t="s">
        <v>1721</v>
      </c>
      <c r="D89" s="503" t="s">
        <v>1722</v>
      </c>
      <c r="E89" s="503" t="s">
        <v>1723</v>
      </c>
      <c r="F89" s="503" t="s">
        <v>1724</v>
      </c>
      <c r="G89" s="503" t="s">
        <v>1725</v>
      </c>
      <c r="H89" s="508"/>
      <c r="I89" s="508"/>
      <c r="J89" s="508"/>
      <c r="K89" s="508"/>
      <c r="L89" s="508"/>
      <c r="M89" s="546"/>
      <c r="N89" s="2518"/>
      <c r="O89" s="2518"/>
      <c r="P89" s="2518"/>
      <c r="Q89" s="2506"/>
      <c r="R89" s="2438"/>
      <c r="S89" s="2438"/>
      <c r="T89" s="2438"/>
      <c r="U89" s="2438"/>
      <c r="V89" s="2438"/>
      <c r="W89" s="2438"/>
      <c r="X89" s="2438"/>
      <c r="Y89" s="2438"/>
      <c r="Z89" s="2438"/>
      <c r="AA89" s="2438"/>
      <c r="AB89" s="2438"/>
      <c r="AC89" s="2438"/>
      <c r="AD89" s="2438"/>
      <c r="AE89" s="2438"/>
    </row>
    <row r="90" spans="1:31" s="101" customFormat="1" ht="14.4" thickBot="1">
      <c r="A90" s="369"/>
      <c r="B90" s="473"/>
      <c r="C90" s="474">
        <v>100</v>
      </c>
      <c r="D90" s="474">
        <f>C90-$K21</f>
        <v>100</v>
      </c>
      <c r="E90" s="474">
        <f>D90-$K21</f>
        <v>100</v>
      </c>
      <c r="F90" s="474">
        <f>E90-$K21</f>
        <v>100</v>
      </c>
      <c r="G90" s="474">
        <f>F90-$K21</f>
        <v>100</v>
      </c>
      <c r="H90" s="474"/>
      <c r="I90" s="474"/>
      <c r="J90" s="474"/>
      <c r="K90" s="474"/>
      <c r="L90" s="474"/>
      <c r="M90" s="475"/>
      <c r="N90" s="2520"/>
      <c r="O90" s="2520"/>
      <c r="P90" s="2518"/>
      <c r="Q90" s="2506"/>
      <c r="R90" s="2438"/>
      <c r="S90" s="2438"/>
      <c r="T90" s="2438"/>
      <c r="U90" s="2438"/>
      <c r="V90" s="2438"/>
      <c r="W90" s="2438"/>
      <c r="X90" s="2438"/>
      <c r="Y90" s="2438"/>
      <c r="Z90" s="2438"/>
      <c r="AA90" s="2438"/>
      <c r="AB90" s="2438"/>
      <c r="AC90" s="2438"/>
      <c r="AD90" s="2438"/>
      <c r="AE90" s="2438"/>
    </row>
    <row r="91" spans="1:31" s="407" customFormat="1" ht="15" thickTop="1">
      <c r="A91" s="483"/>
      <c r="B91" s="468" t="s">
        <v>1778</v>
      </c>
      <c r="C91" s="503" t="s">
        <v>1721</v>
      </c>
      <c r="D91" s="503" t="s">
        <v>1722</v>
      </c>
      <c r="E91" s="503" t="s">
        <v>1723</v>
      </c>
      <c r="F91" s="503" t="s">
        <v>1724</v>
      </c>
      <c r="G91" s="503" t="s">
        <v>1725</v>
      </c>
      <c r="H91" s="526"/>
      <c r="I91" s="526"/>
      <c r="J91" s="526"/>
      <c r="K91" s="526"/>
      <c r="L91" s="527"/>
      <c r="M91" s="528"/>
      <c r="N91" s="2521"/>
      <c r="O91" s="2521"/>
      <c r="P91" s="2521"/>
      <c r="Q91" s="2513"/>
      <c r="R91" s="2491"/>
      <c r="S91" s="2491"/>
      <c r="T91" s="2491"/>
      <c r="U91" s="2491"/>
      <c r="V91" s="2491"/>
      <c r="W91" s="2491"/>
      <c r="X91" s="2491"/>
      <c r="Y91" s="2491"/>
      <c r="Z91" s="2491"/>
      <c r="AA91" s="2491"/>
      <c r="AB91" s="2491"/>
      <c r="AC91" s="2491"/>
      <c r="AD91" s="2491"/>
      <c r="AE91" s="2491"/>
    </row>
    <row r="92" spans="1:31" s="407" customFormat="1" ht="14.4" thickBot="1">
      <c r="A92" s="483"/>
      <c r="B92" s="473"/>
      <c r="C92" s="474">
        <v>100</v>
      </c>
      <c r="D92" s="474">
        <f>C92-$K23</f>
        <v>100</v>
      </c>
      <c r="E92" s="474">
        <f>D92-$K23</f>
        <v>100</v>
      </c>
      <c r="F92" s="474">
        <f>E92-$K23</f>
        <v>100</v>
      </c>
      <c r="G92" s="474">
        <f>F92-$K23</f>
        <v>100</v>
      </c>
      <c r="H92" s="533"/>
      <c r="I92" s="533"/>
      <c r="J92" s="533"/>
      <c r="K92" s="533"/>
      <c r="L92" s="533"/>
      <c r="M92" s="534"/>
      <c r="N92" s="2521"/>
      <c r="O92" s="2521"/>
      <c r="P92" s="2521"/>
      <c r="Q92" s="2513"/>
      <c r="R92" s="2491"/>
      <c r="S92" s="2491"/>
      <c r="T92" s="2491"/>
      <c r="U92" s="2491"/>
      <c r="V92" s="2491"/>
      <c r="W92" s="2491"/>
      <c r="X92" s="2491"/>
      <c r="Y92" s="2491"/>
      <c r="Z92" s="2491"/>
      <c r="AA92" s="2491"/>
      <c r="AB92" s="2491"/>
      <c r="AC92" s="2491"/>
      <c r="AD92" s="2491"/>
      <c r="AE92" s="2491"/>
    </row>
    <row r="93" spans="1:31" s="407" customFormat="1" ht="15" thickTop="1">
      <c r="A93" s="483"/>
      <c r="B93" s="476" t="s">
        <v>1925</v>
      </c>
      <c r="C93" s="580" t="s">
        <v>1799</v>
      </c>
      <c r="D93" s="580" t="s">
        <v>1800</v>
      </c>
      <c r="E93" s="580" t="s">
        <v>1801</v>
      </c>
      <c r="F93" s="580" t="s">
        <v>1802</v>
      </c>
      <c r="G93" s="580" t="s">
        <v>1803</v>
      </c>
      <c r="H93" s="526"/>
      <c r="I93" s="526"/>
      <c r="J93" s="526"/>
      <c r="K93" s="526"/>
      <c r="L93" s="526"/>
      <c r="M93" s="528"/>
      <c r="N93" s="2521"/>
      <c r="O93" s="2521"/>
      <c r="P93" s="2521"/>
      <c r="Q93" s="2513"/>
      <c r="R93" s="2491"/>
      <c r="S93" s="2491"/>
      <c r="T93" s="2491"/>
      <c r="U93" s="2491"/>
      <c r="V93" s="2491"/>
      <c r="W93" s="2491"/>
      <c r="X93" s="2491"/>
      <c r="Y93" s="2491"/>
      <c r="Z93" s="2491"/>
      <c r="AA93" s="2491"/>
      <c r="AB93" s="2491"/>
      <c r="AC93" s="2491"/>
      <c r="AD93" s="2491"/>
      <c r="AE93" s="2491"/>
    </row>
    <row r="94" spans="1:31" s="407" customFormat="1" ht="14.4" thickBot="1">
      <c r="A94" s="483"/>
      <c r="B94" s="476"/>
      <c r="C94" s="474">
        <v>100</v>
      </c>
      <c r="D94" s="474">
        <f>C94-$K25</f>
        <v>100</v>
      </c>
      <c r="E94" s="474">
        <f>D94-$K25</f>
        <v>100</v>
      </c>
      <c r="F94" s="474">
        <f>E94-$K25</f>
        <v>100</v>
      </c>
      <c r="G94" s="474">
        <f>F94-$K25</f>
        <v>100</v>
      </c>
      <c r="H94" s="478"/>
      <c r="I94" s="478"/>
      <c r="J94" s="478"/>
      <c r="K94" s="478"/>
      <c r="L94" s="478"/>
      <c r="M94" s="1064"/>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6"/>
      <c r="B95" s="468" t="str">
        <f>B27</f>
        <v>临街状况</v>
      </c>
      <c r="C95" s="469" t="s">
        <v>1909</v>
      </c>
      <c r="D95" s="469" t="s">
        <v>1910</v>
      </c>
      <c r="E95" s="469" t="s">
        <v>1911</v>
      </c>
      <c r="F95" s="469" t="s">
        <v>1912</v>
      </c>
      <c r="G95" s="469"/>
      <c r="H95" s="469"/>
      <c r="I95" s="469"/>
      <c r="J95" s="469"/>
      <c r="K95" s="470"/>
      <c r="L95" s="471"/>
      <c r="M95" s="472"/>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6"/>
      <c r="B97" s="468" t="s">
        <v>1815</v>
      </c>
      <c r="C97" s="484"/>
      <c r="D97" s="484"/>
      <c r="E97" s="484"/>
      <c r="F97" s="484"/>
      <c r="G97" s="484"/>
      <c r="H97" s="512"/>
      <c r="I97" s="512"/>
      <c r="J97" s="512"/>
      <c r="K97" s="513"/>
      <c r="L97" s="514"/>
      <c r="M97" s="515"/>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6"/>
      <c r="B99" s="468" t="s">
        <v>1873</v>
      </c>
      <c r="C99" s="512"/>
      <c r="D99" s="512"/>
      <c r="E99" s="512"/>
      <c r="F99" s="512"/>
      <c r="G99" s="512"/>
      <c r="H99" s="512"/>
      <c r="I99" s="512"/>
      <c r="J99" s="512"/>
      <c r="K99" s="513"/>
      <c r="L99" s="514"/>
      <c r="M99" s="515"/>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6"/>
      <c r="B101" s="476">
        <f>B31</f>
        <v>111</v>
      </c>
      <c r="C101" s="484"/>
      <c r="D101" s="484"/>
      <c r="E101" s="484"/>
      <c r="F101" s="484"/>
      <c r="G101" s="516"/>
      <c r="H101" s="516"/>
      <c r="I101" s="516"/>
      <c r="J101" s="516"/>
      <c r="K101" s="517"/>
      <c r="L101" s="518"/>
      <c r="M101" s="519"/>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6"/>
      <c r="B102" s="499"/>
      <c r="C102" s="490"/>
      <c r="D102" s="466"/>
      <c r="E102" s="466"/>
      <c r="F102" s="466"/>
      <c r="G102" s="520"/>
      <c r="H102" s="520"/>
      <c r="I102" s="520"/>
      <c r="J102" s="520"/>
      <c r="K102" s="520"/>
      <c r="L102" s="520"/>
      <c r="M102" s="521"/>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4"/>
      <c r="B103" s="468">
        <f>B32</f>
        <v>111</v>
      </c>
      <c r="C103" s="484"/>
      <c r="D103" s="484"/>
      <c r="E103" s="484"/>
      <c r="F103" s="484"/>
      <c r="G103" s="512"/>
      <c r="H103" s="512"/>
      <c r="I103" s="512"/>
      <c r="J103" s="512"/>
      <c r="K103" s="513"/>
      <c r="L103" s="514"/>
      <c r="M103" s="515"/>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6"/>
      <c r="B104" s="473"/>
      <c r="C104" s="490"/>
      <c r="D104" s="490"/>
      <c r="E104" s="490"/>
      <c r="F104" s="490"/>
      <c r="G104" s="466"/>
      <c r="H104" s="466"/>
      <c r="I104" s="466"/>
      <c r="J104" s="466"/>
      <c r="K104" s="466"/>
      <c r="L104" s="466"/>
      <c r="M104" s="467"/>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7" customFormat="1" ht="14.4" thickTop="1">
      <c r="A105" s="405"/>
      <c r="B105" s="522">
        <f>B33</f>
        <v>111</v>
      </c>
      <c r="C105" s="31"/>
      <c r="D105" s="31"/>
      <c r="E105" s="31"/>
      <c r="F105" s="31"/>
      <c r="G105" s="6"/>
      <c r="H105" s="6"/>
      <c r="I105" s="6"/>
      <c r="J105" s="523"/>
      <c r="K105" s="523"/>
      <c r="L105" s="524"/>
      <c r="M105" s="525"/>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7" customFormat="1" ht="14.4" thickBot="1">
      <c r="A106" s="483"/>
      <c r="B106" s="476"/>
      <c r="C106" s="500"/>
      <c r="D106" s="500"/>
      <c r="E106" s="500"/>
      <c r="F106" s="500"/>
      <c r="G106" s="596"/>
      <c r="H106" s="596"/>
      <c r="I106" s="596"/>
      <c r="J106" s="596"/>
      <c r="K106" s="596"/>
      <c r="L106" s="596"/>
      <c r="M106" s="618"/>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6"/>
      <c r="B108" s="476"/>
      <c r="C108" s="6"/>
      <c r="D108" s="6"/>
      <c r="E108" s="6"/>
      <c r="F108" s="6"/>
      <c r="G108" s="6"/>
      <c r="H108" s="6"/>
      <c r="I108" s="6"/>
      <c r="J108" s="523"/>
      <c r="K108" s="523"/>
      <c r="L108" s="524"/>
      <c r="M108" s="525"/>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6"/>
      <c r="B109" s="473"/>
      <c r="C109" s="500"/>
      <c r="D109" s="520"/>
      <c r="E109" s="520"/>
      <c r="F109" s="520"/>
      <c r="G109" s="520"/>
      <c r="H109" s="520"/>
      <c r="I109" s="520"/>
      <c r="J109" s="520"/>
      <c r="K109" s="520"/>
      <c r="L109" s="520"/>
      <c r="M109" s="521"/>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8"/>
      <c r="B110" s="468" t="s">
        <v>1914</v>
      </c>
      <c r="C110" s="512"/>
      <c r="D110" s="512"/>
      <c r="E110" s="512"/>
      <c r="F110" s="512"/>
      <c r="G110" s="512"/>
      <c r="H110" s="512"/>
      <c r="I110" s="512"/>
      <c r="J110" s="512"/>
      <c r="K110" s="513"/>
      <c r="L110" s="514"/>
      <c r="M110" s="515"/>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7" customFormat="1" ht="15" thickTop="1">
      <c r="A112" s="405"/>
      <c r="B112" s="468" t="s">
        <v>1916</v>
      </c>
      <c r="C112" s="484"/>
      <c r="D112" s="484"/>
      <c r="E112" s="484"/>
      <c r="F112" s="484"/>
      <c r="G112" s="484"/>
      <c r="H112" s="512"/>
      <c r="I112" s="512"/>
      <c r="J112" s="512"/>
      <c r="K112" s="513"/>
      <c r="L112" s="514"/>
      <c r="M112" s="515"/>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7" customFormat="1" ht="14.4"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8"/>
      <c r="B114" s="468" t="s">
        <v>1917</v>
      </c>
      <c r="C114" s="484"/>
      <c r="D114" s="484"/>
      <c r="E114" s="512"/>
      <c r="F114" s="512"/>
      <c r="G114" s="512"/>
      <c r="H114" s="512"/>
      <c r="I114" s="512"/>
      <c r="J114" s="512"/>
      <c r="K114" s="513"/>
      <c r="L114" s="514"/>
      <c r="M114" s="515"/>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8"/>
      <c r="B116" s="468">
        <f>B38</f>
        <v>111</v>
      </c>
      <c r="C116" s="484"/>
      <c r="D116" s="484"/>
      <c r="E116" s="484"/>
      <c r="F116" s="484"/>
      <c r="G116" s="484"/>
      <c r="H116" s="512"/>
      <c r="I116" s="512"/>
      <c r="J116" s="512"/>
      <c r="K116" s="513"/>
      <c r="L116" s="514"/>
      <c r="M116" s="515"/>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6"/>
      <c r="B117" s="473"/>
      <c r="C117" s="490"/>
      <c r="D117" s="466"/>
      <c r="E117" s="466"/>
      <c r="F117" s="466"/>
      <c r="G117" s="466"/>
      <c r="H117" s="466"/>
      <c r="I117" s="466"/>
      <c r="J117" s="466"/>
      <c r="K117" s="466"/>
      <c r="L117" s="466"/>
      <c r="M117" s="467"/>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8"/>
      <c r="B118" s="468">
        <f>B39</f>
        <v>111</v>
      </c>
      <c r="C118" s="484"/>
      <c r="D118" s="484"/>
      <c r="E118" s="484"/>
      <c r="F118" s="484"/>
      <c r="G118" s="512"/>
      <c r="H118" s="512"/>
      <c r="I118" s="512"/>
      <c r="J118" s="512"/>
      <c r="K118" s="513"/>
      <c r="L118" s="514"/>
      <c r="M118" s="515"/>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6"/>
      <c r="B119" s="473"/>
      <c r="C119" s="490"/>
      <c r="D119" s="490"/>
      <c r="E119" s="490"/>
      <c r="F119" s="490"/>
      <c r="G119" s="466"/>
      <c r="H119" s="466"/>
      <c r="I119" s="466"/>
      <c r="J119" s="466"/>
      <c r="K119" s="466"/>
      <c r="L119" s="466"/>
      <c r="M119" s="467"/>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7" customFormat="1" ht="14.4" thickTop="1">
      <c r="A120" s="405"/>
      <c r="B120" s="468">
        <f>B40</f>
        <v>111</v>
      </c>
      <c r="C120" s="31"/>
      <c r="D120" s="31"/>
      <c r="E120" s="31"/>
      <c r="F120" s="31"/>
      <c r="G120" s="485"/>
      <c r="H120" s="485"/>
      <c r="I120" s="485"/>
      <c r="J120" s="485"/>
      <c r="K120" s="485"/>
      <c r="L120" s="486"/>
      <c r="M120" s="487"/>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7" customFormat="1" ht="14.4" thickBot="1">
      <c r="A121" s="498"/>
      <c r="B121" s="619"/>
      <c r="C121" s="500"/>
      <c r="D121" s="500"/>
      <c r="E121" s="500"/>
      <c r="F121" s="500"/>
      <c r="G121" s="520"/>
      <c r="H121" s="520"/>
      <c r="I121" s="520"/>
      <c r="J121" s="520"/>
      <c r="K121" s="520"/>
      <c r="L121" s="520"/>
      <c r="M121" s="521"/>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46" priority="13" stopIfTrue="1">
      <formula>$F$46="超过30%"</formula>
    </cfRule>
  </conditionalFormatting>
  <conditionalFormatting sqref="E47">
    <cfRule type="expression" dxfId="45" priority="53" stopIfTrue="1">
      <formula>#REF!+$F$47="超过20%"</formula>
    </cfRule>
  </conditionalFormatting>
  <conditionalFormatting sqref="E48">
    <cfRule type="expression" dxfId="44" priority="10" stopIfTrue="1">
      <formula>$F$48="超过30%"</formula>
    </cfRule>
  </conditionalFormatting>
  <conditionalFormatting sqref="F7:F40 H7:H40 J7:J40">
    <cfRule type="cellIs" dxfId="43" priority="1" operator="notEqual">
      <formula>100</formula>
    </cfRule>
  </conditionalFormatting>
  <conditionalFormatting sqref="F42">
    <cfRule type="expression" dxfId="42" priority="4">
      <formula>$D$42="简单平均"</formula>
    </cfRule>
  </conditionalFormatting>
  <conditionalFormatting sqref="F46:F48 H46:H48 J46:J48">
    <cfRule type="containsText" dxfId="41" priority="14" stopIfTrue="1" operator="containsText" text="超过">
      <formula>NOT(ISERROR(SEARCH("超过",F46)))</formula>
    </cfRule>
  </conditionalFormatting>
  <conditionalFormatting sqref="G46">
    <cfRule type="expression" dxfId="40" priority="9" stopIfTrue="1">
      <formula>$H$46="超过30%"</formula>
    </cfRule>
  </conditionalFormatting>
  <conditionalFormatting sqref="G47">
    <cfRule type="expression" dxfId="39" priority="8" stopIfTrue="1">
      <formula>$H$47="超过20%"</formula>
    </cfRule>
  </conditionalFormatting>
  <conditionalFormatting sqref="G48">
    <cfRule type="expression" dxfId="38" priority="12" stopIfTrue="1">
      <formula>$H$48="超过30%"</formula>
    </cfRule>
  </conditionalFormatting>
  <conditionalFormatting sqref="H42">
    <cfRule type="expression" dxfId="37" priority="3">
      <formula>$D$42="简单平均"</formula>
    </cfRule>
  </conditionalFormatting>
  <conditionalFormatting sqref="I46">
    <cfRule type="expression" dxfId="36" priority="7" stopIfTrue="1">
      <formula>$J$46="超过30%"</formula>
    </cfRule>
  </conditionalFormatting>
  <conditionalFormatting sqref="I47">
    <cfRule type="expression" dxfId="35" priority="6" stopIfTrue="1">
      <formula>$J$47="超过20%"</formula>
    </cfRule>
  </conditionalFormatting>
  <conditionalFormatting sqref="I48">
    <cfRule type="expression" dxfId="34" priority="5" stopIfTrue="1">
      <formula>$J$48="超过30%"</formula>
    </cfRule>
  </conditionalFormatting>
  <conditionalFormatting sqref="J42">
    <cfRule type="expression" dxfId="33" priority="2">
      <formula>$D$42="简单平均"</formula>
    </cfRule>
  </conditionalFormatting>
  <dataValidations count="20">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1"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2083</v>
      </c>
      <c r="C1" s="3477" t="s">
        <v>2084</v>
      </c>
      <c r="D1" s="3478"/>
      <c r="E1" s="3478"/>
      <c r="F1" s="3478"/>
      <c r="G1" s="3478"/>
      <c r="H1" s="3478"/>
      <c r="I1" s="3478"/>
      <c r="J1" s="3478"/>
      <c r="K1" s="3478"/>
      <c r="L1" s="3478"/>
      <c r="M1" s="3478"/>
      <c r="N1" s="3478"/>
      <c r="O1" s="3478"/>
      <c r="P1" s="3478"/>
      <c r="Q1" s="3478"/>
      <c r="R1" s="3478"/>
      <c r="S1" s="3479"/>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2095</v>
      </c>
      <c r="E19" s="1252"/>
      <c r="F19" s="1252"/>
      <c r="G19" s="1252"/>
      <c r="H19" s="995"/>
      <c r="I19" s="150"/>
      <c r="J19" s="150"/>
      <c r="K19" s="150"/>
      <c r="L19" s="150"/>
      <c r="M19" s="150"/>
      <c r="N19" s="150"/>
      <c r="O19" s="150"/>
      <c r="P19" s="150"/>
      <c r="Q19" s="150"/>
      <c r="R19" s="150"/>
      <c r="S19" s="120"/>
    </row>
    <row r="20" spans="1:45" ht="16.2" thickBot="1">
      <c r="A20" s="631" t="s">
        <v>2096</v>
      </c>
      <c r="B20" s="285" t="e">
        <f ca="1">IF(D20="——",S22,S22-F20)</f>
        <v>#REF!</v>
      </c>
      <c r="C20" s="150"/>
      <c r="D20" s="1988"/>
      <c r="E20" s="1253"/>
      <c r="F20" s="928" t="e">
        <f ca="1">SUMIF(INDIRECT("'"&amp;H20&amp;"'"&amp;"!A:A"),"承租人权益价值",INDIRECT("'"&amp;H20&amp;"'"&amp;"!c:c"))</f>
        <v>#REF!</v>
      </c>
      <c r="G20" s="928" t="s">
        <v>2097</v>
      </c>
      <c r="H20" s="1989"/>
      <c r="I20" s="150"/>
      <c r="J20" s="150"/>
      <c r="K20" s="150"/>
      <c r="L20" s="150"/>
      <c r="M20" s="150"/>
      <c r="N20" s="150"/>
      <c r="O20" s="150"/>
      <c r="P20" s="150"/>
      <c r="Q20" s="150"/>
      <c r="R20" s="150"/>
      <c r="S20" s="120"/>
    </row>
    <row r="21" spans="1:45" ht="15.6">
      <c r="A21" s="631"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0</v>
      </c>
      <c r="C22" s="3474" t="s">
        <v>27</v>
      </c>
      <c r="D22" s="3475"/>
      <c r="E22" s="3475"/>
      <c r="F22" s="3475"/>
      <c r="G22" s="3475"/>
      <c r="H22" s="3475"/>
      <c r="I22" s="3475"/>
      <c r="J22" s="3475"/>
      <c r="K22" s="3475"/>
      <c r="L22" s="3475"/>
      <c r="M22" s="3475"/>
      <c r="N22" s="3475"/>
      <c r="O22" s="3475"/>
      <c r="P22" s="3475"/>
      <c r="Q22" s="347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68">
        <v>1</v>
      </c>
      <c r="D24" s="2569"/>
      <c r="E24" s="2568">
        <v>1</v>
      </c>
      <c r="F24" s="2569"/>
      <c r="G24" s="2568">
        <v>1</v>
      </c>
      <c r="H24" s="2569"/>
      <c r="I24" s="2568">
        <v>1</v>
      </c>
      <c r="J24" s="2569"/>
      <c r="K24" s="2568">
        <v>1</v>
      </c>
      <c r="L24" s="2569"/>
      <c r="M24" s="2568">
        <v>1</v>
      </c>
      <c r="N24" s="2569"/>
      <c r="O24" s="2568">
        <v>1</v>
      </c>
      <c r="P24" s="2569"/>
      <c r="Q24" s="2568">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32" priority="1" operator="notEqual">
      <formula>1</formula>
    </cfRule>
  </conditionalFormatting>
  <dataValidations count="9">
    <dataValidation type="list" allowBlank="1" showInputMessage="1" showErrorMessage="1" sqref="D24:D524" xr:uid="{00000000-0002-0000-2400-000000000000}">
      <formula1>一修多修正项2</formula1>
    </dataValidation>
    <dataValidation type="list" allowBlank="1" showInputMessage="1" showErrorMessage="1" sqref="F24:F524" xr:uid="{00000000-0002-0000-2400-000001000000}">
      <formula1>一修多修正项3</formula1>
    </dataValidation>
    <dataValidation type="list" allowBlank="1" showInputMessage="1" showErrorMessage="1" sqref="H24:H524" xr:uid="{00000000-0002-0000-2400-000002000000}">
      <formula1>一修多修正项4</formula1>
    </dataValidation>
    <dataValidation type="list" allowBlank="1" showInputMessage="1" showErrorMessage="1" sqref="J24:J524" xr:uid="{00000000-0002-0000-2400-000003000000}">
      <formula1>一修多修正项5</formula1>
    </dataValidation>
    <dataValidation type="list" allowBlank="1" showInputMessage="1" showErrorMessage="1" sqref="L24:L524" xr:uid="{00000000-0002-0000-2400-000004000000}">
      <formula1>一修多修正项6</formula1>
    </dataValidation>
    <dataValidation type="list" allowBlank="1" showInputMessage="1" showErrorMessage="1" sqref="N24:N524" xr:uid="{00000000-0002-0000-2400-000005000000}">
      <formula1>一修多修正项7</formula1>
    </dataValidation>
    <dataValidation type="list" allowBlank="1" showInputMessage="1" showErrorMessage="1" sqref="P24:P524" xr:uid="{00000000-0002-0000-2400-000006000000}">
      <formula1>一修多修正项8</formula1>
    </dataValidation>
    <dataValidation type="list" allowBlank="1" showInputMessage="1" showErrorMessage="1" sqref="D20" xr:uid="{00000000-0002-0000-2400-000007000000}">
      <formula1>"需扣减承租人权益,——"</formula1>
    </dataValidation>
    <dataValidation type="list" allowBlank="1" showInputMessage="1" showErrorMessage="1" sqref="H20" xr:uid="{00000000-0002-0000-24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4" t="s">
        <v>2081</v>
      </c>
      <c r="B1" s="4"/>
      <c r="C1" s="4"/>
      <c r="D1" s="4"/>
      <c r="E1" s="4"/>
      <c r="F1" s="2542"/>
      <c r="G1" s="2542"/>
      <c r="H1" s="2542"/>
      <c r="I1" s="2542"/>
      <c r="J1" s="2542"/>
      <c r="K1" s="2542"/>
      <c r="L1" s="2542"/>
      <c r="M1" s="2542"/>
      <c r="N1" s="2542"/>
      <c r="O1" s="2542"/>
      <c r="P1" s="2542"/>
    </row>
    <row r="2" spans="1:16" ht="15.6">
      <c r="A2" s="1983" t="s">
        <v>2073</v>
      </c>
      <c r="B2" s="2386">
        <f ca="1">SUMIF(B6:B13,"&lt;&gt;#ref!",B6:B13)</f>
        <v>80</v>
      </c>
      <c r="C2" s="1983" t="s">
        <v>2074</v>
      </c>
      <c r="D2" s="1983" t="s">
        <v>2075</v>
      </c>
      <c r="E2" s="2396">
        <f ca="1">SUMIF(E6:E13,"&lt;&gt;#ref!",E6:E13)</f>
        <v>0</v>
      </c>
      <c r="F2" s="2542"/>
      <c r="G2" s="2542"/>
      <c r="H2" s="2542"/>
      <c r="I2" s="2542"/>
      <c r="J2" s="2542"/>
      <c r="K2" s="2542"/>
      <c r="L2" s="2542"/>
      <c r="M2" s="2542"/>
      <c r="N2" s="2542"/>
      <c r="O2" s="2542"/>
      <c r="P2" s="2542"/>
    </row>
    <row r="3" spans="1:16" ht="15.6">
      <c r="A3" s="1983" t="s">
        <v>2076</v>
      </c>
      <c r="B3" s="2386" t="e">
        <f ca="1">ROUND(B2*10000/E2,0)</f>
        <v>#DIV/0!</v>
      </c>
      <c r="C3" s="1983"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4"/>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80</v>
      </c>
      <c r="C6" s="1983" t="s">
        <v>2074</v>
      </c>
      <c r="D6" s="2542"/>
      <c r="E6" s="2396">
        <f ca="1">SUMIF(INDIRECT("'"&amp;A6&amp;"'"&amp;"!C:C"),"建筑面积",INDIRECT("'"&amp;A6&amp;"'"&amp;"!D:D"))</f>
        <v>0</v>
      </c>
      <c r="F6" s="2542"/>
      <c r="G6" s="2542"/>
      <c r="H6" s="2542"/>
      <c r="I6" s="2542"/>
      <c r="J6" s="2542"/>
      <c r="K6" s="2542"/>
      <c r="L6" s="2542"/>
      <c r="M6" s="2542"/>
      <c r="N6" s="2542"/>
      <c r="O6" s="2542"/>
      <c r="P6" s="2542"/>
    </row>
    <row r="7" spans="1:16" ht="15.6">
      <c r="A7" s="2393"/>
      <c r="B7" s="2386" t="e">
        <f ca="1">SUMIF(INDIRECT("'"&amp;A7&amp;"'"&amp;"!A:A"),"总价",INDIRECT("'"&amp;A7&amp;"'"&amp;"!B:B"))</f>
        <v>#REF!</v>
      </c>
      <c r="C7" s="1983"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3"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3"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3"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3"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3"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3"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A484A-A7D4-47A3-BC65-D1723B19EA8C}">
  <sheetPr>
    <tabColor rgb="FFFF0000"/>
  </sheetPr>
  <dimension ref="A1:AJ512"/>
  <sheetViews>
    <sheetView view="pageBreakPreview" topLeftCell="A97" zoomScale="70" zoomScaleNormal="100" zoomScaleSheetLayoutView="70" zoomScalePageLayoutView="80" workbookViewId="0">
      <selection activeCell="D102" sqref="D102"/>
    </sheetView>
  </sheetViews>
  <sheetFormatPr defaultColWidth="12.6640625" defaultRowHeight="21.75" customHeight="1"/>
  <cols>
    <col min="1" max="2" width="12.6640625" style="1560"/>
    <col min="3" max="4" width="12.6640625" style="1560" customWidth="1"/>
    <col min="5" max="9" width="12.6640625" style="1560"/>
    <col min="10" max="11" width="12.6640625" style="683" customWidth="1"/>
    <col min="12" max="12" width="12.6640625" style="683"/>
    <col min="13" max="13" width="14.109375" style="683" bestFit="1" customWidth="1"/>
    <col min="14" max="26" width="12.6640625" style="683"/>
    <col min="27" max="35" width="12.6640625" style="1622"/>
    <col min="36" max="16384" width="12.6640625" style="1560"/>
  </cols>
  <sheetData>
    <row r="1" spans="1:12" ht="21.75" customHeight="1" thickBot="1">
      <c r="A1" s="1520" t="s">
        <v>1262</v>
      </c>
      <c r="B1" s="645"/>
      <c r="C1" s="1619" t="s">
        <v>3556</v>
      </c>
      <c r="D1" s="645"/>
      <c r="E1" s="645"/>
      <c r="F1" s="1620" t="s">
        <v>1263</v>
      </c>
      <c r="G1" s="1452" t="s">
        <v>3388</v>
      </c>
      <c r="H1" s="1620" t="str">
        <f>IF(G1="现房","——","估价对象范围")</f>
        <v>——</v>
      </c>
      <c r="I1" s="1621"/>
    </row>
    <row r="2" spans="1:12" ht="21.75" customHeight="1" thickBot="1">
      <c r="A2" s="3323" t="str">
        <f>项目基本情况!S2</f>
        <v>北京市延庆县燕水佳园14号楼1至2层1号、2号房地产</v>
      </c>
      <c r="B2" s="3324"/>
      <c r="C2" s="3324"/>
      <c r="D2" s="3324"/>
      <c r="E2" s="3324"/>
      <c r="F2" s="3324"/>
      <c r="G2" s="3324"/>
      <c r="H2" s="3324"/>
      <c r="I2" s="3325"/>
    </row>
    <row r="3" spans="1:12" ht="13.2">
      <c r="A3" s="3327" t="s">
        <v>1264</v>
      </c>
      <c r="B3" s="3328"/>
      <c r="C3" s="3328"/>
      <c r="D3" s="3328"/>
      <c r="E3" s="3328"/>
      <c r="F3" s="3328"/>
      <c r="G3" s="3328"/>
      <c r="H3" s="3328"/>
      <c r="I3" s="3328"/>
    </row>
    <row r="4" spans="1:12" ht="14.4">
      <c r="A4" s="1623" t="s">
        <v>1265</v>
      </c>
      <c r="B4" s="1624" t="s">
        <v>1266</v>
      </c>
      <c r="C4" s="1625" t="s">
        <v>3515</v>
      </c>
      <c r="D4" s="1625" t="s">
        <v>3513</v>
      </c>
      <c r="E4" s="3329" t="s">
        <v>1267</v>
      </c>
      <c r="F4" s="3330"/>
      <c r="G4" s="3330"/>
      <c r="H4" s="3330"/>
      <c r="I4" s="3331"/>
      <c r="K4" s="137" t="str">
        <f>IF(ISNUMBER(FIND("比较法",结果表2号!C4)),"比较法",IF(ISNUMBER(FIND("成本法",结果表2号!C4)),"成本法",IF(ISNUMBER(FIND("假设开发法",结果表2号!C4)),"假设开发法",IF(ISNUMBER(FIND("收益法",结果表2号!C4)),"收益法","基准地价系数修正法"))))</f>
        <v>比较法</v>
      </c>
      <c r="L4" s="137" t="str">
        <f>IF(ISNUMBER(FIND("比较法",结果表2号!D4)),"比较法",IF(ISNUMBER(FIND("成本法",结果表2号!D4)),"成本法",IF(ISNUMBER(FIND("假设开发法",结果表2号!D4)),"假设开发法",IF(ISNUMBER(FIND("收益法",结果表2号!D4)),"收益法","基准地价系数修正法"))))</f>
        <v>收益法</v>
      </c>
    </row>
    <row r="5" spans="1:12" ht="13.2">
      <c r="A5" s="3303" t="s">
        <v>1268</v>
      </c>
      <c r="B5" s="3290">
        <v>25</v>
      </c>
      <c r="C5" s="3306"/>
      <c r="D5" s="3326"/>
      <c r="E5" s="122" t="s">
        <v>1269</v>
      </c>
      <c r="F5" s="1626"/>
      <c r="G5" s="1626"/>
      <c r="H5" s="1626"/>
      <c r="I5" s="1280"/>
    </row>
    <row r="6" spans="1:12" ht="13.2">
      <c r="A6" s="3303"/>
      <c r="B6" s="3290"/>
      <c r="C6" s="3307"/>
      <c r="D6" s="3326"/>
      <c r="E6" s="122" t="s">
        <v>1270</v>
      </c>
      <c r="F6" s="1626"/>
      <c r="G6" s="1626"/>
      <c r="H6" s="1626"/>
      <c r="I6" s="1280"/>
    </row>
    <row r="7" spans="1:12" ht="13.2">
      <c r="A7" s="3303"/>
      <c r="B7" s="3290"/>
      <c r="C7" s="3308"/>
      <c r="D7" s="3326"/>
      <c r="E7" s="122" t="s">
        <v>1271</v>
      </c>
      <c r="F7" s="1626"/>
      <c r="G7" s="1626"/>
      <c r="H7" s="1626"/>
      <c r="I7" s="1280"/>
    </row>
    <row r="8" spans="1:12" ht="13.2">
      <c r="A8" s="3303" t="s">
        <v>1272</v>
      </c>
      <c r="B8" s="3290">
        <v>15</v>
      </c>
      <c r="C8" s="3306"/>
      <c r="D8" s="3326"/>
      <c r="E8" s="122" t="s">
        <v>1273</v>
      </c>
      <c r="F8" s="1626"/>
      <c r="G8" s="1626"/>
      <c r="H8" s="1626"/>
      <c r="I8" s="1280"/>
    </row>
    <row r="9" spans="1:12" ht="13.2">
      <c r="A9" s="3303"/>
      <c r="B9" s="3290"/>
      <c r="C9" s="3308"/>
      <c r="D9" s="3326"/>
      <c r="E9" s="122" t="s">
        <v>1274</v>
      </c>
      <c r="F9" s="1626"/>
      <c r="G9" s="1626"/>
      <c r="H9" s="1626"/>
      <c r="I9" s="1280"/>
    </row>
    <row r="10" spans="1:12" ht="13.2">
      <c r="A10" s="3303" t="s">
        <v>1275</v>
      </c>
      <c r="B10" s="3290">
        <v>15</v>
      </c>
      <c r="C10" s="3306"/>
      <c r="D10" s="3326"/>
      <c r="E10" s="122" t="s">
        <v>1276</v>
      </c>
      <c r="F10" s="1626"/>
      <c r="G10" s="1626"/>
      <c r="H10" s="1626"/>
      <c r="I10" s="1280"/>
    </row>
    <row r="11" spans="1:12" ht="13.2">
      <c r="A11" s="3303"/>
      <c r="B11" s="3290"/>
      <c r="C11" s="3308"/>
      <c r="D11" s="3326"/>
      <c r="E11" s="122" t="s">
        <v>1277</v>
      </c>
      <c r="F11" s="1626"/>
      <c r="G11" s="1626"/>
      <c r="H11" s="1626"/>
      <c r="I11" s="1280"/>
    </row>
    <row r="12" spans="1:12" ht="13.2">
      <c r="A12" s="3303" t="s">
        <v>1278</v>
      </c>
      <c r="B12" s="3290">
        <v>15</v>
      </c>
      <c r="C12" s="3306"/>
      <c r="D12" s="3326"/>
      <c r="E12" s="122" t="s">
        <v>1279</v>
      </c>
      <c r="F12" s="1626"/>
      <c r="G12" s="1626"/>
      <c r="H12" s="1626"/>
      <c r="I12" s="1280"/>
    </row>
    <row r="13" spans="1:12" ht="13.2">
      <c r="A13" s="3303"/>
      <c r="B13" s="3290"/>
      <c r="C13" s="3308"/>
      <c r="D13" s="3326"/>
      <c r="E13" s="122" t="s">
        <v>1280</v>
      </c>
      <c r="F13" s="1626"/>
      <c r="G13" s="1626"/>
      <c r="H13" s="1626"/>
      <c r="I13" s="1280"/>
    </row>
    <row r="14" spans="1:12" ht="13.2">
      <c r="A14" s="3303" t="s">
        <v>1281</v>
      </c>
      <c r="B14" s="3290">
        <v>30</v>
      </c>
      <c r="C14" s="3306">
        <v>6</v>
      </c>
      <c r="D14" s="3326">
        <v>4</v>
      </c>
      <c r="E14" s="122" t="s">
        <v>1282</v>
      </c>
      <c r="F14" s="1626"/>
      <c r="G14" s="1626"/>
      <c r="H14" s="1626"/>
      <c r="I14" s="1280"/>
    </row>
    <row r="15" spans="1:12" ht="13.2">
      <c r="A15" s="3303"/>
      <c r="B15" s="3290"/>
      <c r="C15" s="3307"/>
      <c r="D15" s="3326"/>
      <c r="E15" s="122" t="s">
        <v>1283</v>
      </c>
      <c r="F15" s="1626"/>
      <c r="G15" s="1626"/>
      <c r="H15" s="1626"/>
      <c r="I15" s="1280"/>
    </row>
    <row r="16" spans="1:12" ht="13.2">
      <c r="A16" s="3303"/>
      <c r="B16" s="3290"/>
      <c r="C16" s="3308"/>
      <c r="D16" s="3326"/>
      <c r="E16" s="122" t="s">
        <v>1284</v>
      </c>
      <c r="F16" s="1626"/>
      <c r="G16" s="1626"/>
      <c r="H16" s="1626"/>
      <c r="I16" s="1280"/>
    </row>
    <row r="17" spans="1:36" ht="14.4">
      <c r="A17" s="1627" t="s">
        <v>1285</v>
      </c>
      <c r="B17" s="54"/>
      <c r="C17" s="123">
        <f>SUM(C5:C16)</f>
        <v>6</v>
      </c>
      <c r="D17" s="123">
        <f>SUM(D5:D16)</f>
        <v>4</v>
      </c>
      <c r="E17" s="120"/>
      <c r="F17" s="120"/>
      <c r="G17" s="120"/>
      <c r="H17" s="120"/>
      <c r="I17" s="120"/>
      <c r="K17" s="293"/>
      <c r="L17" s="293" t="s">
        <v>1286</v>
      </c>
      <c r="M17" s="293" t="s">
        <v>1287</v>
      </c>
    </row>
    <row r="18" spans="1:36" ht="31.95" customHeight="1" thickBot="1">
      <c r="A18" s="1628" t="s">
        <v>1288</v>
      </c>
      <c r="B18" s="1541"/>
      <c r="C18" s="124">
        <f>ROUND(C17/SUM(C17:D17),2)</f>
        <v>0.6</v>
      </c>
      <c r="D18" s="124">
        <f>1-C18</f>
        <v>0.4</v>
      </c>
      <c r="E18" s="3313" t="s">
        <v>2131</v>
      </c>
      <c r="F18" s="3314"/>
      <c r="G18" s="3314"/>
      <c r="H18" s="3314"/>
      <c r="I18" s="3314"/>
      <c r="K18" s="293" t="s">
        <v>1289</v>
      </c>
      <c r="L18" s="293">
        <f>IF(C1="",'数据-汇总表'!E3,SUMIF(项目类型,C1,'数据-汇总表'!E17:E26)+SUMIF(项目类型,C1,'数据-汇总表'!I17:I26))</f>
        <v>156.33000000000001</v>
      </c>
      <c r="M18" s="293">
        <f>IF(C1="",'数据-汇总表'!E3,SUMIF(项目类型,C1,'数据-汇总表'!E17:E26))</f>
        <v>156.33000000000001</v>
      </c>
    </row>
    <row r="19" spans="1:36" ht="14.4">
      <c r="A19" s="1629" t="s">
        <v>1290</v>
      </c>
      <c r="B19" s="1630" t="s">
        <v>1291</v>
      </c>
      <c r="C19" s="125">
        <f ca="1">SUMIF(INDIRECT("'"&amp;C4&amp;"'"&amp;"!A:A"),结果表2号!B19,INDIRECT("'"&amp;C4&amp;"'"&amp;"!B:B"))</f>
        <v>253.27019999999999</v>
      </c>
      <c r="D19" s="126">
        <f ca="1">SUMIF(INDIRECT("'"&amp;D4&amp;"'"&amp;"!A:A"),结果表2号!B19,INDIRECT("'"&amp;D4&amp;"'"&amp;"!B:B"))</f>
        <v>94.671499999999995</v>
      </c>
      <c r="E19" s="1629" t="s">
        <v>1292</v>
      </c>
      <c r="F19" s="1630" t="s">
        <v>1291</v>
      </c>
      <c r="G19" s="127">
        <f ca="1">ROUND(C19*$C$18+D19*$D$18,0)</f>
        <v>190</v>
      </c>
      <c r="H19" s="1631" t="s">
        <v>1293</v>
      </c>
      <c r="I19" s="120"/>
      <c r="K19" s="293" t="s">
        <v>1294</v>
      </c>
      <c r="L19" s="293">
        <f>IF(C1="",'数据-汇总表'!D3,SUMIF(项目类型,C1,'数据-汇总表'!D17:D26)+SUMIF(项目类型,C1,'数据-汇总表'!H17:H27))</f>
        <v>0</v>
      </c>
      <c r="M19" s="293">
        <f>IF(C1="",'数据-汇总表'!D3,SUMIF(项目类型,C1,'数据-汇总表'!D17:D26))</f>
        <v>0</v>
      </c>
    </row>
    <row r="20" spans="1:36" ht="14.4">
      <c r="A20" s="1632"/>
      <c r="B20" s="43" t="s">
        <v>1295</v>
      </c>
      <c r="C20" s="128">
        <f ca="1">SUMIF(INDIRECT("'"&amp;C4&amp;"'"&amp;"!A:A"),结果表2号!B20,INDIRECT("'"&amp;C4&amp;"'"&amp;"!B:B"))</f>
        <v>16201</v>
      </c>
      <c r="D20" s="129">
        <f ca="1">SUMIF(INDIRECT("'"&amp;D4&amp;"'"&amp;"!A:A"),结果表2号!B20,INDIRECT("'"&amp;D4&amp;"'"&amp;"!B:B"))</f>
        <v>6056</v>
      </c>
      <c r="E20" s="1632"/>
      <c r="F20" s="43" t="s">
        <v>1295</v>
      </c>
      <c r="G20" s="130">
        <f ca="1">ROUND(C20*$C$18+D20*$D$18,0)</f>
        <v>12143</v>
      </c>
      <c r="H20" s="759" t="s">
        <v>1296</v>
      </c>
      <c r="I20" s="120"/>
    </row>
    <row r="21" spans="1:36" ht="15" customHeight="1" thickBot="1">
      <c r="A21" s="448"/>
      <c r="B21" s="93" t="s">
        <v>1297</v>
      </c>
      <c r="C21" s="677" t="e">
        <f ca="1">ROUND(C19*10000/L19,0)</f>
        <v>#DIV/0!</v>
      </c>
      <c r="D21" s="678" t="e">
        <f ca="1">ROUND(D19*10000/L19,0)</f>
        <v>#DIV/0!</v>
      </c>
      <c r="E21" s="448"/>
      <c r="F21" s="93" t="s">
        <v>1297</v>
      </c>
      <c r="G21" s="131" t="e">
        <f ca="1">ROUND(G19*10000/L19,0)</f>
        <v>#DIV/0!</v>
      </c>
      <c r="H21" s="1633" t="s">
        <v>1296</v>
      </c>
      <c r="I21" s="120"/>
    </row>
    <row r="22" spans="1:36" ht="15" thickBot="1">
      <c r="A22" s="1563" t="s">
        <v>1298</v>
      </c>
      <c r="B22" s="1634"/>
      <c r="C22" s="1635"/>
      <c r="D22" s="679">
        <f ca="1">IF(C19&lt;D19,D19/C19-1,C19/D19-1)</f>
        <v>1.6752528480059996</v>
      </c>
      <c r="E22" s="120"/>
      <c r="F22" s="120"/>
      <c r="G22" s="120"/>
      <c r="H22" s="120"/>
      <c r="I22" s="120"/>
    </row>
    <row r="23" spans="1:36" ht="13.8" thickBot="1">
      <c r="A23" s="645"/>
      <c r="B23" s="645"/>
      <c r="C23" s="645"/>
      <c r="D23" s="645"/>
      <c r="E23" s="120"/>
      <c r="F23" s="120"/>
      <c r="G23" s="120"/>
      <c r="H23" s="120"/>
      <c r="I23" s="120"/>
    </row>
    <row r="24" spans="1:36" ht="14.4">
      <c r="A24" s="3297" t="s">
        <v>1299</v>
      </c>
      <c r="B24" s="1630" t="s">
        <v>1291</v>
      </c>
      <c r="C24" s="127">
        <f>IF(B30=0,0,D30)</f>
        <v>0</v>
      </c>
      <c r="D24" s="1636"/>
      <c r="E24" s="120"/>
      <c r="F24" s="120"/>
      <c r="G24" s="120"/>
      <c r="H24" s="120"/>
      <c r="I24" s="120"/>
    </row>
    <row r="25" spans="1:36" ht="14.4">
      <c r="A25" s="3298"/>
      <c r="B25" s="43"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3.8">
      <c r="A27" s="1638"/>
      <c r="B27" s="133">
        <v>0</v>
      </c>
      <c r="C27" s="133">
        <v>0</v>
      </c>
      <c r="D27" s="134">
        <f>ROUND(C27*B27/10000,0)</f>
        <v>0</v>
      </c>
      <c r="E27" s="120"/>
      <c r="F27" s="120"/>
      <c r="G27" s="120"/>
      <c r="H27" s="120"/>
      <c r="I27" s="120"/>
    </row>
    <row r="28" spans="1:36" ht="13.8">
      <c r="A28" s="1638"/>
      <c r="B28" s="133"/>
      <c r="C28" s="133"/>
      <c r="D28" s="134"/>
      <c r="E28" s="120"/>
      <c r="F28" s="120"/>
      <c r="G28" s="120"/>
      <c r="H28" s="120"/>
      <c r="I28" s="120"/>
    </row>
    <row r="29" spans="1:36" ht="13.8">
      <c r="A29" s="1638"/>
      <c r="B29" s="133"/>
      <c r="C29" s="133"/>
      <c r="D29" s="134"/>
      <c r="E29" s="120"/>
      <c r="F29" s="120"/>
      <c r="G29" s="120"/>
      <c r="H29" s="120"/>
      <c r="I29" s="120"/>
    </row>
    <row r="30" spans="1:36" ht="15" thickBot="1">
      <c r="A30" s="133" t="s">
        <v>1304</v>
      </c>
      <c r="B30" s="133"/>
      <c r="C30" s="133"/>
      <c r="D30" s="133"/>
      <c r="E30" s="2126" t="s">
        <v>2132</v>
      </c>
      <c r="F30" s="120"/>
      <c r="G30" s="120"/>
      <c r="H30" s="120"/>
      <c r="I30" s="120"/>
    </row>
    <row r="31" spans="1:36" s="2132" customFormat="1" ht="26.4" customHeight="1" thickTop="1" thickBot="1">
      <c r="A31" s="2127"/>
      <c r="B31" s="2128"/>
      <c r="C31" s="2128"/>
      <c r="D31" s="2128"/>
      <c r="E31" s="2128"/>
      <c r="F31" s="2128"/>
      <c r="G31" s="2128"/>
      <c r="H31" s="2128"/>
      <c r="I31" s="2129" t="s">
        <v>2133</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5">
        <f ca="1">IF(D32="总价",G19-C24,G20-C25)</f>
        <v>12143</v>
      </c>
      <c r="D32" s="1640" t="s">
        <v>3405</v>
      </c>
      <c r="E32" s="120"/>
      <c r="F32" s="120"/>
      <c r="G32" s="120"/>
      <c r="H32" s="120"/>
      <c r="I32" s="120"/>
    </row>
    <row r="33" spans="1:15" ht="14.4">
      <c r="A33" s="739" t="s">
        <v>1306</v>
      </c>
      <c r="B33" s="122"/>
      <c r="C33" s="1641" t="s">
        <v>3406</v>
      </c>
      <c r="D33" s="1642"/>
      <c r="E33" s="1643" t="s">
        <v>1307</v>
      </c>
      <c r="F33" s="1644" t="str">
        <f>IF(D32="楼面单价","取值（单价）","取值（总价）")</f>
        <v>取值（单价）</v>
      </c>
      <c r="G33" s="120"/>
      <c r="H33" s="120"/>
      <c r="I33" s="120"/>
    </row>
    <row r="34" spans="1:15" ht="14.4">
      <c r="A34" s="1645"/>
      <c r="B34" s="1646" t="s">
        <v>1308</v>
      </c>
      <c r="C34" s="139">
        <f>IF(C33="自定义",F34,C32-C35)</f>
        <v>0</v>
      </c>
      <c r="D34" s="807">
        <f ca="1">IF(C33="自定义",ROUND(C34/C32,3),IF(C33="收益比率",SUMIF(INDIRECT("'"&amp;D33&amp;"'"&amp;"!b:b"),"土地收益比率",INDIRECT("'"&amp;D33&amp;"'"&amp;"!c:c")),SUMIF(INDIRECT("'"&amp;D33&amp;"'"&amp;"!b:b"),"土地成本比率",INDIRECT("'"&amp;D33&amp;"'"&amp;"!c:c"))))</f>
        <v>0</v>
      </c>
      <c r="E34" s="1647" t="s">
        <v>1309</v>
      </c>
      <c r="F34" s="1242"/>
      <c r="G34" s="120"/>
      <c r="H34" s="120"/>
      <c r="I34" s="120"/>
    </row>
    <row r="35" spans="1:15" ht="15" thickBot="1">
      <c r="A35" s="1648"/>
      <c r="B35" s="1649" t="s">
        <v>1310</v>
      </c>
      <c r="C35" s="1089">
        <f>IF(C33="自定义",F35,ROUND(C32*D35,0))</f>
        <v>0</v>
      </c>
      <c r="D35" s="1090">
        <f ca="1">IF(C33="自定义",ROUND(C35/C32,3),IF(C33="收益比率",SUMIF(INDIRECT("'"&amp;D33&amp;"'"&amp;"!b:b"),"建筑物收益比率",INDIRECT("'"&amp;D33&amp;"'"&amp;"!c:c")),SUMIF(INDIRECT("'"&amp;D33&amp;"'"&amp;"!b:b"),"建筑物成本比率",INDIRECT("'"&amp;D33&amp;"'"&amp;"!c:c"))))</f>
        <v>0</v>
      </c>
      <c r="E35" s="1650" t="s">
        <v>1311</v>
      </c>
      <c r="F35" s="145"/>
      <c r="G35" s="120"/>
      <c r="H35" s="120"/>
      <c r="I35" s="120"/>
    </row>
    <row r="36" spans="1:15" ht="15" thickBot="1">
      <c r="A36" s="3317" t="s">
        <v>1312</v>
      </c>
      <c r="B36" s="1651" t="s">
        <v>1313</v>
      </c>
      <c r="C36" s="136"/>
      <c r="D36" s="1652"/>
      <c r="E36" s="1566"/>
      <c r="F36" s="1653"/>
      <c r="G36" s="120"/>
      <c r="H36" s="120"/>
      <c r="I36" s="120"/>
    </row>
    <row r="37" spans="1:15" ht="15" thickBot="1">
      <c r="A37" s="3318"/>
      <c r="B37" s="1554" t="s">
        <v>1314</v>
      </c>
      <c r="C37" s="138"/>
      <c r="D37" s="1070"/>
      <c r="E37" s="1070"/>
      <c r="F37" s="1653"/>
      <c r="G37" s="120"/>
      <c r="H37" s="120"/>
      <c r="I37" s="120"/>
    </row>
    <row r="38" spans="1:15" ht="15" thickBot="1">
      <c r="A38" s="3319"/>
      <c r="B38" s="1654" t="s">
        <v>1315</v>
      </c>
      <c r="C38" s="640"/>
      <c r="D38" s="1655" t="s">
        <v>1316</v>
      </c>
      <c r="E38" s="1070"/>
      <c r="F38" s="1653"/>
      <c r="G38" s="120"/>
      <c r="H38" s="120"/>
      <c r="I38" s="120"/>
    </row>
    <row r="39" spans="1:15" ht="14.4">
      <c r="A39" s="1632" t="s">
        <v>1317</v>
      </c>
      <c r="B39" s="1656" t="s">
        <v>1301</v>
      </c>
      <c r="C39" s="1657" t="s">
        <v>1302</v>
      </c>
      <c r="D39" s="1657" t="s">
        <v>1320</v>
      </c>
      <c r="E39" s="1658" t="s">
        <v>1303</v>
      </c>
      <c r="F39" s="1653"/>
      <c r="G39" s="120"/>
      <c r="H39" s="120"/>
      <c r="I39" s="120"/>
    </row>
    <row r="40" spans="1:15" ht="13.8">
      <c r="A40" s="1659" t="s">
        <v>1322</v>
      </c>
      <c r="B40" s="140"/>
      <c r="C40" s="141"/>
      <c r="D40" s="141"/>
      <c r="E40" s="142"/>
      <c r="F40" s="1653"/>
      <c r="G40" s="120"/>
      <c r="H40" s="120"/>
      <c r="I40" s="120"/>
    </row>
    <row r="41" spans="1:15" ht="13.8">
      <c r="A41" s="1659" t="s">
        <v>1323</v>
      </c>
      <c r="B41" s="140"/>
      <c r="C41" s="141"/>
      <c r="D41" s="141"/>
      <c r="E41" s="142"/>
      <c r="F41" s="1653"/>
      <c r="G41" s="120"/>
      <c r="H41" s="120"/>
      <c r="I41" s="120"/>
    </row>
    <row r="42" spans="1:15" ht="14.4" thickBot="1">
      <c r="A42" s="1660"/>
      <c r="B42" s="143"/>
      <c r="C42" s="144"/>
      <c r="D42" s="144"/>
      <c r="E42" s="145"/>
      <c r="F42" s="1653"/>
      <c r="G42" s="120"/>
      <c r="H42" s="120"/>
      <c r="I42" s="120"/>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294" t="s">
        <v>1326</v>
      </c>
      <c r="B45" s="3295"/>
      <c r="C45" s="3296"/>
      <c r="D45" s="146">
        <f ca="1">ROUND(H101*F45,0)</f>
        <v>190</v>
      </c>
      <c r="E45" s="147" t="s">
        <v>1327</v>
      </c>
      <c r="F45" s="148">
        <v>1</v>
      </c>
      <c r="G45" s="149" t="s">
        <v>1328</v>
      </c>
      <c r="H45" s="120"/>
      <c r="I45" s="120"/>
      <c r="J45" s="3372" t="s">
        <v>1329</v>
      </c>
      <c r="K45" s="3372"/>
      <c r="L45" s="3372"/>
      <c r="M45" s="3372"/>
      <c r="N45" s="3372"/>
      <c r="O45" s="3372"/>
    </row>
    <row r="46" spans="1:15" ht="14.25" customHeight="1">
      <c r="A46" s="3291" t="s">
        <v>1330</v>
      </c>
      <c r="B46" s="3292"/>
      <c r="C46" s="3292"/>
      <c r="D46" s="3292"/>
      <c r="E46" s="3292"/>
      <c r="F46" s="3292"/>
      <c r="G46" s="3293"/>
      <c r="H46" s="1667"/>
      <c r="I46" s="150"/>
      <c r="J46" s="2308">
        <v>1</v>
      </c>
      <c r="K46" s="3353" t="s">
        <v>1331</v>
      </c>
      <c r="L46" s="3353"/>
      <c r="M46" s="3373"/>
      <c r="N46" s="3373"/>
      <c r="O46" s="3373"/>
    </row>
    <row r="47" spans="1:15" ht="12" customHeight="1">
      <c r="A47" s="151" t="s">
        <v>1332</v>
      </c>
      <c r="B47" s="152"/>
      <c r="C47" s="153"/>
      <c r="D47" s="1023" t="s">
        <v>1333</v>
      </c>
      <c r="E47" s="293" t="s">
        <v>1334</v>
      </c>
      <c r="F47" s="154" t="s">
        <v>1335</v>
      </c>
      <c r="G47" s="2331" t="s">
        <v>1336</v>
      </c>
      <c r="H47" s="2332"/>
      <c r="I47" s="150"/>
      <c r="J47" s="2308">
        <v>2</v>
      </c>
      <c r="K47" s="3353" t="s">
        <v>1337</v>
      </c>
      <c r="L47" s="3353"/>
      <c r="M47" s="3374">
        <f>'数据-取费表'!B2</f>
        <v>45562</v>
      </c>
      <c r="N47" s="3374"/>
      <c r="O47" s="3374"/>
    </row>
    <row r="48" spans="1:15" ht="26.4">
      <c r="A48" s="3322" t="s">
        <v>1338</v>
      </c>
      <c r="B48" s="3305"/>
      <c r="C48" s="3305"/>
      <c r="D48" s="12" t="b">
        <f>IF(H48="情况1",0,IF(H48="情况2",D52,IF(H48="情况3",D53,IF(H48="情况4",D54))))</f>
        <v>0</v>
      </c>
      <c r="E48" s="1255" t="str">
        <f>IF(H48="情况4","(销售额-原购置价)×税（费）率","销售额×税（费）率")</f>
        <v>销售额×税（费）率</v>
      </c>
      <c r="F48" s="2333">
        <f>IF(H48="情况1","免征",'数据-取费表'!B41)</f>
        <v>5.5000000000000007E-2</v>
      </c>
      <c r="G48" s="2334" t="s">
        <v>1339</v>
      </c>
      <c r="H48" s="2335"/>
      <c r="I48" s="1667"/>
      <c r="J48" s="2308">
        <v>3</v>
      </c>
      <c r="K48" s="3353" t="s">
        <v>1340</v>
      </c>
      <c r="L48" s="3353"/>
      <c r="M48" s="3375">
        <f ca="1">H101</f>
        <v>189.83150000000001</v>
      </c>
      <c r="N48" s="3375"/>
      <c r="O48" s="3375"/>
    </row>
    <row r="49" spans="1:35" ht="25.5" customHeight="1">
      <c r="A49" s="2151" t="s">
        <v>1341</v>
      </c>
      <c r="B49" s="3289" t="s">
        <v>1342</v>
      </c>
      <c r="C49" s="3289"/>
      <c r="D49" s="1477">
        <v>0</v>
      </c>
      <c r="E49" s="315" t="s">
        <v>1343</v>
      </c>
      <c r="F49" s="2231" t="s">
        <v>28</v>
      </c>
      <c r="G49" s="3359"/>
      <c r="H49" s="2133" t="s">
        <v>2134</v>
      </c>
      <c r="I49" s="2134"/>
      <c r="J49" s="2308">
        <v>4</v>
      </c>
      <c r="K49" s="3353" t="str">
        <f>IF(项目基本情况!E8="房地产抵押价值","房地产抵押价值","抵押担保权已注销时的房地产抵押价值")</f>
        <v>抵押担保权已注销时的房地产抵押价值</v>
      </c>
      <c r="L49" s="3353"/>
      <c r="M49" s="3375" t="str">
        <f>IF(项目基本情况!E8="房地产抵押价值",H107,H109)</f>
        <v>——</v>
      </c>
      <c r="N49" s="3375"/>
      <c r="O49" s="3375"/>
    </row>
    <row r="50" spans="1:35" ht="25.5" customHeight="1">
      <c r="A50" s="2336"/>
      <c r="B50" s="3289" t="s">
        <v>1344</v>
      </c>
      <c r="C50" s="3289"/>
      <c r="D50" s="2188"/>
      <c r="E50" s="322"/>
      <c r="F50" s="2231"/>
      <c r="G50" s="3360"/>
      <c r="H50" s="2135" t="s">
        <v>2135</v>
      </c>
      <c r="I50" s="2134"/>
      <c r="J50" s="3372" t="s">
        <v>1345</v>
      </c>
      <c r="K50" s="3372"/>
      <c r="L50" s="3372"/>
      <c r="M50" s="3372"/>
      <c r="N50" s="3372"/>
      <c r="O50" s="3372"/>
    </row>
    <row r="51" spans="1:35" ht="20.399999999999999" customHeight="1">
      <c r="A51" s="2337"/>
      <c r="B51" s="3289" t="s">
        <v>1346</v>
      </c>
      <c r="C51" s="3289"/>
      <c r="D51" s="1023"/>
      <c r="E51" s="318"/>
      <c r="F51" s="2231"/>
      <c r="G51" s="3361"/>
      <c r="H51" s="2135" t="s">
        <v>2136</v>
      </c>
      <c r="I51" s="2134"/>
      <c r="J51" s="2309" t="s">
        <v>1347</v>
      </c>
      <c r="K51" s="3353" t="s">
        <v>1348</v>
      </c>
      <c r="L51" s="3353"/>
      <c r="M51" s="2309" t="s">
        <v>1349</v>
      </c>
      <c r="N51" s="2309" t="s">
        <v>1350</v>
      </c>
      <c r="O51" s="2309" t="s">
        <v>1351</v>
      </c>
    </row>
    <row r="52" spans="1:35" ht="24" customHeight="1">
      <c r="A52" s="2152" t="s">
        <v>1352</v>
      </c>
      <c r="B52" s="3289" t="s">
        <v>1353</v>
      </c>
      <c r="C52" s="3289"/>
      <c r="D52" s="1023">
        <f ca="1">ROUND(D45*'数据-取费表'!B41/(1+'数据-取费表'!C42),0)</f>
        <v>10</v>
      </c>
      <c r="E52" s="1255" t="s">
        <v>1354</v>
      </c>
      <c r="F52" s="2338">
        <f>'数据-取费表'!B41</f>
        <v>5.5000000000000007E-2</v>
      </c>
      <c r="G52" s="2339"/>
      <c r="H52" s="2329"/>
      <c r="I52" s="1668"/>
      <c r="J52" s="2308">
        <v>1</v>
      </c>
      <c r="K52" s="3354" t="s">
        <v>1355</v>
      </c>
      <c r="L52" s="3354"/>
      <c r="M52" s="2310" t="b">
        <f>D48</f>
        <v>0</v>
      </c>
      <c r="N52" s="2308" t="str">
        <f>E48</f>
        <v>销售额×税（费）率</v>
      </c>
      <c r="O52" s="2311">
        <f>F48</f>
        <v>5.5000000000000007E-2</v>
      </c>
    </row>
    <row r="53" spans="1:35" ht="12" customHeight="1">
      <c r="A53" s="2152" t="s">
        <v>1356</v>
      </c>
      <c r="B53" s="3315" t="s">
        <v>2289</v>
      </c>
      <c r="C53" s="3316"/>
      <c r="D53" s="1023">
        <f ca="1">ROUND(D45*'数据-取费表'!B41/(1+'数据-取费表'!C42),0)</f>
        <v>10</v>
      </c>
      <c r="E53" s="1255" t="s">
        <v>1354</v>
      </c>
      <c r="F53" s="2338">
        <f>'数据-取费表'!B41</f>
        <v>5.5000000000000007E-2</v>
      </c>
      <c r="G53" s="2339"/>
      <c r="H53" s="2329"/>
      <c r="I53" s="1668"/>
      <c r="J53" s="2308">
        <v>2</v>
      </c>
      <c r="K53" s="3354" t="s">
        <v>1357</v>
      </c>
      <c r="L53" s="3354"/>
      <c r="M53" s="2310">
        <f t="shared" ref="M53:O54" ca="1" si="0">D55</f>
        <v>0</v>
      </c>
      <c r="N53" s="2308" t="str">
        <f t="shared" si="0"/>
        <v>销售额×税（费）率</v>
      </c>
      <c r="O53" s="2311" t="str">
        <f t="shared" si="0"/>
        <v>免征</v>
      </c>
    </row>
    <row r="54" spans="1:35" ht="12" customHeight="1">
      <c r="A54" s="2152" t="s">
        <v>1358</v>
      </c>
      <c r="B54" s="3315" t="s">
        <v>2290</v>
      </c>
      <c r="C54" s="3316"/>
      <c r="D54" s="1023">
        <f ca="1">C68</f>
        <v>10</v>
      </c>
      <c r="E54" s="318" t="s">
        <v>1359</v>
      </c>
      <c r="F54" s="2338">
        <f>'数据-取费表'!B41</f>
        <v>5.5000000000000007E-2</v>
      </c>
      <c r="G54" s="2339"/>
      <c r="H54" s="2340"/>
      <c r="I54" s="1668"/>
      <c r="J54" s="2308">
        <v>3</v>
      </c>
      <c r="K54" s="3354" t="s">
        <v>1360</v>
      </c>
      <c r="L54" s="3354"/>
      <c r="M54" s="2310">
        <f t="shared" ca="1" si="0"/>
        <v>108</v>
      </c>
      <c r="N54" s="2308" t="str">
        <f t="shared" si="0"/>
        <v>增值额×税（费）率</v>
      </c>
      <c r="O54" s="2312" t="str">
        <f t="shared" si="0"/>
        <v>免征</v>
      </c>
    </row>
    <row r="55" spans="1:35" ht="24" customHeight="1">
      <c r="A55" s="3304" t="s">
        <v>1361</v>
      </c>
      <c r="B55" s="3305"/>
      <c r="C55" s="3305"/>
      <c r="D55" s="12">
        <f ca="1">IF(H55="个人住宅",0,ROUND(D45*I55,0))</f>
        <v>0</v>
      </c>
      <c r="E55" s="1255" t="s">
        <v>1362</v>
      </c>
      <c r="F55" s="2338" t="str">
        <f>IF(H55="正常",I55,"免征")</f>
        <v>免征</v>
      </c>
      <c r="G55" s="2339"/>
      <c r="H55" s="2335"/>
      <c r="I55" s="156">
        <f>'数据-取费表'!B49</f>
        <v>5.0000000000000001E-4</v>
      </c>
      <c r="J55" s="2308">
        <f>IF(H59="非个人房产","",4)</f>
        <v>4</v>
      </c>
      <c r="K55" s="3354" t="str">
        <f>IF(H59="非个人房产","——","个人所得税")</f>
        <v>个人所得税</v>
      </c>
      <c r="L55" s="3354"/>
      <c r="M55" s="2313">
        <f ca="1">D59</f>
        <v>2</v>
      </c>
      <c r="N55" s="1882" t="str">
        <f>E59</f>
        <v>差额计税</v>
      </c>
      <c r="O55" s="2314">
        <f>F59</f>
        <v>0.01</v>
      </c>
    </row>
    <row r="56" spans="1:35" ht="25.2">
      <c r="A56" s="3304" t="s">
        <v>1363</v>
      </c>
      <c r="B56" s="3305"/>
      <c r="C56" s="3305"/>
      <c r="D56" s="12">
        <f ca="1">IF(H56="个人住宅",D57,D58)</f>
        <v>108</v>
      </c>
      <c r="E56" s="1255" t="s">
        <v>1364</v>
      </c>
      <c r="F56" s="2338" t="str">
        <f>IF(H56="正常",F58,"免征")</f>
        <v>免征</v>
      </c>
      <c r="G56" s="2341" t="s">
        <v>1365</v>
      </c>
      <c r="H56" s="2342"/>
      <c r="I56" s="1669"/>
      <c r="J56" s="2308" t="str">
        <f>IF(项目基本情况!K6="上海银行",IF(J55="",4,J55+1),"")</f>
        <v/>
      </c>
      <c r="K56" s="3377" t="str">
        <f>IF(项目基本情况!K6="上海银行","其他处置费用","")</f>
        <v/>
      </c>
      <c r="L56" s="3378"/>
      <c r="M56" s="2310" t="str">
        <f>IF(项目基本情况!K6="上海银行",M69,"")</f>
        <v/>
      </c>
      <c r="N56" s="3377" t="str">
        <f>IF(项目基本情况!K6="上海银行","包含处置中涉及的律师、诉讼、拍卖、评估等费用","")</f>
        <v/>
      </c>
      <c r="O56" s="3380"/>
    </row>
    <row r="57" spans="1:35" ht="13.2">
      <c r="A57" s="2152" t="s">
        <v>1341</v>
      </c>
      <c r="B57" s="3315" t="s">
        <v>1366</v>
      </c>
      <c r="C57" s="3316"/>
      <c r="D57" s="1477">
        <v>0</v>
      </c>
      <c r="E57" s="315" t="s">
        <v>1343</v>
      </c>
      <c r="F57" s="293"/>
      <c r="G57" s="2339"/>
      <c r="H57" s="2343"/>
      <c r="I57" s="1669"/>
      <c r="J57" s="3354">
        <f>IF(AND(J55="",J56=""),4,IF(项目基本情况!K6="上海银行",结果表2号!J56+1,结果表2号!J55+1))</f>
        <v>5</v>
      </c>
      <c r="K57" s="3354" t="s">
        <v>1367</v>
      </c>
      <c r="L57" s="2315" t="s">
        <v>1368</v>
      </c>
      <c r="M57" s="2316"/>
      <c r="N57" s="2317">
        <f ca="1">SUMIF(M52:M56,"&lt;9e307")</f>
        <v>110</v>
      </c>
      <c r="O57" s="2318"/>
      <c r="P57" s="2462" t="e">
        <f ca="1">N57/M49</f>
        <v>#VALUE!</v>
      </c>
    </row>
    <row r="58" spans="1:35" ht="25.2">
      <c r="A58" s="2152" t="s">
        <v>1352</v>
      </c>
      <c r="B58" s="3315" t="s">
        <v>1369</v>
      </c>
      <c r="C58" s="3289"/>
      <c r="D58" s="12">
        <f ca="1">IF(H58="转让取得",C81,C97)</f>
        <v>108</v>
      </c>
      <c r="E58" s="1255" t="s">
        <v>1364</v>
      </c>
      <c r="F58" s="293" t="s">
        <v>28</v>
      </c>
      <c r="G58" s="2339"/>
      <c r="H58" s="2342"/>
      <c r="I58" s="1669"/>
      <c r="J58" s="3354"/>
      <c r="K58" s="3354"/>
      <c r="L58" s="2315" t="s">
        <v>1370</v>
      </c>
      <c r="M58" s="2319"/>
      <c r="N58" s="2320" t="str">
        <f ca="1">NUMBERSTRING(INT(N57*10000),2)&amp;"元整"</f>
        <v>壹佰壹拾万元整</v>
      </c>
      <c r="O58" s="2321"/>
    </row>
    <row r="59" spans="1:35" ht="24.6" thickBot="1">
      <c r="A59" s="3357" t="s">
        <v>1371</v>
      </c>
      <c r="B59" s="3358"/>
      <c r="C59" s="3358"/>
      <c r="D59" s="2344">
        <f ca="1">IF(H59="非个人房产","——",IF(H59="个人住宅（满五唯一有凭证）",0,IF(H59="个人其他（无凭证）",ROUND(D45*F59,0),ROUND(C67*F59,0))))</f>
        <v>2</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355">
        <f>J57+1</f>
        <v>6</v>
      </c>
      <c r="K59" s="3354" t="s">
        <v>1372</v>
      </c>
      <c r="L59" s="2308" t="s">
        <v>1368</v>
      </c>
      <c r="M59" s="2322"/>
      <c r="N59" s="2323" t="e">
        <f ca="1">M49-N57</f>
        <v>#VALUE!</v>
      </c>
      <c r="O59" s="2324"/>
    </row>
    <row r="60" spans="1:35" ht="12" customHeight="1">
      <c r="A60" s="1670"/>
      <c r="B60" s="645"/>
      <c r="C60" s="645"/>
      <c r="D60" s="645"/>
      <c r="E60" s="1465"/>
      <c r="F60" s="1669"/>
      <c r="G60" s="1669"/>
      <c r="H60" s="150"/>
      <c r="I60" s="120"/>
      <c r="J60" s="3356"/>
      <c r="K60" s="3354"/>
      <c r="L60" s="2315" t="s">
        <v>1370</v>
      </c>
      <c r="M60" s="2319"/>
      <c r="N60" s="2320" t="e">
        <f ca="1">NUMBERSTRING(INT(N59*10000),2)&amp;"元整"</f>
        <v>#VALUE!</v>
      </c>
      <c r="O60" s="2321"/>
    </row>
    <row r="61" spans="1:35" ht="13.8" thickBot="1">
      <c r="A61" s="3302" t="s">
        <v>1373</v>
      </c>
      <c r="B61" s="3302"/>
      <c r="C61" s="3302"/>
      <c r="D61" s="3302"/>
      <c r="E61" s="3302"/>
      <c r="F61" s="1669"/>
      <c r="G61" s="1669"/>
      <c r="H61" s="150"/>
      <c r="I61" s="120"/>
      <c r="J61" s="2308">
        <f>J59+1</f>
        <v>7</v>
      </c>
      <c r="K61" s="3354" t="s">
        <v>1374</v>
      </c>
      <c r="L61" s="3354"/>
      <c r="M61" s="2325"/>
      <c r="N61" s="2326" t="e">
        <f ca="1">ROUND(N59*10000/'数据-汇总表'!E3,0)</f>
        <v>#VALUE!</v>
      </c>
      <c r="O61" s="2327"/>
    </row>
    <row r="62" spans="1:35" ht="13.2">
      <c r="A62" s="3320" t="s">
        <v>1375</v>
      </c>
      <c r="B62" s="3321"/>
      <c r="C62" s="1864"/>
      <c r="D62" s="1864" t="s">
        <v>1376</v>
      </c>
      <c r="E62" s="157" t="s">
        <v>1377</v>
      </c>
      <c r="F62" s="1669"/>
      <c r="G62" s="1669"/>
      <c r="H62" s="150"/>
      <c r="I62" s="120"/>
    </row>
    <row r="63" spans="1:35" ht="13.2">
      <c r="A63" s="164" t="s">
        <v>330</v>
      </c>
      <c r="B63" s="158" t="s">
        <v>1378</v>
      </c>
      <c r="C63" s="2348">
        <f ca="1">ROUND((C64+C65)/(1+'数据-取费表'!C42),0)</f>
        <v>181</v>
      </c>
      <c r="D63" s="158"/>
      <c r="E63" s="159"/>
      <c r="F63" s="1669"/>
      <c r="G63" s="1669"/>
      <c r="H63" s="150"/>
      <c r="I63" s="120"/>
      <c r="J63" s="3379" t="s">
        <v>1379</v>
      </c>
      <c r="K63" s="1244" t="s">
        <v>1380</v>
      </c>
      <c r="L63" s="1244" t="e">
        <f>IF(M49&gt;10000,M49*0.5%,IF(AND(M49&gt;1000,M49&lt;=10000),M49*1%,IF(AND(M49&gt;100,M49&lt;=1000),M49*3%,IF(AND(M49&gt;10,M49&lt;=100),M49*5%,M49*8%))))</f>
        <v>#VALUE!</v>
      </c>
      <c r="M63" s="293" t="e">
        <f>ROUND(L63,1)</f>
        <v>#VALUE!</v>
      </c>
      <c r="N63" s="2328"/>
      <c r="Z63" s="1622"/>
      <c r="AI63" s="1560"/>
    </row>
    <row r="64" spans="1:35" ht="14.25" customHeight="1">
      <c r="A64" s="160" t="s">
        <v>325</v>
      </c>
      <c r="B64" s="161" t="s">
        <v>1381</v>
      </c>
      <c r="C64" s="2349">
        <f ca="1">D45</f>
        <v>190</v>
      </c>
      <c r="D64" s="161" t="s">
        <v>26</v>
      </c>
      <c r="E64" s="163"/>
      <c r="F64" s="1669"/>
      <c r="G64" s="1669"/>
      <c r="H64" s="150"/>
      <c r="I64" s="120"/>
      <c r="J64" s="3379"/>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3" t="e">
        <f t="shared" ref="M64:M65" si="1">ROUND(L64,1)</f>
        <v>#VALUE!</v>
      </c>
      <c r="N64" s="2329" t="s">
        <v>1383</v>
      </c>
      <c r="Z64" s="1622"/>
      <c r="AI64" s="1560"/>
    </row>
    <row r="65" spans="1:35" ht="14.25" customHeight="1">
      <c r="A65" s="160" t="s">
        <v>326</v>
      </c>
      <c r="B65" s="161" t="s">
        <v>1384</v>
      </c>
      <c r="C65" s="2350"/>
      <c r="D65" s="161"/>
      <c r="E65" s="163"/>
      <c r="F65" s="1669"/>
      <c r="G65" s="1669"/>
      <c r="H65" s="150"/>
      <c r="I65" s="120"/>
      <c r="J65" s="3379"/>
      <c r="K65" s="1244" t="s">
        <v>1385</v>
      </c>
      <c r="L65" s="1244" t="e">
        <f>IF(M49&gt;1000,M49*0.1%,IF(AND(M49&gt;500,M49&lt;=1000),M49*0.5%,IF(AND(M49&gt;50,M49&lt;=500),M49*1%,IF(AND(M49&gt;1,M49&lt;=50),M49*1.5%))))</f>
        <v>#VALUE!</v>
      </c>
      <c r="M65" s="293" t="e">
        <f t="shared" si="1"/>
        <v>#VALUE!</v>
      </c>
      <c r="N65" s="2329" t="s">
        <v>1383</v>
      </c>
      <c r="Z65" s="1622"/>
      <c r="AI65" s="1560"/>
    </row>
    <row r="66" spans="1:35" ht="14.25" customHeight="1">
      <c r="A66" s="164" t="s">
        <v>327</v>
      </c>
      <c r="B66" s="165" t="s">
        <v>1386</v>
      </c>
      <c r="C66" s="2351"/>
      <c r="D66" s="165" t="s">
        <v>26</v>
      </c>
      <c r="E66" s="1250" t="s">
        <v>671</v>
      </c>
      <c r="F66" s="1669"/>
      <c r="G66" s="1669"/>
      <c r="H66" s="150"/>
      <c r="I66" s="120"/>
      <c r="J66" s="3379"/>
      <c r="K66" s="1244" t="s">
        <v>1387</v>
      </c>
      <c r="L66" s="1244" t="e">
        <f>M49*0.5%</f>
        <v>#VALUE!</v>
      </c>
      <c r="M66" s="293" t="e">
        <f>IF(L66&gt;0.5,0.5,ROUND(L66,0))</f>
        <v>#VALUE!</v>
      </c>
      <c r="N66" s="2329" t="s">
        <v>1388</v>
      </c>
      <c r="Z66" s="1622"/>
      <c r="AI66" s="1560"/>
    </row>
    <row r="67" spans="1:35" ht="14.25" customHeight="1">
      <c r="A67" s="164" t="s">
        <v>328</v>
      </c>
      <c r="B67" s="165" t="s">
        <v>1389</v>
      </c>
      <c r="C67" s="2352">
        <f ca="1">C63-C66</f>
        <v>181</v>
      </c>
      <c r="D67" s="161" t="s">
        <v>26</v>
      </c>
      <c r="E67" s="163"/>
      <c r="F67" s="1669"/>
      <c r="G67" s="1669"/>
      <c r="H67" s="150"/>
      <c r="I67" s="120"/>
      <c r="J67" s="3379"/>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28"/>
      <c r="Z67" s="1622"/>
      <c r="AI67" s="1560"/>
    </row>
    <row r="68" spans="1:35" ht="14.25" customHeight="1" thickBot="1">
      <c r="A68" s="167" t="s">
        <v>329</v>
      </c>
      <c r="B68" s="168" t="s">
        <v>1391</v>
      </c>
      <c r="C68" s="2353">
        <f ca="1">IF(C67&lt;=0,0,ROUND(C67*D68,0))</f>
        <v>10</v>
      </c>
      <c r="D68" s="2354">
        <f>'数据-取费表'!B41</f>
        <v>5.5000000000000007E-2</v>
      </c>
      <c r="E68" s="169"/>
      <c r="F68" s="1669"/>
      <c r="G68" s="1669"/>
      <c r="H68" s="150"/>
      <c r="I68" s="120"/>
      <c r="J68" s="3379"/>
      <c r="K68" s="1244" t="s">
        <v>1392</v>
      </c>
      <c r="L68" s="1244" t="e">
        <f>IF(M49&gt;10000,M49*0.5%,IF(AND(M49&gt;5000,M49&lt;=10000),M49*1%,IF(AND(M49&gt;1000,M49&lt;=5000),M49*2%,IF(AND(M49&gt;200,M49&lt;=1000),M49*3%,M49*5%))))</f>
        <v>#VALUE!</v>
      </c>
      <c r="M68" s="293" t="e">
        <f>ROUND(L68,1)</f>
        <v>#VALUE!</v>
      </c>
      <c r="N68" s="2328"/>
      <c r="Z68" s="1622"/>
      <c r="AI68" s="1560"/>
    </row>
    <row r="69" spans="1:35" ht="16.5" customHeight="1">
      <c r="A69" s="1671"/>
      <c r="B69" s="1672"/>
      <c r="C69" s="1673"/>
      <c r="D69" s="1674"/>
      <c r="E69" s="1675"/>
      <c r="F69" s="1465"/>
      <c r="G69" s="1465"/>
      <c r="H69" s="1466"/>
      <c r="I69" s="645"/>
      <c r="J69" s="3379"/>
      <c r="K69" s="1244" t="s">
        <v>1393</v>
      </c>
      <c r="L69" s="1244"/>
      <c r="M69" s="293" t="e">
        <f>ROUND(SUM(M63:M68),0)</f>
        <v>#VALUE!</v>
      </c>
      <c r="N69" s="2330" t="e">
        <f>M69/M49</f>
        <v>#VALUE!</v>
      </c>
      <c r="Z69" s="1622"/>
      <c r="AI69" s="1560"/>
    </row>
    <row r="70" spans="1:35" s="641" customFormat="1" ht="14.4" thickBot="1">
      <c r="A70" s="3341" t="s">
        <v>1394</v>
      </c>
      <c r="B70" s="3342"/>
      <c r="C70" s="3342"/>
      <c r="D70" s="3342"/>
      <c r="E70" s="3342"/>
      <c r="F70" s="3342"/>
      <c r="G70" s="3342"/>
      <c r="H70" s="3342"/>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3.8">
      <c r="A71" s="3320" t="s">
        <v>1375</v>
      </c>
      <c r="B71" s="3321"/>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3.8">
      <c r="A72" s="164" t="s">
        <v>330</v>
      </c>
      <c r="B72" s="165" t="s">
        <v>1395</v>
      </c>
      <c r="C72" s="2352">
        <f ca="1">ROUND(D45/(1+'数据-取费表'!C42),0)</f>
        <v>181</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3.8">
      <c r="A73" s="164" t="s">
        <v>327</v>
      </c>
      <c r="B73" s="154" t="s">
        <v>1396</v>
      </c>
      <c r="C73" s="2352">
        <f ca="1">C74+C78</f>
        <v>1</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28.8">
      <c r="A75" s="160" t="s">
        <v>331</v>
      </c>
      <c r="B75" s="161" t="s">
        <v>1398</v>
      </c>
      <c r="C75" s="2355"/>
      <c r="D75" s="161" t="s">
        <v>26</v>
      </c>
      <c r="E75" s="175" t="s">
        <v>1399</v>
      </c>
      <c r="F75" s="2356"/>
      <c r="G75" s="175" t="s">
        <v>1400</v>
      </c>
      <c r="H75" s="2357"/>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8">
        <v>0.05</v>
      </c>
      <c r="E76" s="3315" t="s">
        <v>1402</v>
      </c>
      <c r="F76" s="3289"/>
      <c r="G76" s="3289"/>
      <c r="H76" s="3340"/>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59">
        <f>'数据-取费表'!B48+'数据-取费表'!B49</f>
        <v>3.0499999999999999E-2</v>
      </c>
      <c r="E77" s="12"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60">
        <f ca="1">ROUND(D45*D78/(1+'数据-取费表'!C42),0)</f>
        <v>1</v>
      </c>
      <c r="D78" s="2361">
        <f>'数据-取费表'!B43</f>
        <v>5.000000000000001E-3</v>
      </c>
      <c r="E78" s="3299" t="s">
        <v>1406</v>
      </c>
      <c r="F78" s="3300"/>
      <c r="G78" s="3300"/>
      <c r="H78" s="3309"/>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3.8">
      <c r="A79" s="164" t="s">
        <v>328</v>
      </c>
      <c r="B79" s="165" t="s">
        <v>1407</v>
      </c>
      <c r="C79" s="2352">
        <f ca="1">C72-C73</f>
        <v>180</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2">
        <f ca="1">IF(C79&lt;=0,0,C79/C73)</f>
        <v>180</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6" thickBot="1">
      <c r="A81" s="167" t="s">
        <v>336</v>
      </c>
      <c r="B81" s="168" t="s">
        <v>1409</v>
      </c>
      <c r="C81" s="2363">
        <f ca="1">ROUND(IF(C79&lt;=0,0,IF(C80&gt;=200%,C79*60%-C73*35%,IF(C80&gt;=100%,C79*50%-C73*15%,IF(C80&gt;=50%,C79*40%-C73*5%,IF(C80&lt;50%,C79*30%,0))))),0)</f>
        <v>108</v>
      </c>
      <c r="D81" s="2364"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4.4" thickBot="1">
      <c r="A83" s="3341" t="s">
        <v>1410</v>
      </c>
      <c r="B83" s="3342"/>
      <c r="C83" s="3342"/>
      <c r="D83" s="3342"/>
      <c r="E83" s="3342"/>
      <c r="F83" s="3342"/>
      <c r="G83" s="3342"/>
      <c r="H83" s="3342"/>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3.8">
      <c r="A84" s="3320" t="s">
        <v>1375</v>
      </c>
      <c r="B84" s="3321"/>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3.8">
      <c r="A85" s="164" t="s">
        <v>330</v>
      </c>
      <c r="B85" s="165" t="s">
        <v>1395</v>
      </c>
      <c r="C85" s="2352">
        <f ca="1">ROUND(D45/(1+'数据-取费表'!C42),0)</f>
        <v>181</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3.8">
      <c r="A86" s="164" t="s">
        <v>327</v>
      </c>
      <c r="B86" s="154" t="s">
        <v>1396</v>
      </c>
      <c r="C86" s="2352">
        <f ca="1">IF(H88="仅含出让金",C87+C90+C91+C92+C93+C94,C87+C91+C92+C93+C94)</f>
        <v>1</v>
      </c>
      <c r="D86" s="2365"/>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3.8">
      <c r="A87" s="160" t="s">
        <v>325</v>
      </c>
      <c r="B87" s="161" t="s">
        <v>1411</v>
      </c>
      <c r="C87" s="2360">
        <f>C88+C89</f>
        <v>0</v>
      </c>
      <c r="D87" s="2361"/>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4">
      <c r="A88" s="160" t="s">
        <v>331</v>
      </c>
      <c r="B88" s="161" t="s">
        <v>1412</v>
      </c>
      <c r="C88" s="2366"/>
      <c r="D88" s="2361"/>
      <c r="E88" s="184" t="s">
        <v>1413</v>
      </c>
      <c r="F88" s="2147"/>
      <c r="G88" s="185" t="s">
        <v>1414</v>
      </c>
      <c r="H88" s="1683"/>
      <c r="I88" s="1680"/>
      <c r="J88" s="2306" t="s">
        <v>2286</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3.8">
      <c r="A89" s="160" t="s">
        <v>332</v>
      </c>
      <c r="B89" s="161" t="s">
        <v>1403</v>
      </c>
      <c r="C89" s="2360">
        <f>ROUND(C88*D89,0)</f>
        <v>0</v>
      </c>
      <c r="D89" s="2361">
        <f>'数据-取费表'!B48+'数据-取费表'!B49</f>
        <v>3.0499999999999999E-2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4">
      <c r="A90" s="160" t="s">
        <v>326</v>
      </c>
      <c r="B90" s="161" t="s">
        <v>1416</v>
      </c>
      <c r="C90" s="2366"/>
      <c r="D90" s="2361"/>
      <c r="E90" s="184" t="str">
        <f>IF(H88="-","土地取得成本中已包含该笔费用"," ")</f>
        <v xml:space="preserve"> </v>
      </c>
      <c r="F90" s="2147"/>
      <c r="G90" s="3381" t="s">
        <v>2129</v>
      </c>
      <c r="H90" s="3382"/>
      <c r="I90" s="1680"/>
      <c r="J90" s="2306" t="s">
        <v>2287</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60">
        <f>IF(H91="——",成本法!C33,I91)</f>
        <v>0</v>
      </c>
      <c r="D91" s="2361"/>
      <c r="E91" s="3299" t="s">
        <v>1419</v>
      </c>
      <c r="F91" s="3300"/>
      <c r="G91" s="3300"/>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60">
        <f>ROUND((C87+C90+C91)*D92,0)</f>
        <v>0</v>
      </c>
      <c r="D92" s="2367"/>
      <c r="E92" s="3299" t="s">
        <v>1422</v>
      </c>
      <c r="F92" s="3300"/>
      <c r="G92" s="3300"/>
      <c r="H92" s="3309"/>
      <c r="I92" s="1680"/>
      <c r="J92" s="2307" t="s">
        <v>2288</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60">
        <f ca="1">ROUND(D45*D93/(1+'数据-取费表'!C42),0)</f>
        <v>1</v>
      </c>
      <c r="D93" s="2361">
        <f>'数据-取费表'!B43</f>
        <v>5.000000000000001E-3</v>
      </c>
      <c r="E93" s="3299" t="s">
        <v>1406</v>
      </c>
      <c r="F93" s="3300"/>
      <c r="G93" s="3300"/>
      <c r="H93" s="3309"/>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6">
        <f>ROUND((C87+C90+C91)*D94,0)</f>
        <v>0</v>
      </c>
      <c r="D94" s="2361">
        <v>0.2</v>
      </c>
      <c r="E94" s="3310" t="s">
        <v>1426</v>
      </c>
      <c r="F94" s="3311"/>
      <c r="G94" s="3311"/>
      <c r="H94" s="3312"/>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3.8">
      <c r="A95" s="164" t="s">
        <v>328</v>
      </c>
      <c r="B95" s="165" t="s">
        <v>1407</v>
      </c>
      <c r="C95" s="2352">
        <f ca="1">ROUND(C85-C86,0)</f>
        <v>180</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2">
        <f ca="1">IF(C95&lt;=0,0,C95/C86)</f>
        <v>180</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6" thickBot="1">
      <c r="A97" s="167" t="s">
        <v>336</v>
      </c>
      <c r="B97" s="168" t="s">
        <v>1409</v>
      </c>
      <c r="C97" s="2363">
        <f ca="1">ROUND(IF(C95&lt;=0,0,IF(C96&gt;=200%,C95*60%-C86*35%,IF(C96&gt;=100%,C95*50%-C86*15%,IF(C96&gt;=50%,C95*40%-C86*5%,IF(C96&lt;50%,C95*30%,0))))),0)</f>
        <v>108</v>
      </c>
      <c r="D97" s="2364"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73" t="s">
        <v>1428</v>
      </c>
      <c r="B100" s="3274"/>
      <c r="C100" s="3274"/>
      <c r="D100" s="3301"/>
      <c r="E100" s="3274" t="s">
        <v>1429</v>
      </c>
      <c r="F100" s="3274"/>
      <c r="G100" s="3274"/>
      <c r="H100" s="3301"/>
      <c r="I100" s="120"/>
    </row>
    <row r="101" spans="1:35" ht="18.75" customHeight="1">
      <c r="A101" s="3362" t="s">
        <v>1430</v>
      </c>
      <c r="B101" s="3363"/>
      <c r="C101" s="2369" t="str">
        <f>C4</f>
        <v>比较法-商业1号</v>
      </c>
      <c r="D101" s="2370" t="str">
        <f>D4</f>
        <v>收益法 (元)1号</v>
      </c>
      <c r="E101" s="3376" t="s">
        <v>1431</v>
      </c>
      <c r="F101" s="3333"/>
      <c r="G101" s="1686" t="s">
        <v>1432</v>
      </c>
      <c r="H101" s="2379">
        <f ca="1">H118</f>
        <v>189.83150000000001</v>
      </c>
      <c r="I101" s="120"/>
    </row>
    <row r="102" spans="1:35" ht="18.75" customHeight="1">
      <c r="A102" s="3335" t="s">
        <v>1433</v>
      </c>
      <c r="B102" s="2368" t="s">
        <v>1432</v>
      </c>
      <c r="C102" s="3530">
        <f ca="1">IF(D32="楼面单价",ROUND(C19,4),C19)</f>
        <v>253.27019999999999</v>
      </c>
      <c r="D102" s="3531">
        <f ca="1">IF(D32="楼面单价",ROUND(D19,4),D19)</f>
        <v>94.671499999999995</v>
      </c>
      <c r="E102" s="3376"/>
      <c r="F102" s="3333"/>
      <c r="G102" s="1686" t="s">
        <v>1434</v>
      </c>
      <c r="H102" s="2339">
        <f ca="1">I118</f>
        <v>12143</v>
      </c>
      <c r="I102" s="120"/>
    </row>
    <row r="103" spans="1:35" ht="42.75" customHeight="1">
      <c r="A103" s="3335"/>
      <c r="B103" s="2368" t="s">
        <v>1434</v>
      </c>
      <c r="C103" s="2371">
        <f ca="1">C20</f>
        <v>16201</v>
      </c>
      <c r="D103" s="2372">
        <f ca="1">D20</f>
        <v>6056</v>
      </c>
      <c r="E103" s="3370" t="s">
        <v>1435</v>
      </c>
      <c r="F103" s="3371"/>
      <c r="G103" s="1687" t="s">
        <v>1436</v>
      </c>
      <c r="H103" s="2379">
        <f>IF(D36="正常操作",H104+H105+H106,H105+H106)</f>
        <v>0</v>
      </c>
      <c r="I103" s="120"/>
    </row>
    <row r="104" spans="1:35" ht="18.75" customHeight="1">
      <c r="A104" s="3335" t="s">
        <v>1437</v>
      </c>
      <c r="B104" s="2373" t="s">
        <v>1432</v>
      </c>
      <c r="C104" s="2374">
        <f ca="1">H118</f>
        <v>189.83150000000001</v>
      </c>
      <c r="D104" s="2375"/>
      <c r="E104" s="1554" t="s">
        <v>1438</v>
      </c>
      <c r="F104" s="1547"/>
      <c r="G104" s="1687" t="s">
        <v>1436</v>
      </c>
      <c r="H104" s="2380">
        <f>IF(D36="同一抵押权人同一抵押物续贷",C36&amp;"（续贷，未扣减，详见特别提示）",C36)</f>
        <v>0</v>
      </c>
      <c r="I104" s="120"/>
    </row>
    <row r="105" spans="1:35" ht="18.75" customHeight="1" thickBot="1">
      <c r="A105" s="3336"/>
      <c r="B105" s="2376" t="s">
        <v>1434</v>
      </c>
      <c r="C105" s="2377">
        <f ca="1">I118</f>
        <v>12143</v>
      </c>
      <c r="D105" s="2378"/>
      <c r="E105" s="1554" t="s">
        <v>1439</v>
      </c>
      <c r="F105" s="1547"/>
      <c r="G105" s="1687" t="s">
        <v>1436</v>
      </c>
      <c r="H105" s="2381">
        <f>C37</f>
        <v>0</v>
      </c>
      <c r="I105" s="120"/>
    </row>
    <row r="106" spans="1:35" ht="18.75" customHeight="1">
      <c r="A106" s="645" t="s">
        <v>1440</v>
      </c>
      <c r="B106" s="645"/>
      <c r="C106" s="645"/>
      <c r="D106" s="645"/>
      <c r="E106" s="1688" t="s">
        <v>1441</v>
      </c>
      <c r="F106" s="1547"/>
      <c r="G106" s="1687" t="s">
        <v>1436</v>
      </c>
      <c r="H106" s="2381">
        <f>C38</f>
        <v>0</v>
      </c>
      <c r="I106" s="120"/>
    </row>
    <row r="107" spans="1:35" ht="18.75" customHeight="1">
      <c r="A107" s="120"/>
      <c r="B107" s="120"/>
      <c r="C107" s="120"/>
      <c r="D107" s="120"/>
      <c r="E107" s="3332" t="str">
        <f>IF(项目基本情况!E8="已注销","——","3.房地产抵押价值")</f>
        <v>3.房地产抵押价值</v>
      </c>
      <c r="F107" s="3333"/>
      <c r="G107" s="1686" t="s">
        <v>1432</v>
      </c>
      <c r="H107" s="2379">
        <f ca="1">IF(E107="——","——",H101-H103)</f>
        <v>189.83150000000001</v>
      </c>
      <c r="I107" s="120"/>
    </row>
    <row r="108" spans="1:35" ht="18.75" customHeight="1">
      <c r="A108" s="120"/>
      <c r="B108" s="120"/>
      <c r="C108" s="120"/>
      <c r="D108" s="120"/>
      <c r="E108" s="3332"/>
      <c r="F108" s="3333"/>
      <c r="G108" s="1686" t="s">
        <v>1434</v>
      </c>
      <c r="H108" s="2339">
        <f ca="1">IF(H107=H101,H102,ROUND(H107*10000/'数据-汇总表'!E3,0))</f>
        <v>12143</v>
      </c>
      <c r="I108" s="120"/>
    </row>
    <row r="109" spans="1:35" ht="18.75" customHeight="1">
      <c r="A109" s="120"/>
      <c r="B109" s="120"/>
      <c r="C109" s="120"/>
      <c r="D109" s="120"/>
      <c r="E109" s="3332" t="str">
        <f>IF(项目基本情况!E8="已注销及未注销","4.抵押担保权已注销时的房地产抵押价值",IF(项目基本情况!E8="已注销","3.抵押担保权已注销时的房地产抵押价值","——"))</f>
        <v>——</v>
      </c>
      <c r="F109" s="3333"/>
      <c r="G109" s="1686" t="s">
        <v>1432</v>
      </c>
      <c r="H109" s="2382" t="str">
        <f>IF(E109="——","——",H101-H105-H106)</f>
        <v>——</v>
      </c>
      <c r="I109" s="120"/>
    </row>
    <row r="110" spans="1:35" ht="18.75" customHeight="1">
      <c r="A110" s="120"/>
      <c r="B110" s="120"/>
      <c r="C110" s="120"/>
      <c r="D110" s="120"/>
      <c r="E110" s="3332"/>
      <c r="F110" s="3333"/>
      <c r="G110" s="1686" t="s">
        <v>1434</v>
      </c>
      <c r="H110" s="2339" t="str">
        <f>IF(H109="——","——",ROUND(H109*10000/'数据-汇总表'!E3,0))</f>
        <v>——</v>
      </c>
      <c r="I110" s="120"/>
    </row>
    <row r="111" spans="1:35" ht="18.75" customHeight="1">
      <c r="A111" s="120"/>
      <c r="B111" s="120"/>
      <c r="C111" s="120"/>
      <c r="D111" s="120"/>
      <c r="E111" s="3364" t="str">
        <f>IF(项目基本情况!E9="抵押净值",IF(OR(项目基本情况!E8="已注销",项目基本情况!E8="房地产抵押价值"),"4.抵押净值","5.抵押净值"),"——")</f>
        <v>——</v>
      </c>
      <c r="F111" s="3334"/>
      <c r="G111" s="1686" t="s">
        <v>1432</v>
      </c>
      <c r="H111" s="2379" t="str">
        <f>IF(E111="——","——",N59)</f>
        <v>——</v>
      </c>
      <c r="I111" s="120"/>
    </row>
    <row r="112" spans="1:35" ht="18.75" customHeight="1" thickBot="1">
      <c r="A112" s="120"/>
      <c r="B112" s="120"/>
      <c r="C112" s="120"/>
      <c r="D112" s="120"/>
      <c r="E112" s="3365"/>
      <c r="F112" s="3366"/>
      <c r="G112" s="1689" t="s">
        <v>1434</v>
      </c>
      <c r="H112" s="2383" t="str">
        <f>IF(E111="——","——",N61)</f>
        <v>——</v>
      </c>
      <c r="I112" s="120"/>
    </row>
    <row r="113" spans="1:27" ht="18.75" customHeight="1">
      <c r="A113" s="120"/>
      <c r="B113" s="120"/>
      <c r="C113" s="120"/>
      <c r="D113" s="120"/>
      <c r="E113" s="3337" t="s">
        <v>1440</v>
      </c>
      <c r="F113" s="3337"/>
      <c r="G113" s="3337"/>
      <c r="H113" s="3337"/>
      <c r="I113" s="120"/>
    </row>
    <row r="114" spans="1:27" ht="3.75" customHeight="1">
      <c r="A114" s="645"/>
      <c r="B114" s="645"/>
      <c r="C114" s="645"/>
      <c r="D114" s="645"/>
      <c r="E114" s="1670"/>
      <c r="F114" s="1670"/>
      <c r="G114" s="1670"/>
      <c r="H114" s="1670"/>
      <c r="I114" s="645"/>
    </row>
    <row r="115" spans="1:27" ht="18.75" customHeight="1">
      <c r="A115" s="3347" t="s">
        <v>1442</v>
      </c>
      <c r="B115" s="3348"/>
      <c r="C115" s="3348"/>
      <c r="D115" s="3348"/>
      <c r="E115" s="3348"/>
      <c r="F115" s="3348"/>
      <c r="G115" s="3348"/>
      <c r="H115" s="3348"/>
      <c r="I115" s="3349"/>
    </row>
    <row r="116" spans="1:27" ht="27" customHeight="1">
      <c r="A116" s="3303" t="s">
        <v>1443</v>
      </c>
      <c r="B116" s="3338" t="s">
        <v>1444</v>
      </c>
      <c r="C116" s="3338" t="s">
        <v>1445</v>
      </c>
      <c r="D116" s="3351" t="s">
        <v>1446</v>
      </c>
      <c r="E116" s="3352"/>
      <c r="F116" s="3346" t="s">
        <v>1447</v>
      </c>
      <c r="G116" s="3346"/>
      <c r="H116" s="3303" t="s">
        <v>1448</v>
      </c>
      <c r="I116" s="3303"/>
    </row>
    <row r="117" spans="1:27" ht="18.75" customHeight="1">
      <c r="A117" s="3303"/>
      <c r="B117" s="3339"/>
      <c r="C117" s="3339"/>
      <c r="D117" s="2149" t="s">
        <v>1449</v>
      </c>
      <c r="E117" s="2149" t="s">
        <v>1450</v>
      </c>
      <c r="F117" s="2149" t="s">
        <v>1449</v>
      </c>
      <c r="G117" s="2149" t="s">
        <v>1451</v>
      </c>
      <c r="H117" s="2149" t="s">
        <v>1449</v>
      </c>
      <c r="I117" s="2149" t="s">
        <v>1451</v>
      </c>
    </row>
    <row r="118" spans="1:27" ht="24.75" customHeight="1">
      <c r="A118" s="2384" t="str">
        <f>项目基本情况!S2</f>
        <v>北京市延庆县燕水佳园14号楼1至2层1号、2号房地产</v>
      </c>
      <c r="B118" s="2149">
        <f>M18</f>
        <v>156.33000000000001</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3529">
        <f ca="1">ROUND(IF(D32="总价",C32,I118*B118/10000),4)</f>
        <v>189.83150000000001</v>
      </c>
      <c r="I118" s="2149">
        <f ca="1">ROUND(IF(D32="楼面单价",C32,H118*10000/B118),0)</f>
        <v>12143</v>
      </c>
    </row>
    <row r="119" spans="1:27" ht="18.75" customHeight="1">
      <c r="A119" s="3303" t="s">
        <v>1452</v>
      </c>
      <c r="B119" s="3303"/>
      <c r="C119" s="3303"/>
      <c r="D119" s="3343" t="str">
        <f>NUMBERSTRING(INT(D118*10000),2)&amp;"元整"</f>
        <v>零元整</v>
      </c>
      <c r="E119" s="3345"/>
      <c r="F119" s="3343" t="str">
        <f>NUMBERSTRING(INT(F118*10000),2)&amp;"元整"</f>
        <v>零元整</v>
      </c>
      <c r="G119" s="3345"/>
      <c r="H119" s="3343" t="str">
        <f ca="1">NUMBERSTRING(INT(H118*10000),2)&amp;"元整"</f>
        <v>壹佰捌拾玖万捌仟叁佰壹拾伍元整</v>
      </c>
      <c r="I119" s="3345"/>
    </row>
    <row r="120" spans="1:27" ht="18.75" customHeight="1">
      <c r="A120" s="3367" t="str">
        <f>IF(项目基本情况!B9="房地产市场价值","",MID(E103,3,LEN(E103)-2))</f>
        <v>估价师知悉的法定优先受偿款</v>
      </c>
      <c r="B120" s="3368"/>
      <c r="C120" s="3369"/>
      <c r="D120" s="3367">
        <f>H103</f>
        <v>0</v>
      </c>
      <c r="E120" s="3368"/>
      <c r="F120" s="3368"/>
      <c r="G120" s="3368"/>
      <c r="H120" s="3368"/>
      <c r="I120" s="3369"/>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43" t="s">
        <v>1452</v>
      </c>
      <c r="B121" s="3344"/>
      <c r="C121" s="3345"/>
      <c r="D121" s="3343" t="str">
        <f>IF(D120=0,"零元整",NUMBERSTRING(INT(D120*10000),2)&amp;"元整")</f>
        <v>零元整</v>
      </c>
      <c r="E121" s="3344"/>
      <c r="F121" s="3344"/>
      <c r="G121" s="3344"/>
      <c r="H121" s="3344"/>
      <c r="I121" s="3345"/>
      <c r="AA121" s="683"/>
    </row>
    <row r="122" spans="1:27" ht="18.75" customHeight="1">
      <c r="A122" s="3334" t="str">
        <f>IF(项目基本情况!B9="房地产市场价值","",MID(E107,3,LEN(E107)-2))</f>
        <v>房地产抵押价值</v>
      </c>
      <c r="B122" s="3334"/>
      <c r="C122" s="3334"/>
      <c r="D122" s="3367">
        <f ca="1">H107</f>
        <v>189.83150000000001</v>
      </c>
      <c r="E122" s="3368"/>
      <c r="F122" s="3368"/>
      <c r="G122" s="3368"/>
      <c r="H122" s="3368"/>
      <c r="I122" s="3369"/>
      <c r="AA122" s="683"/>
    </row>
    <row r="123" spans="1:27" ht="18.75" customHeight="1">
      <c r="A123" s="3303" t="s">
        <v>1452</v>
      </c>
      <c r="B123" s="3303"/>
      <c r="C123" s="3303"/>
      <c r="D123" s="3343" t="str">
        <f ca="1">NUMBERSTRING(INT(D122*10000),2)&amp;"元整"</f>
        <v>壹佰捌拾玖万捌仟叁佰壹拾伍元整</v>
      </c>
      <c r="E123" s="3344"/>
      <c r="F123" s="3344"/>
      <c r="G123" s="3344"/>
      <c r="H123" s="3344"/>
      <c r="I123" s="3345"/>
      <c r="AA123" s="683"/>
    </row>
    <row r="124" spans="1:27" ht="18.75" customHeight="1">
      <c r="A124" s="3334" t="str">
        <f>IF(项目基本情况!B9="房地产市场价值","",MID(E109,3,LEN(E109)-2))</f>
        <v/>
      </c>
      <c r="B124" s="3334"/>
      <c r="C124" s="3334"/>
      <c r="D124" s="3367" t="str">
        <f>H109</f>
        <v>——</v>
      </c>
      <c r="E124" s="3368"/>
      <c r="F124" s="3368"/>
      <c r="G124" s="3368"/>
      <c r="H124" s="3368"/>
      <c r="I124" s="3369"/>
      <c r="AA124" s="683"/>
    </row>
    <row r="125" spans="1:27" ht="18.75" customHeight="1">
      <c r="A125" s="3303" t="s">
        <v>1452</v>
      </c>
      <c r="B125" s="3303"/>
      <c r="C125" s="3303"/>
      <c r="D125" s="3343" t="e">
        <f>NUMBERSTRING(INT(D124*10000),2)&amp;"元整"</f>
        <v>#VALUE!</v>
      </c>
      <c r="E125" s="3344"/>
      <c r="F125" s="3344"/>
      <c r="G125" s="3344"/>
      <c r="H125" s="3344"/>
      <c r="I125" s="3345"/>
      <c r="AA125" s="683"/>
    </row>
    <row r="126" spans="1:27" ht="18.75" customHeight="1">
      <c r="A126" s="3334" t="str">
        <f>IF(项目基本情况!B9="房地产市场价值","",MID(E111,3,LEN(E111)-2))</f>
        <v/>
      </c>
      <c r="B126" s="3334"/>
      <c r="C126" s="3334"/>
      <c r="D126" s="3367" t="str">
        <f>H111</f>
        <v>——</v>
      </c>
      <c r="E126" s="3368"/>
      <c r="F126" s="3368"/>
      <c r="G126" s="3368"/>
      <c r="H126" s="3368"/>
      <c r="I126" s="3369"/>
      <c r="AA126" s="683"/>
    </row>
    <row r="127" spans="1:27" ht="18.75" customHeight="1">
      <c r="A127" s="3303" t="s">
        <v>1452</v>
      </c>
      <c r="B127" s="3303"/>
      <c r="C127" s="3303"/>
      <c r="D127" s="3343" t="e">
        <f>NUMBERSTRING(INT(D126*10000),2)&amp;"元整"</f>
        <v>#VALUE!</v>
      </c>
      <c r="E127" s="3344"/>
      <c r="F127" s="3344"/>
      <c r="G127" s="3344"/>
      <c r="H127" s="3344"/>
      <c r="I127" s="3345"/>
      <c r="AA127" s="683"/>
    </row>
    <row r="128" spans="1:27" ht="21.75" customHeight="1">
      <c r="A128" s="3350" t="s">
        <v>1453</v>
      </c>
      <c r="B128" s="3350"/>
      <c r="C128" s="3350"/>
      <c r="D128" s="3350"/>
      <c r="E128" s="3350"/>
      <c r="F128" s="3350"/>
      <c r="G128" s="3350"/>
      <c r="H128" s="3350"/>
      <c r="I128" s="3350"/>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algorithmName="SHA-512" hashValue="yH0oGiH633aVZm+VAJZqxfnahde0oYEDLi8T+eqCCZm2iJtU3VPLcU3iy7FFmR/gHPTT4L0rYhz6I1SdeiAzgA==" saltValue="fhFO0QGUpdJWDMTfz+gbSQ==" spinCount="100000"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31" priority="3" stopIfTrue="1">
      <formula>$H$88&lt;&gt;"仅含出让金"</formula>
    </cfRule>
  </conditionalFormatting>
  <conditionalFormatting sqref="C91">
    <cfRule type="expression" dxfId="30" priority="2" stopIfTrue="1">
      <formula>$H$91="由企业提供"</formula>
    </cfRule>
  </conditionalFormatting>
  <conditionalFormatting sqref="C5:D7">
    <cfRule type="cellIs" dxfId="29" priority="6" stopIfTrue="1" operator="equal">
      <formula>25</formula>
    </cfRule>
  </conditionalFormatting>
  <conditionalFormatting sqref="C8:D13">
    <cfRule type="cellIs" dxfId="28" priority="5" stopIfTrue="1" operator="equal">
      <formula>15</formula>
    </cfRule>
  </conditionalFormatting>
  <conditionalFormatting sqref="C14:D16">
    <cfRule type="cellIs" dxfId="27" priority="4" stopIfTrue="1" operator="equal">
      <formula>30</formula>
    </cfRule>
  </conditionalFormatting>
  <conditionalFormatting sqref="E36">
    <cfRule type="expression" dxfId="26" priority="1" stopIfTrue="1">
      <formula>$D$36="同一抵押权人同一抵押物续贷"</formula>
    </cfRule>
  </conditionalFormatting>
  <dataValidations count="23">
    <dataValidation type="list" allowBlank="1" showInputMessage="1" showErrorMessage="1" sqref="D92" xr:uid="{C86864F9-CDA0-4C99-91DE-CEFBBC66CCB8}">
      <formula1>"0,5%,10%"</formula1>
    </dataValidation>
    <dataValidation type="list" allowBlank="1" showInputMessage="1" showErrorMessage="1" sqref="H59" xr:uid="{466D97D4-6E93-434C-9C87-C212884DCF7F}">
      <formula1>"非个人房产,个人住宅（满五唯一有凭证）,个人其他（有凭证）,个人其他（无凭证）"</formula1>
    </dataValidation>
    <dataValidation type="list" allowBlank="1" showInputMessage="1" showErrorMessage="1" sqref="E103" xr:uid="{25BAD258-8C44-4C33-81D4-A91D28ACB64C}">
      <formula1>"2.估价师知悉的法定优先受偿款,2.估价师知悉的除抵押担保权以外的法定优先受偿款"</formula1>
    </dataValidation>
    <dataValidation type="list" allowBlank="1" showInputMessage="1" showErrorMessage="1" sqref="G77" xr:uid="{241D102B-FC45-4972-A4A4-6D29A397DD08}">
      <formula1>"个人住宅,2016年5月1日前购买,2016年5月1日后购买"</formula1>
    </dataValidation>
    <dataValidation type="list" allowBlank="1" showInputMessage="1" showErrorMessage="1" sqref="C1" xr:uid="{9B5BD5BA-E626-4024-A5E0-76D6C6BE0AEC}">
      <formula1>项目类型</formula1>
    </dataValidation>
    <dataValidation type="list" allowBlank="1" showInputMessage="1" showErrorMessage="1" sqref="I1" xr:uid="{B914D605-8A83-4F2F-AEDD-04E033B8ABAC}">
      <formula1>"项目局部,项目全部,——"</formula1>
    </dataValidation>
    <dataValidation type="list" showInputMessage="1" showErrorMessage="1" sqref="G1" xr:uid="{23BE5124-129D-42EF-864E-0F4E4BF4C02D}">
      <formula1>"现房,在建,土地,-"</formula1>
    </dataValidation>
    <dataValidation type="list" allowBlank="1" showInputMessage="1" showErrorMessage="1" sqref="C129" xr:uid="{6FF1E40A-6A46-4B6E-8457-386C4EB2B10A}">
      <formula1>"无,有"</formula1>
    </dataValidation>
    <dataValidation type="list" allowBlank="1" showInputMessage="1" showErrorMessage="1" sqref="F116:G116" xr:uid="{1E4FBBD6-D765-41C3-ABA4-CED246E89967}">
      <formula1>"建筑物价值,在建建筑物价值,建筑物/在建建筑物价值"</formula1>
    </dataValidation>
    <dataValidation type="list" allowBlank="1" showInputMessage="1" showErrorMessage="1" sqref="D116:E116" xr:uid="{9A01CC29-49BC-4794-A5AE-3CD1D1832538}">
      <formula1>"出让国有建设用地使用权价值,划拨国有建设用地使用权价值"</formula1>
    </dataValidation>
    <dataValidation type="list" allowBlank="1" showInputMessage="1" showErrorMessage="1" sqref="C116:C117" xr:uid="{046BA779-35A9-4B33-90EC-A622FE1F8EB7}">
      <formula1>"土地面积,分摊土地面积,（分摊）土地面积"</formula1>
    </dataValidation>
    <dataValidation type="list" allowBlank="1" showInputMessage="1" showErrorMessage="1" sqref="B116:B117" xr:uid="{8EDD96BE-7EDF-43A7-993A-215B5C2D5447}">
      <formula1>"建筑面积,规划建筑面积,（规划）建筑面积"</formula1>
    </dataValidation>
    <dataValidation type="list" allowBlank="1" showInputMessage="1" showErrorMessage="1" sqref="D36" xr:uid="{C6CF59BA-ADEE-4EFD-9F24-9404E048B99C}">
      <formula1>"同一抵押权人同一抵押物续贷,注销后放款,正常操作"</formula1>
    </dataValidation>
    <dataValidation type="list" allowBlank="1" showInputMessage="1" showErrorMessage="1" sqref="F75" xr:uid="{FB952EBA-FB53-4F50-BE6C-01BE3D9CD3E3}">
      <formula1>"买卖合同,购房发票"</formula1>
    </dataValidation>
    <dataValidation type="list" allowBlank="1" showInputMessage="1" showErrorMessage="1" sqref="H88" xr:uid="{F07F3DB5-5E2F-4AD7-B23B-C68B9ADAE6F5}">
      <formula1>"仅含出让金,出让金+开发费"</formula1>
    </dataValidation>
    <dataValidation type="list" allowBlank="1" showInputMessage="1" showErrorMessage="1" sqref="H91" xr:uid="{197B6316-3C8C-4C95-8D3B-A736E01CB5F9}">
      <formula1>"企业提供（在右侧录入）,——"</formula1>
    </dataValidation>
    <dataValidation type="list" allowBlank="1" showInputMessage="1" showErrorMessage="1" sqref="C33" xr:uid="{CEADA4A4-D03A-4E35-A85B-2B3DA1C36C17}">
      <formula1>"成本比率,收益比率,自定义"</formula1>
    </dataValidation>
    <dataValidation type="list" allowBlank="1" showInputMessage="1" showErrorMessage="1" sqref="F45" xr:uid="{A03A1EEF-0483-4F20-ACDC-D2B7631E16B9}">
      <formula1>"100%,70%,56%"</formula1>
    </dataValidation>
    <dataValidation type="list" allowBlank="1" showInputMessage="1" showErrorMessage="1" sqref="D32" xr:uid="{324E7364-142B-48D1-A400-184F5D60D8FF}">
      <formula1>"总价,楼面单价"</formula1>
    </dataValidation>
    <dataValidation type="list" allowBlank="1" showInputMessage="1" showErrorMessage="1" sqref="H58" xr:uid="{8F6050FB-1F98-4E5E-AC22-761A5031DF39}">
      <formula1>"转让取得,自行开发建设"</formula1>
    </dataValidation>
    <dataValidation type="list" allowBlank="1" showInputMessage="1" showErrorMessage="1" sqref="H48" xr:uid="{ED14F503-987F-403F-9167-5CE55F32D9B4}">
      <formula1>"情况1,情况2,情况3,情况4"</formula1>
    </dataValidation>
    <dataValidation type="list" allowBlank="1" showInputMessage="1" showErrorMessage="1" sqref="H55:H56" xr:uid="{D76E08F3-509B-4073-8D78-D30E1CE6CFC8}">
      <formula1>"个人住宅,正常"</formula1>
    </dataValidation>
    <dataValidation type="list" allowBlank="1" showInputMessage="1" showErrorMessage="1" sqref="C4:D4 D33" xr:uid="{535E97D7-37C4-48DD-8748-6D85A25287F5}">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1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2"/>
      <c r="C2" s="3192"/>
      <c r="D2" s="3192"/>
      <c r="E2" s="3192"/>
    </row>
    <row r="3" spans="1:5" ht="17.399999999999999">
      <c r="A3" s="3193" t="str">
        <f>IF(项目基本情况!B9="房地产市场价值","估价结果一览表（市场价值不需“结果表-1”）","估价结果一览表")</f>
        <v>估价结果一览表</v>
      </c>
      <c r="B3" s="3193"/>
      <c r="C3" s="3193"/>
      <c r="D3" s="3193"/>
      <c r="E3" s="3193"/>
    </row>
    <row r="4" spans="1:5" ht="18" thickBot="1">
      <c r="A4" s="1390"/>
      <c r="B4" s="3191" t="s">
        <v>917</v>
      </c>
      <c r="C4" s="3191"/>
      <c r="D4" s="3191"/>
      <c r="E4" s="1390"/>
    </row>
    <row r="5" spans="1:5" ht="16.2" thickTop="1">
      <c r="B5" s="3189" t="s">
        <v>909</v>
      </c>
      <c r="C5" s="1391" t="s">
        <v>910</v>
      </c>
      <c r="D5" s="796">
        <f ca="1">结果表1号!H101</f>
        <v>189.83150000000001</v>
      </c>
    </row>
    <row r="6" spans="1:5" ht="15.6">
      <c r="B6" s="3189"/>
      <c r="C6" s="1391" t="s">
        <v>911</v>
      </c>
      <c r="D6" s="796" t="str">
        <f ca="1">NUMBERSTRING(INT(D5*10000),2)&amp;"元整"</f>
        <v>壹佰捌拾玖万捌仟叁佰壹拾伍元整</v>
      </c>
    </row>
    <row r="7" spans="1:5" ht="15.6">
      <c r="B7" s="3194"/>
      <c r="C7" s="1392" t="s">
        <v>912</v>
      </c>
      <c r="D7" s="797">
        <f ca="1">结果表1号!H102</f>
        <v>12143</v>
      </c>
    </row>
    <row r="8" spans="1:5" ht="15.6">
      <c r="B8" s="3195" t="str">
        <f>结果表1号!E103</f>
        <v>2.估价师知悉的法定优先受偿款</v>
      </c>
      <c r="C8" s="1393" t="s">
        <v>913</v>
      </c>
      <c r="D8" s="797">
        <f>结果表1号!H103</f>
        <v>0</v>
      </c>
    </row>
    <row r="9" spans="1:5" ht="15.6">
      <c r="B9" s="3197"/>
      <c r="C9" s="1391" t="s">
        <v>911</v>
      </c>
      <c r="D9" s="796" t="str">
        <f>NUMBERSTRING(INT(D8*10000),2)&amp;"元整"</f>
        <v>零元整</v>
      </c>
    </row>
    <row r="10" spans="1:5" ht="15.6">
      <c r="B10" s="1394" t="s">
        <v>916</v>
      </c>
      <c r="C10" s="1395" t="s">
        <v>914</v>
      </c>
      <c r="D10" s="798">
        <f>结果表1号!H104</f>
        <v>0</v>
      </c>
    </row>
    <row r="11" spans="1:5" ht="15.6">
      <c r="B11" s="1394" t="s">
        <v>918</v>
      </c>
      <c r="C11" s="1395" t="s">
        <v>919</v>
      </c>
      <c r="D11" s="798">
        <f>结果表1号!H105</f>
        <v>0</v>
      </c>
    </row>
    <row r="12" spans="1:5" ht="15.6">
      <c r="B12" s="1394" t="s">
        <v>920</v>
      </c>
      <c r="C12" s="1395" t="s">
        <v>919</v>
      </c>
      <c r="D12" s="798">
        <f>结果表1号!H106</f>
        <v>0</v>
      </c>
    </row>
    <row r="13" spans="1:5" ht="15.6">
      <c r="B13" s="3188" t="str">
        <f>结果表1号!E107</f>
        <v>3.房地产抵押价值</v>
      </c>
      <c r="C13" s="1396" t="s">
        <v>910</v>
      </c>
      <c r="D13" s="799">
        <f ca="1">结果表1号!H107</f>
        <v>189.83150000000001</v>
      </c>
    </row>
    <row r="14" spans="1:5" ht="15.6">
      <c r="B14" s="3189"/>
      <c r="C14" s="1391" t="s">
        <v>911</v>
      </c>
      <c r="D14" s="796" t="str">
        <f ca="1">NUMBERSTRING(INT(D13*10000),2)&amp;"元整"</f>
        <v>壹佰捌拾玖万捌仟叁佰壹拾伍元整</v>
      </c>
    </row>
    <row r="15" spans="1:5" ht="15.6">
      <c r="B15" s="3194"/>
      <c r="C15" s="1392" t="s">
        <v>921</v>
      </c>
      <c r="D15" s="805">
        <f ca="1">结果表1号!H108</f>
        <v>12143</v>
      </c>
    </row>
    <row r="16" spans="1:5" ht="15.6">
      <c r="B16" s="3195" t="str">
        <f>结果表1号!E109</f>
        <v>——</v>
      </c>
      <c r="C16" s="1396" t="s">
        <v>922</v>
      </c>
      <c r="D16" s="1397" t="str">
        <f>结果表1号!H109</f>
        <v>——</v>
      </c>
    </row>
    <row r="17" spans="1:5" ht="15.6">
      <c r="B17" s="3196"/>
      <c r="C17" s="1391" t="s">
        <v>923</v>
      </c>
      <c r="D17" s="796" t="e">
        <f>NUMBERSTRING(INT(D16*10000),2)&amp;"元整"</f>
        <v>#VALUE!</v>
      </c>
    </row>
    <row r="18" spans="1:5" ht="15.6">
      <c r="B18" s="3197"/>
      <c r="C18" s="1392" t="s">
        <v>912</v>
      </c>
      <c r="D18" s="805" t="str">
        <f>结果表1号!H110</f>
        <v>——</v>
      </c>
    </row>
    <row r="19" spans="1:5" ht="15.6">
      <c r="B19" s="3188" t="str">
        <f>结果表1号!E111</f>
        <v>——</v>
      </c>
      <c r="C19" s="1396" t="s">
        <v>910</v>
      </c>
      <c r="D19" s="797" t="str">
        <f>结果表1号!H111</f>
        <v>——</v>
      </c>
    </row>
    <row r="20" spans="1:5" ht="15.6">
      <c r="B20" s="3189"/>
      <c r="C20" s="1391" t="s">
        <v>923</v>
      </c>
      <c r="D20" s="796" t="e">
        <f>NUMBERSTRING(INT(D19*10000),2)&amp;"元整"</f>
        <v>#VALUE!</v>
      </c>
    </row>
    <row r="21" spans="1:5" ht="16.2" thickBot="1">
      <c r="B21" s="3190"/>
      <c r="C21" s="1398" t="s">
        <v>921</v>
      </c>
      <c r="D21" s="806" t="str">
        <f>结果表1号!H112</f>
        <v>——</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BD1B8-0C59-413D-8C65-E720F6E09F68}">
  <sheetPr>
    <tabColor rgb="FF92D050"/>
    <pageSetUpPr fitToPage="1"/>
  </sheetPr>
  <dimension ref="A1:AC131"/>
  <sheetViews>
    <sheetView view="pageBreakPreview" topLeftCell="A25" zoomScale="70" zoomScaleNormal="70" zoomScaleSheetLayoutView="70" workbookViewId="0">
      <selection activeCell="C34" sqref="C34"/>
    </sheetView>
  </sheetViews>
  <sheetFormatPr defaultColWidth="9" defaultRowHeight="13.8"/>
  <cols>
    <col min="1" max="1" width="10.44140625" style="346" customWidth="1"/>
    <col min="2" max="2" width="15.77734375" style="346" customWidth="1"/>
    <col min="3" max="3" width="18.33203125" style="346" customWidth="1"/>
    <col min="4" max="4" width="12.21875" style="346" customWidth="1"/>
    <col min="5" max="5" width="17.6640625" style="346" customWidth="1"/>
    <col min="6" max="6" width="12.21875" style="346" customWidth="1"/>
    <col min="7" max="7" width="17.88671875" style="346" customWidth="1"/>
    <col min="8" max="8" width="12.21875" style="346" customWidth="1"/>
    <col min="9" max="9" width="16.7773437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1766</v>
      </c>
      <c r="C1" s="1154" t="s">
        <v>1662</v>
      </c>
      <c r="D1" s="1141" t="s">
        <v>3556</v>
      </c>
      <c r="E1" s="3122" t="s">
        <v>3410</v>
      </c>
      <c r="F1" s="1734" t="s">
        <v>3411</v>
      </c>
      <c r="G1" s="1151" t="s">
        <v>1663</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685</v>
      </c>
      <c r="B2" s="1084">
        <f>IF(E1="项目模式",IF(C2="——",ROUND(C49*D3/10000,0),ROUND(C49*D3/10000,0)-D2),IF(E1="单套模式",IF(C2="——",ROUND(C49*D3/10000,4),ROUND(C49*D3/10000,4)-D2)))</f>
        <v>253.27019999999999</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1"/>
      <c r="M2" s="2502"/>
      <c r="N2" s="2502"/>
      <c r="O2" s="2502"/>
      <c r="P2" s="1803"/>
      <c r="Q2" s="858"/>
      <c r="R2" s="858"/>
      <c r="S2" s="858"/>
      <c r="T2" s="858"/>
      <c r="U2" s="858"/>
      <c r="V2" s="858"/>
      <c r="W2" s="858"/>
      <c r="X2" s="858"/>
      <c r="Y2" s="858"/>
      <c r="Z2" s="858"/>
      <c r="AA2" s="858"/>
      <c r="AB2" s="858"/>
      <c r="AC2" s="1804"/>
    </row>
    <row r="3" spans="1:29" s="341" customFormat="1" ht="28.5" customHeight="1" thickBot="1">
      <c r="A3" s="194" t="s">
        <v>686</v>
      </c>
      <c r="B3" s="535">
        <f>IF(C2="——",C49,ROUND(B2*10000/D3,0))</f>
        <v>16201</v>
      </c>
      <c r="C3" s="343" t="s">
        <v>1665</v>
      </c>
      <c r="D3" s="342">
        <f>IF(D1="",'数据-汇总表'!E3,SUMIF('数据-汇总表'!$C19:$C33,D1,'数据-汇总表'!$E19:$E33))</f>
        <v>156.33000000000001</v>
      </c>
      <c r="E3" s="1804"/>
      <c r="F3" s="855"/>
      <c r="G3" s="854"/>
      <c r="H3" s="854"/>
      <c r="I3" s="854"/>
      <c r="J3" s="854"/>
      <c r="K3" s="856"/>
      <c r="L3" s="2501"/>
      <c r="M3" s="2502"/>
      <c r="N3" s="2502"/>
      <c r="O3" s="2502"/>
      <c r="P3" s="1803"/>
      <c r="Q3" s="858"/>
      <c r="R3" s="858"/>
      <c r="S3" s="858"/>
      <c r="T3" s="858"/>
      <c r="U3" s="858"/>
      <c r="V3" s="858"/>
      <c r="W3" s="858"/>
      <c r="X3" s="858"/>
      <c r="Y3" s="858"/>
      <c r="Z3" s="858"/>
      <c r="AA3" s="858"/>
      <c r="AB3" s="858"/>
      <c r="AC3" s="1804"/>
    </row>
    <row r="4" spans="1:29" ht="14.4">
      <c r="A4" s="344" t="s">
        <v>1666</v>
      </c>
      <c r="B4" s="345"/>
      <c r="C4" s="3401" t="s">
        <v>1667</v>
      </c>
      <c r="D4" s="3402"/>
      <c r="E4" s="3403" t="s">
        <v>1668</v>
      </c>
      <c r="F4" s="3404"/>
      <c r="G4" s="3401" t="s">
        <v>1669</v>
      </c>
      <c r="H4" s="3402"/>
      <c r="I4" s="3401" t="s">
        <v>1670</v>
      </c>
      <c r="J4" s="3402"/>
      <c r="K4" s="536" t="s">
        <v>1671</v>
      </c>
      <c r="L4" s="2484"/>
      <c r="M4" s="2485"/>
      <c r="N4" s="2485"/>
      <c r="O4" s="2485"/>
      <c r="P4" s="3405" t="s">
        <v>1672</v>
      </c>
      <c r="Q4" s="3406"/>
      <c r="R4" s="3411" t="s">
        <v>1668</v>
      </c>
      <c r="S4" s="3412"/>
      <c r="T4" s="3411" t="s">
        <v>1669</v>
      </c>
      <c r="U4" s="3412"/>
      <c r="V4" s="3384" t="s">
        <v>1670</v>
      </c>
      <c r="W4" s="3384"/>
      <c r="X4" s="1264"/>
      <c r="Y4" s="3411" t="s">
        <v>1672</v>
      </c>
      <c r="Z4" s="3412"/>
      <c r="AA4" s="3398" t="s">
        <v>1668</v>
      </c>
      <c r="AB4" s="3384" t="s">
        <v>1669</v>
      </c>
      <c r="AC4" s="3398" t="s">
        <v>1670</v>
      </c>
    </row>
    <row r="5" spans="1:29">
      <c r="A5" s="347"/>
      <c r="B5" s="348"/>
      <c r="C5" s="3424" t="s">
        <v>3512</v>
      </c>
      <c r="D5" s="3420"/>
      <c r="E5" s="3427" t="str">
        <f>案例!A21</f>
        <v>辉煌云上</v>
      </c>
      <c r="F5" s="3428"/>
      <c r="G5" s="3419" t="str">
        <f>案例!N27</f>
        <v>城建万科城</v>
      </c>
      <c r="H5" s="3420"/>
      <c r="I5" s="3419" t="str">
        <f>G5</f>
        <v>城建万科城</v>
      </c>
      <c r="J5" s="3420"/>
      <c r="K5" s="536"/>
      <c r="L5" s="2484"/>
      <c r="M5" s="2485"/>
      <c r="N5" s="2485"/>
      <c r="O5" s="2485"/>
      <c r="P5" s="3407"/>
      <c r="Q5" s="3408"/>
      <c r="R5" s="3413"/>
      <c r="S5" s="3414"/>
      <c r="T5" s="3413"/>
      <c r="U5" s="3414"/>
      <c r="V5" s="3384"/>
      <c r="W5" s="3384"/>
      <c r="X5" s="1264"/>
      <c r="Y5" s="3413"/>
      <c r="Z5" s="3414"/>
      <c r="AA5" s="3399"/>
      <c r="AB5" s="3384"/>
      <c r="AC5" s="3399"/>
    </row>
    <row r="6" spans="1:29" ht="15" thickBot="1">
      <c r="A6" s="349"/>
      <c r="B6" s="350"/>
      <c r="C6" s="3417" t="s">
        <v>1677</v>
      </c>
      <c r="D6" s="3418"/>
      <c r="E6" s="3425" t="s">
        <v>1677</v>
      </c>
      <c r="F6" s="3426"/>
      <c r="G6" s="3417" t="s">
        <v>1677</v>
      </c>
      <c r="H6" s="3418"/>
      <c r="I6" s="3417" t="s">
        <v>1677</v>
      </c>
      <c r="J6" s="3418"/>
      <c r="K6" s="536" t="s">
        <v>1678</v>
      </c>
      <c r="L6" s="2484"/>
      <c r="M6" s="2485"/>
      <c r="N6" s="2485"/>
      <c r="O6" s="2485"/>
      <c r="P6" s="3409"/>
      <c r="Q6" s="3410"/>
      <c r="R6" s="3413"/>
      <c r="S6" s="3414"/>
      <c r="T6" s="3415"/>
      <c r="U6" s="3416"/>
      <c r="V6" s="3384"/>
      <c r="W6" s="3384"/>
      <c r="X6" s="1264"/>
      <c r="Y6" s="3415"/>
      <c r="Z6" s="3416"/>
      <c r="AA6" s="3400"/>
      <c r="AB6" s="3384"/>
      <c r="AC6" s="3400"/>
    </row>
    <row r="7" spans="1:29" s="101" customFormat="1" ht="15" thickBot="1">
      <c r="A7" s="351" t="s">
        <v>1679</v>
      </c>
      <c r="B7" s="352"/>
      <c r="C7" s="353">
        <f>'数据-取费表'!B2</f>
        <v>45562</v>
      </c>
      <c r="D7" s="354">
        <v>100</v>
      </c>
      <c r="E7" s="355">
        <f>案例!$B$22</f>
        <v>45523.333831018521</v>
      </c>
      <c r="F7" s="356">
        <f>SUMIF(58:58,YEAR(E7)&amp;"-"&amp;MONTH(E7),59:59)</f>
        <v>100</v>
      </c>
      <c r="G7" s="355">
        <v>45536</v>
      </c>
      <c r="H7" s="354">
        <f>SUMIF(58:58,YEAR(G7)&amp;"-"&amp;MONTH(G7),59:59)</f>
        <v>100</v>
      </c>
      <c r="I7" s="355">
        <f>G7</f>
        <v>45536</v>
      </c>
      <c r="J7" s="354">
        <f>SUMIF(58:58,YEAR(I7)&amp;"-"&amp;MONTH(I7),59:59)</f>
        <v>100</v>
      </c>
      <c r="K7" s="38"/>
      <c r="L7" s="2486"/>
      <c r="M7" s="2438"/>
      <c r="N7" s="2438"/>
      <c r="O7" s="2438"/>
      <c r="P7" s="3421" t="s">
        <v>1680</v>
      </c>
      <c r="Q7" s="3423"/>
      <c r="R7" s="663" t="s">
        <v>14</v>
      </c>
      <c r="S7" s="664">
        <f t="shared" ref="S7:S15" si="0">F7</f>
        <v>100</v>
      </c>
      <c r="T7" s="663" t="s">
        <v>14</v>
      </c>
      <c r="U7" s="664">
        <f t="shared" ref="U7:U15" si="1">H7</f>
        <v>100</v>
      </c>
      <c r="V7" s="663" t="s">
        <v>14</v>
      </c>
      <c r="W7" s="664">
        <f t="shared" ref="W7:W15" si="2">J7</f>
        <v>100</v>
      </c>
      <c r="X7" s="665"/>
      <c r="Y7" s="3421" t="s">
        <v>1680</v>
      </c>
      <c r="Z7" s="3422"/>
      <c r="AA7" s="50">
        <f>D7/F7</f>
        <v>1</v>
      </c>
      <c r="AB7" s="50">
        <f>D7/H7</f>
        <v>1</v>
      </c>
      <c r="AC7" s="50">
        <f>D7/J7</f>
        <v>1</v>
      </c>
    </row>
    <row r="8" spans="1:29" s="101" customFormat="1" ht="15" thickBot="1">
      <c r="A8" s="351" t="s">
        <v>1681</v>
      </c>
      <c r="B8" s="352"/>
      <c r="C8" s="357" t="s">
        <v>3412</v>
      </c>
      <c r="D8" s="354">
        <v>100</v>
      </c>
      <c r="E8" s="357" t="s">
        <v>3412</v>
      </c>
      <c r="F8" s="356">
        <f>SUMIF(61:61,E8,62:62)-SUMIF(61:61,C8,62:62)+100</f>
        <v>100</v>
      </c>
      <c r="G8" s="357" t="s">
        <v>3414</v>
      </c>
      <c r="H8" s="354">
        <f>SUMIF(61:61,G8,62:62)-SUMIF(61:61,C8,62:62)+100</f>
        <v>102</v>
      </c>
      <c r="I8" s="357" t="s">
        <v>3414</v>
      </c>
      <c r="J8" s="354">
        <f>SUMIF(61:61,I8,62:62)-SUMIF(61:61,C8,62:62)+100</f>
        <v>102</v>
      </c>
      <c r="K8" s="38"/>
      <c r="L8" s="2486"/>
      <c r="M8" s="2438"/>
      <c r="N8" s="2438"/>
      <c r="O8" s="2438"/>
      <c r="P8" s="3421" t="s">
        <v>1683</v>
      </c>
      <c r="Q8" s="3422"/>
      <c r="R8" s="663" t="s">
        <v>14</v>
      </c>
      <c r="S8" s="664">
        <f t="shared" si="0"/>
        <v>100</v>
      </c>
      <c r="T8" s="663" t="s">
        <v>14</v>
      </c>
      <c r="U8" s="664">
        <f t="shared" si="1"/>
        <v>102</v>
      </c>
      <c r="V8" s="663" t="s">
        <v>14</v>
      </c>
      <c r="W8" s="664">
        <f t="shared" si="2"/>
        <v>102</v>
      </c>
      <c r="X8" s="665"/>
      <c r="Y8" s="3421" t="s">
        <v>1683</v>
      </c>
      <c r="Z8" s="3422"/>
      <c r="AA8" s="50">
        <f t="shared" ref="AA8:AA46" si="3">D8/F8</f>
        <v>1</v>
      </c>
      <c r="AB8" s="50">
        <f t="shared" ref="AB8:AB46" si="4">D8/H8</f>
        <v>0.98039215686274506</v>
      </c>
      <c r="AC8" s="50">
        <f t="shared" ref="AC8:AC46" si="5">D8/J8</f>
        <v>0.98039215686274506</v>
      </c>
    </row>
    <row r="9" spans="1:29" s="101" customFormat="1" ht="14.4">
      <c r="A9" s="358" t="s">
        <v>1684</v>
      </c>
      <c r="B9" s="60" t="s">
        <v>1685</v>
      </c>
      <c r="C9" s="3154" t="s">
        <v>3413</v>
      </c>
      <c r="D9" s="59">
        <v>100</v>
      </c>
      <c r="E9" s="360" t="s">
        <v>673</v>
      </c>
      <c r="F9" s="60">
        <f>SUMIF(63:63,E9,64:64)-SUMIF(63:63,C9,64:64)+100</f>
        <v>100</v>
      </c>
      <c r="G9" s="360" t="s">
        <v>673</v>
      </c>
      <c r="H9" s="59">
        <f>SUMIF(63:63,G9,64:64)-SUMIF(63:63,C9,64:64)+100</f>
        <v>100</v>
      </c>
      <c r="I9" s="360" t="s">
        <v>673</v>
      </c>
      <c r="J9" s="59">
        <f>SUMIF(63:63,I9,64:64)-SUMIF(63:63,C9,64:64)+100</f>
        <v>100</v>
      </c>
      <c r="K9" s="38"/>
      <c r="L9" s="2486"/>
      <c r="M9" s="2438"/>
      <c r="N9" s="2438"/>
      <c r="O9" s="2438"/>
      <c r="P9" s="3397" t="s">
        <v>1686</v>
      </c>
      <c r="Q9" s="529" t="str">
        <f t="shared" ref="Q9:Q15" si="6">B9</f>
        <v>用途</v>
      </c>
      <c r="R9" s="663" t="s">
        <v>14</v>
      </c>
      <c r="S9" s="664">
        <f t="shared" si="0"/>
        <v>100</v>
      </c>
      <c r="T9" s="663" t="s">
        <v>14</v>
      </c>
      <c r="U9" s="664">
        <f t="shared" si="1"/>
        <v>100</v>
      </c>
      <c r="V9" s="663" t="s">
        <v>14</v>
      </c>
      <c r="W9" s="664">
        <f t="shared" si="2"/>
        <v>100</v>
      </c>
      <c r="X9" s="665"/>
      <c r="Y9" s="3290" t="s">
        <v>1687</v>
      </c>
      <c r="Z9" s="50" t="str">
        <f t="shared" ref="Z9:Z15" si="7">Q9</f>
        <v>用途</v>
      </c>
      <c r="AA9" s="50">
        <f t="shared" si="3"/>
        <v>1</v>
      </c>
      <c r="AB9" s="50">
        <f t="shared" si="4"/>
        <v>1</v>
      </c>
      <c r="AC9" s="50">
        <f t="shared" si="5"/>
        <v>1</v>
      </c>
    </row>
    <row r="10" spans="1:29" s="365" customFormat="1" ht="28.8">
      <c r="A10" s="362"/>
      <c r="B10" s="363" t="s">
        <v>1688</v>
      </c>
      <c r="C10" s="3130"/>
      <c r="D10" s="118">
        <v>100</v>
      </c>
      <c r="E10" s="3131"/>
      <c r="F10" s="363">
        <f>SUMIF(65:65,E10,66:66)-SUMIF(65:65,C10,66:66)+100</f>
        <v>100</v>
      </c>
      <c r="G10" s="3130"/>
      <c r="H10" s="118">
        <f>SUMIF(65:65,G10,66:66)-SUMIF(65:65,C10,66:66)+100</f>
        <v>100</v>
      </c>
      <c r="I10" s="3130"/>
      <c r="J10" s="118">
        <f>SUMIF(65:65,I10,66:66)-SUMIF(65:65,C10,66:66)+100</f>
        <v>100</v>
      </c>
      <c r="K10" s="38"/>
      <c r="L10" s="2487"/>
      <c r="M10" s="2488"/>
      <c r="N10" s="2488"/>
      <c r="O10" s="2488"/>
      <c r="P10" s="3397"/>
      <c r="Q10" s="529" t="str">
        <f t="shared" si="6"/>
        <v>土地使用年限（年）</v>
      </c>
      <c r="R10" s="663" t="s">
        <v>14</v>
      </c>
      <c r="S10" s="664">
        <f t="shared" si="0"/>
        <v>100</v>
      </c>
      <c r="T10" s="663" t="s">
        <v>14</v>
      </c>
      <c r="U10" s="664">
        <f t="shared" si="1"/>
        <v>100</v>
      </c>
      <c r="V10" s="663" t="s">
        <v>14</v>
      </c>
      <c r="W10" s="664">
        <f t="shared" si="2"/>
        <v>100</v>
      </c>
      <c r="X10" s="665"/>
      <c r="Y10" s="3290"/>
      <c r="Z10" s="50" t="str">
        <f t="shared" si="7"/>
        <v>土地使用年限（年）</v>
      </c>
      <c r="AA10" s="50">
        <f t="shared" si="3"/>
        <v>1</v>
      </c>
      <c r="AB10" s="50">
        <f t="shared" si="4"/>
        <v>1</v>
      </c>
      <c r="AC10" s="50">
        <f t="shared" si="5"/>
        <v>1</v>
      </c>
    </row>
    <row r="11" spans="1:29" ht="15">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537"/>
      <c r="L11" s="2489"/>
      <c r="M11" s="2485"/>
      <c r="N11" s="2485"/>
      <c r="O11" s="2485"/>
      <c r="P11" s="3397"/>
      <c r="Q11" s="529" t="str">
        <f t="shared" si="6"/>
        <v>容积率</v>
      </c>
      <c r="R11" s="663" t="s">
        <v>14</v>
      </c>
      <c r="S11" s="664">
        <f t="shared" si="0"/>
        <v>100</v>
      </c>
      <c r="T11" s="663" t="s">
        <v>14</v>
      </c>
      <c r="U11" s="664">
        <f t="shared" si="1"/>
        <v>100</v>
      </c>
      <c r="V11" s="663" t="s">
        <v>14</v>
      </c>
      <c r="W11" s="664">
        <f t="shared" si="2"/>
        <v>100</v>
      </c>
      <c r="X11" s="665"/>
      <c r="Y11" s="3290"/>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6"/>
      <c r="M12" s="2438"/>
      <c r="N12" s="2438"/>
      <c r="O12" s="2438"/>
      <c r="P12" s="3397"/>
      <c r="Q12" s="529">
        <f t="shared" si="6"/>
        <v>111</v>
      </c>
      <c r="R12" s="663" t="s">
        <v>14</v>
      </c>
      <c r="S12" s="664">
        <f t="shared" si="0"/>
        <v>100</v>
      </c>
      <c r="T12" s="663" t="s">
        <v>14</v>
      </c>
      <c r="U12" s="664">
        <f t="shared" si="1"/>
        <v>100</v>
      </c>
      <c r="V12" s="663" t="s">
        <v>14</v>
      </c>
      <c r="W12" s="664">
        <f t="shared" si="2"/>
        <v>100</v>
      </c>
      <c r="X12" s="665"/>
      <c r="Y12" s="3290"/>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0"/>
      <c r="M13" s="2485"/>
      <c r="N13" s="2485"/>
      <c r="O13" s="2485"/>
      <c r="P13" s="3397"/>
      <c r="Q13" s="529">
        <f t="shared" si="6"/>
        <v>111</v>
      </c>
      <c r="R13" s="663" t="s">
        <v>14</v>
      </c>
      <c r="S13" s="664">
        <f t="shared" si="0"/>
        <v>100</v>
      </c>
      <c r="T13" s="663" t="s">
        <v>14</v>
      </c>
      <c r="U13" s="664">
        <f t="shared" si="1"/>
        <v>100</v>
      </c>
      <c r="V13" s="663" t="s">
        <v>14</v>
      </c>
      <c r="W13" s="664">
        <f t="shared" si="2"/>
        <v>100</v>
      </c>
      <c r="X13" s="665"/>
      <c r="Y13" s="3290"/>
      <c r="Z13" s="50">
        <f t="shared" si="7"/>
        <v>111</v>
      </c>
      <c r="AA13" s="50">
        <f t="shared" si="3"/>
        <v>1</v>
      </c>
      <c r="AB13" s="50">
        <f t="shared" si="4"/>
        <v>1</v>
      </c>
      <c r="AC13" s="50">
        <f t="shared" si="5"/>
        <v>1</v>
      </c>
    </row>
    <row r="14" spans="1:29" ht="15.6"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90"/>
      <c r="M14" s="2485"/>
      <c r="N14" s="2485"/>
      <c r="O14" s="2485"/>
      <c r="P14" s="3397"/>
      <c r="Q14" s="529">
        <f t="shared" si="6"/>
        <v>111</v>
      </c>
      <c r="R14" s="663" t="s">
        <v>14</v>
      </c>
      <c r="S14" s="664">
        <f t="shared" si="0"/>
        <v>100</v>
      </c>
      <c r="T14" s="663" t="s">
        <v>14</v>
      </c>
      <c r="U14" s="664">
        <f t="shared" si="1"/>
        <v>100</v>
      </c>
      <c r="V14" s="663" t="s">
        <v>14</v>
      </c>
      <c r="W14" s="664">
        <f t="shared" si="2"/>
        <v>100</v>
      </c>
      <c r="X14" s="665"/>
      <c r="Y14" s="3290"/>
      <c r="Z14" s="50">
        <f t="shared" si="7"/>
        <v>111</v>
      </c>
      <c r="AA14" s="50">
        <f t="shared" si="3"/>
        <v>1</v>
      </c>
      <c r="AB14" s="50">
        <f t="shared" si="4"/>
        <v>1</v>
      </c>
      <c r="AC14" s="50">
        <f t="shared" si="5"/>
        <v>1</v>
      </c>
    </row>
    <row r="15" spans="1:29" ht="69">
      <c r="A15" s="378" t="s">
        <v>1690</v>
      </c>
      <c r="B15" s="58" t="s">
        <v>1777</v>
      </c>
      <c r="C15" s="1749" t="str">
        <f>估价对象房地状况!C4</f>
        <v>估价对象2公里范围内有百品尚购物中心，周边商业氛围一般，人流量一般，商业繁华一般</v>
      </c>
      <c r="D15" s="379">
        <v>100</v>
      </c>
      <c r="E15" s="3173" t="s">
        <v>3544</v>
      </c>
      <c r="F15" s="381">
        <f>SUMIF(76:76,E16,77:77)-SUMIF(76:76,C16,77:77)+100</f>
        <v>102</v>
      </c>
      <c r="G15" s="3174" t="s">
        <v>3545</v>
      </c>
      <c r="H15" s="379">
        <f>SUMIF(76:76,G16,77:77)-SUMIF(76:76,C16,77:77)+100</f>
        <v>98</v>
      </c>
      <c r="I15" s="3174" t="s">
        <v>3545</v>
      </c>
      <c r="J15" s="379">
        <f>SUMIF(76:76,I16,77:77)-SUMIF(76:76,C16,77:77)+100</f>
        <v>98</v>
      </c>
      <c r="K15" s="539">
        <v>2</v>
      </c>
      <c r="L15" s="2490"/>
      <c r="M15" s="2485"/>
      <c r="N15" s="2485"/>
      <c r="O15" s="2485"/>
      <c r="P15" s="3388" t="s">
        <v>1691</v>
      </c>
      <c r="Q15" s="1262" t="str">
        <f t="shared" si="6"/>
        <v>商业繁华度</v>
      </c>
      <c r="R15" s="666" t="s">
        <v>14</v>
      </c>
      <c r="S15" s="667">
        <f t="shared" si="0"/>
        <v>102</v>
      </c>
      <c r="T15" s="666" t="s">
        <v>14</v>
      </c>
      <c r="U15" s="667">
        <f t="shared" si="1"/>
        <v>98</v>
      </c>
      <c r="V15" s="666" t="s">
        <v>14</v>
      </c>
      <c r="W15" s="667">
        <f t="shared" si="2"/>
        <v>98</v>
      </c>
      <c r="X15" s="1264"/>
      <c r="Y15" s="3390" t="s">
        <v>1691</v>
      </c>
      <c r="Z15" s="1263" t="str">
        <f t="shared" si="7"/>
        <v>商业繁华度</v>
      </c>
      <c r="AA15" s="1263">
        <f t="shared" si="3"/>
        <v>0.98039215686274506</v>
      </c>
      <c r="AB15" s="1263">
        <f t="shared" si="4"/>
        <v>1.0204081632653061</v>
      </c>
      <c r="AC15" s="1263">
        <f t="shared" si="5"/>
        <v>1.0204081632653061</v>
      </c>
    </row>
    <row r="16" spans="1:29" ht="15">
      <c r="A16" s="366"/>
      <c r="B16" s="384"/>
      <c r="C16" s="385" t="s">
        <v>3424</v>
      </c>
      <c r="D16" s="386"/>
      <c r="E16" s="385" t="s">
        <v>3425</v>
      </c>
      <c r="F16" s="387"/>
      <c r="G16" s="385" t="s">
        <v>3430</v>
      </c>
      <c r="H16" s="388"/>
      <c r="I16" s="385" t="s">
        <v>3430</v>
      </c>
      <c r="J16" s="386"/>
      <c r="K16" s="540"/>
      <c r="L16" s="2490"/>
      <c r="M16" s="2485"/>
      <c r="N16" s="2485"/>
      <c r="O16" s="2485"/>
      <c r="P16" s="3389"/>
      <c r="Q16" s="1262"/>
      <c r="R16" s="666"/>
      <c r="S16" s="667"/>
      <c r="T16" s="666"/>
      <c r="U16" s="667"/>
      <c r="V16" s="666"/>
      <c r="W16" s="667"/>
      <c r="X16" s="1264"/>
      <c r="Y16" s="3391"/>
      <c r="Z16" s="1263"/>
      <c r="AA16" s="1263">
        <v>1</v>
      </c>
      <c r="AB16" s="1263">
        <v>1</v>
      </c>
      <c r="AC16" s="1263">
        <v>1</v>
      </c>
    </row>
    <row r="17" spans="1:29" ht="96.6">
      <c r="A17" s="366"/>
      <c r="B17" s="389" t="s">
        <v>1259</v>
      </c>
      <c r="C17" s="1753" t="str">
        <f>估价对象房地状况!C6</f>
        <v>估价对象临城市主干道--妫川路，周边有Y9路、919路、920路公交车，门口可停车，停车便捷程度较好，综合评价交通便捷度一般</v>
      </c>
      <c r="D17" s="388">
        <v>100</v>
      </c>
      <c r="E17" s="390" t="s">
        <v>3504</v>
      </c>
      <c r="F17" s="391">
        <f>SUMIF(78:78,E18,79:79)-SUMIF(78:78,C18,79:79)+100</f>
        <v>100</v>
      </c>
      <c r="G17" s="392" t="s">
        <v>3509</v>
      </c>
      <c r="H17" s="393">
        <f>SUMIF(78:78,G18,79:79)-SUMIF(78:78,C18,79:79)+100</f>
        <v>100</v>
      </c>
      <c r="I17" s="392" t="s">
        <v>3509</v>
      </c>
      <c r="J17" s="393">
        <f>SUMIF(78:78,I18,79:79)-SUMIF(78:78,C18,79:79)+100</f>
        <v>100</v>
      </c>
      <c r="K17" s="539">
        <v>1</v>
      </c>
      <c r="L17" s="2490"/>
      <c r="M17" s="2485"/>
      <c r="N17" s="2485"/>
      <c r="O17" s="2485"/>
      <c r="P17" s="3389"/>
      <c r="Q17" s="1262" t="str">
        <f>B17</f>
        <v>交通便捷度</v>
      </c>
      <c r="R17" s="666" t="s">
        <v>14</v>
      </c>
      <c r="S17" s="667">
        <f>F17</f>
        <v>100</v>
      </c>
      <c r="T17" s="666" t="s">
        <v>14</v>
      </c>
      <c r="U17" s="667">
        <f>H17</f>
        <v>100</v>
      </c>
      <c r="V17" s="666" t="s">
        <v>14</v>
      </c>
      <c r="W17" s="667">
        <f>J17</f>
        <v>100</v>
      </c>
      <c r="X17" s="1264"/>
      <c r="Y17" s="3391"/>
      <c r="Z17" s="1263" t="str">
        <f>Q17</f>
        <v>交通便捷度</v>
      </c>
      <c r="AA17" s="1263">
        <f t="shared" si="3"/>
        <v>1</v>
      </c>
      <c r="AB17" s="1263">
        <f t="shared" si="4"/>
        <v>1</v>
      </c>
      <c r="AC17" s="1263">
        <f t="shared" si="5"/>
        <v>1</v>
      </c>
    </row>
    <row r="18" spans="1:29" ht="15">
      <c r="A18" s="366"/>
      <c r="B18" s="394"/>
      <c r="C18" s="1754" t="s">
        <v>3424</v>
      </c>
      <c r="D18" s="388"/>
      <c r="E18" s="1756" t="s">
        <v>3424</v>
      </c>
      <c r="F18" s="391"/>
      <c r="G18" s="1755" t="s">
        <v>3424</v>
      </c>
      <c r="H18" s="386"/>
      <c r="I18" s="1756" t="s">
        <v>3424</v>
      </c>
      <c r="J18" s="386"/>
      <c r="K18" s="540"/>
      <c r="L18" s="2490"/>
      <c r="M18" s="2485"/>
      <c r="N18" s="2485"/>
      <c r="O18" s="2485"/>
      <c r="P18" s="3389"/>
      <c r="Q18" s="1262"/>
      <c r="R18" s="666"/>
      <c r="S18" s="667"/>
      <c r="T18" s="666"/>
      <c r="U18" s="667"/>
      <c r="V18" s="666"/>
      <c r="W18" s="667"/>
      <c r="X18" s="1264"/>
      <c r="Y18" s="3391"/>
      <c r="Z18" s="1263"/>
      <c r="AA18" s="1263">
        <v>1</v>
      </c>
      <c r="AB18" s="1263">
        <v>1</v>
      </c>
      <c r="AC18" s="1263">
        <v>1</v>
      </c>
    </row>
    <row r="19" spans="1:29" ht="151.80000000000001">
      <c r="A19" s="366"/>
      <c r="B19" s="389" t="s">
        <v>1778</v>
      </c>
      <c r="C19" s="1753" t="str">
        <f>估价对象房地状况!C7</f>
        <v>估价对象所在区域公共配套设施齐备情况：农业银行、农业发展银行、中国银行，司家营小学、北京市延庆区第二中学，国润家园社区卫生服务站、北京中医医院延庆医院，百尚购物中心</v>
      </c>
      <c r="D19" s="393">
        <v>100</v>
      </c>
      <c r="E19" s="3186" t="s">
        <v>3552</v>
      </c>
      <c r="F19" s="396">
        <f>SUMIF(80:80,E20,81:81)-SUMIF(80:80,C20,81:81)+100</f>
        <v>99</v>
      </c>
      <c r="G19" s="3185" t="s">
        <v>3551</v>
      </c>
      <c r="H19" s="388">
        <f>SUMIF(80:80,G20,81:81)-SUMIF(80:80,C20,81:81)+100</f>
        <v>99</v>
      </c>
      <c r="I19" s="3185" t="s">
        <v>3551</v>
      </c>
      <c r="J19" s="388">
        <f>SUMIF(80:80,I20,81:81)-SUMIF(80:80,C20,81:81)+100</f>
        <v>99</v>
      </c>
      <c r="K19" s="539">
        <v>1</v>
      </c>
      <c r="L19" s="2490"/>
      <c r="M19" s="2485"/>
      <c r="N19" s="2485"/>
      <c r="O19" s="2485"/>
      <c r="P19" s="3389"/>
      <c r="Q19" s="1262" t="str">
        <f>B19</f>
        <v>公共配套设施</v>
      </c>
      <c r="R19" s="666" t="s">
        <v>14</v>
      </c>
      <c r="S19" s="667">
        <f>F19</f>
        <v>99</v>
      </c>
      <c r="T19" s="666" t="s">
        <v>14</v>
      </c>
      <c r="U19" s="667">
        <f>H19</f>
        <v>99</v>
      </c>
      <c r="V19" s="666" t="s">
        <v>14</v>
      </c>
      <c r="W19" s="667">
        <f>J19</f>
        <v>99</v>
      </c>
      <c r="X19" s="1264"/>
      <c r="Y19" s="3391"/>
      <c r="Z19" s="1263" t="str">
        <f>Q19</f>
        <v>公共配套设施</v>
      </c>
      <c r="AA19" s="1263">
        <f t="shared" si="3"/>
        <v>1.0101010101010102</v>
      </c>
      <c r="AB19" s="1263">
        <f t="shared" si="4"/>
        <v>1.0101010101010102</v>
      </c>
      <c r="AC19" s="1263">
        <f t="shared" si="5"/>
        <v>1.0101010101010102</v>
      </c>
    </row>
    <row r="20" spans="1:29" ht="15">
      <c r="A20" s="366"/>
      <c r="B20" s="394"/>
      <c r="C20" s="385" t="s">
        <v>3425</v>
      </c>
      <c r="D20" s="386"/>
      <c r="E20" s="1751" t="s">
        <v>3424</v>
      </c>
      <c r="F20" s="387"/>
      <c r="G20" s="1750" t="s">
        <v>3424</v>
      </c>
      <c r="H20" s="386"/>
      <c r="I20" s="1751" t="s">
        <v>3424</v>
      </c>
      <c r="J20" s="386"/>
      <c r="K20" s="540"/>
      <c r="L20" s="2490"/>
      <c r="M20" s="2485"/>
      <c r="N20" s="2485"/>
      <c r="O20" s="2485"/>
      <c r="P20" s="3389"/>
      <c r="Q20" s="1262"/>
      <c r="R20" s="666"/>
      <c r="S20" s="667"/>
      <c r="T20" s="666"/>
      <c r="U20" s="667"/>
      <c r="V20" s="666"/>
      <c r="W20" s="667"/>
      <c r="X20" s="1264"/>
      <c r="Y20" s="3391"/>
      <c r="Z20" s="1263"/>
      <c r="AA20" s="1263">
        <v>1</v>
      </c>
      <c r="AB20" s="1263">
        <v>1</v>
      </c>
      <c r="AC20" s="1263">
        <v>1</v>
      </c>
    </row>
    <row r="21" spans="1:29" ht="27.6">
      <c r="A21" s="366"/>
      <c r="B21" s="585" t="s">
        <v>1779</v>
      </c>
      <c r="C21" s="1753"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v>1</v>
      </c>
      <c r="L21" s="2490"/>
      <c r="M21" s="2485"/>
      <c r="N21" s="2485"/>
      <c r="O21" s="2485"/>
      <c r="P21" s="3389"/>
      <c r="Q21" s="1262" t="str">
        <f>B21</f>
        <v>基础设施水平</v>
      </c>
      <c r="R21" s="666" t="s">
        <v>14</v>
      </c>
      <c r="S21" s="667">
        <f>F21</f>
        <v>100</v>
      </c>
      <c r="T21" s="666" t="s">
        <v>14</v>
      </c>
      <c r="U21" s="667">
        <f>H21</f>
        <v>100</v>
      </c>
      <c r="V21" s="666" t="s">
        <v>14</v>
      </c>
      <c r="W21" s="667">
        <f>J21</f>
        <v>100</v>
      </c>
      <c r="X21" s="1264"/>
      <c r="Y21" s="3391"/>
      <c r="Z21" s="1263" t="str">
        <f>Q21</f>
        <v>基础设施水平</v>
      </c>
      <c r="AA21" s="1263">
        <f t="shared" ref="AA21" si="8">D21/F21</f>
        <v>1</v>
      </c>
      <c r="AB21" s="1263">
        <f t="shared" ref="AB21" si="9">D21/H21</f>
        <v>1</v>
      </c>
      <c r="AC21" s="1263">
        <f t="shared" ref="AC21" si="10">D21/J21</f>
        <v>1</v>
      </c>
    </row>
    <row r="22" spans="1:29" ht="15">
      <c r="A22" s="366"/>
      <c r="B22" s="585"/>
      <c r="C22" s="1754" t="s">
        <v>3529</v>
      </c>
      <c r="D22" s="386"/>
      <c r="E22" s="385" t="s">
        <v>3529</v>
      </c>
      <c r="F22" s="387"/>
      <c r="G22" s="385" t="s">
        <v>3529</v>
      </c>
      <c r="H22" s="386"/>
      <c r="I22" s="385" t="s">
        <v>3529</v>
      </c>
      <c r="J22" s="386"/>
      <c r="K22" s="1063"/>
      <c r="L22" s="2490"/>
      <c r="M22" s="2485"/>
      <c r="N22" s="2485"/>
      <c r="O22" s="2485"/>
      <c r="P22" s="3389"/>
      <c r="Q22" s="1262"/>
      <c r="R22" s="666"/>
      <c r="S22" s="667"/>
      <c r="T22" s="666"/>
      <c r="U22" s="667"/>
      <c r="V22" s="666"/>
      <c r="W22" s="667"/>
      <c r="X22" s="1264"/>
      <c r="Y22" s="3391"/>
      <c r="Z22" s="1263"/>
      <c r="AA22" s="1263">
        <v>1</v>
      </c>
      <c r="AB22" s="1263">
        <v>1</v>
      </c>
      <c r="AC22" s="1263">
        <v>1</v>
      </c>
    </row>
    <row r="23" spans="1:29" ht="138">
      <c r="A23" s="366"/>
      <c r="B23" s="389" t="s">
        <v>1261</v>
      </c>
      <c r="C23" s="1805" t="str">
        <f>估价对象房地状况!C9</f>
        <v>区域自然环境：迎宾公园、百泉公园、夏都公园、北京延庆世界地质公园；人文环境：延庆区职业学院、妫川宝塔、延庆地质博物馆、水生野生博物馆；综合评价环境状况较好</v>
      </c>
      <c r="D23" s="388">
        <v>100</v>
      </c>
      <c r="E23" s="390" t="s">
        <v>3506</v>
      </c>
      <c r="F23" s="391">
        <f>SUMIF(84:84,E24,85:85)-SUMIF(84:84,C24,85:85)+100</f>
        <v>100</v>
      </c>
      <c r="G23" s="392" t="s">
        <v>3510</v>
      </c>
      <c r="H23" s="388">
        <f>SUMIF(84:84,G24,85:85)-SUMIF(84:84,C24,85:85)+100</f>
        <v>98</v>
      </c>
      <c r="I23" s="392" t="s">
        <v>3510</v>
      </c>
      <c r="J23" s="388">
        <f>SUMIF(84:84,I24,85:85)-SUMIF(84:84,C24,85:85)+100</f>
        <v>98</v>
      </c>
      <c r="K23" s="539">
        <v>2</v>
      </c>
      <c r="L23" s="2490"/>
      <c r="M23" s="2485"/>
      <c r="N23" s="2485"/>
      <c r="O23" s="2485"/>
      <c r="P23" s="3389"/>
      <c r="Q23" s="1262" t="str">
        <f>B23</f>
        <v>自然及人文环境</v>
      </c>
      <c r="R23" s="666" t="s">
        <v>14</v>
      </c>
      <c r="S23" s="667">
        <f>F23</f>
        <v>100</v>
      </c>
      <c r="T23" s="666" t="s">
        <v>14</v>
      </c>
      <c r="U23" s="667">
        <f>H23</f>
        <v>98</v>
      </c>
      <c r="V23" s="666" t="s">
        <v>14</v>
      </c>
      <c r="W23" s="667">
        <f>J23</f>
        <v>98</v>
      </c>
      <c r="X23" s="1264"/>
      <c r="Y23" s="3391"/>
      <c r="Z23" s="1263" t="str">
        <f>Q23</f>
        <v>自然及人文环境</v>
      </c>
      <c r="AA23" s="1263">
        <f t="shared" si="3"/>
        <v>1</v>
      </c>
      <c r="AB23" s="1263">
        <f t="shared" si="4"/>
        <v>1.0204081632653061</v>
      </c>
      <c r="AC23" s="1263">
        <f t="shared" si="5"/>
        <v>1.0204081632653061</v>
      </c>
    </row>
    <row r="24" spans="1:29" ht="15">
      <c r="A24" s="366"/>
      <c r="B24" s="394"/>
      <c r="C24" s="385" t="s">
        <v>3425</v>
      </c>
      <c r="D24" s="386"/>
      <c r="E24" s="1751" t="s">
        <v>3425</v>
      </c>
      <c r="F24" s="387"/>
      <c r="G24" s="1750" t="s">
        <v>3424</v>
      </c>
      <c r="H24" s="386"/>
      <c r="I24" s="1751" t="s">
        <v>3424</v>
      </c>
      <c r="J24" s="386"/>
      <c r="K24" s="540"/>
      <c r="L24" s="2490"/>
      <c r="M24" s="2485"/>
      <c r="N24" s="2485"/>
      <c r="O24" s="2485"/>
      <c r="P24" s="3389"/>
      <c r="Q24" s="1262"/>
      <c r="R24" s="666"/>
      <c r="S24" s="667"/>
      <c r="T24" s="666"/>
      <c r="U24" s="667"/>
      <c r="V24" s="666"/>
      <c r="W24" s="667"/>
      <c r="X24" s="1264"/>
      <c r="Y24" s="3391"/>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v>2</v>
      </c>
      <c r="L25" s="2490"/>
      <c r="M25" s="2485"/>
      <c r="N25" s="2485"/>
      <c r="O25" s="2485"/>
      <c r="P25" s="3389"/>
      <c r="Q25" s="1262" t="str">
        <f t="shared" ref="Q25:Q46" si="11">B25</f>
        <v>临街状况</v>
      </c>
      <c r="R25" s="666" t="s">
        <v>14</v>
      </c>
      <c r="S25" s="667">
        <f>F25</f>
        <v>100</v>
      </c>
      <c r="T25" s="666" t="s">
        <v>14</v>
      </c>
      <c r="U25" s="667">
        <f>H25</f>
        <v>100</v>
      </c>
      <c r="V25" s="666" t="s">
        <v>14</v>
      </c>
      <c r="W25" s="667">
        <f>J25</f>
        <v>100</v>
      </c>
      <c r="X25" s="1264"/>
      <c r="Y25" s="3391"/>
      <c r="Z25" s="1263" t="str">
        <f>Q25</f>
        <v>临街状况</v>
      </c>
      <c r="AA25" s="1263">
        <f t="shared" si="3"/>
        <v>1</v>
      </c>
      <c r="AB25" s="1263">
        <f t="shared" si="4"/>
        <v>1</v>
      </c>
      <c r="AC25" s="1263">
        <f t="shared" si="5"/>
        <v>1</v>
      </c>
    </row>
    <row r="26" spans="1:29" ht="15">
      <c r="A26" s="366"/>
      <c r="B26" s="1065" t="s">
        <v>1781</v>
      </c>
      <c r="C26" s="3170" t="s">
        <v>3503</v>
      </c>
      <c r="D26" s="373">
        <v>100</v>
      </c>
      <c r="E26" s="3170" t="s">
        <v>3503</v>
      </c>
      <c r="F26" s="399">
        <f>SUMIF(88:88,E26,89:89)-SUMIF(88:88,C26,89:89)+100</f>
        <v>100</v>
      </c>
      <c r="G26" s="3170" t="s">
        <v>3503</v>
      </c>
      <c r="H26" s="373">
        <f>SUMIF(88:88,G26,89:89)-SUMIF(88:88,C26,89:89)+100</f>
        <v>100</v>
      </c>
      <c r="I26" s="3170" t="s">
        <v>3503</v>
      </c>
      <c r="J26" s="373">
        <f>SUMIF(88:88,I26,89:89)-SUMIF(88:88,C26,89:89)+100</f>
        <v>100</v>
      </c>
      <c r="K26" s="538"/>
      <c r="L26" s="2490"/>
      <c r="M26" s="2485"/>
      <c r="N26" s="2485"/>
      <c r="O26" s="2485"/>
      <c r="P26" s="3389"/>
      <c r="Q26" s="1262" t="str">
        <f t="shared" si="11"/>
        <v>平面位置/可视性</v>
      </c>
      <c r="R26" s="666" t="s">
        <v>14</v>
      </c>
      <c r="S26" s="667">
        <f>F26</f>
        <v>100</v>
      </c>
      <c r="T26" s="666" t="s">
        <v>14</v>
      </c>
      <c r="U26" s="667">
        <f>H26</f>
        <v>100</v>
      </c>
      <c r="V26" s="666" t="s">
        <v>14</v>
      </c>
      <c r="W26" s="667">
        <f>J26</f>
        <v>100</v>
      </c>
      <c r="X26" s="1264"/>
      <c r="Y26" s="3391"/>
      <c r="Z26" s="1263" t="str">
        <f>Q26</f>
        <v>平面位置/可视性</v>
      </c>
      <c r="AA26" s="1263">
        <f t="shared" si="3"/>
        <v>1</v>
      </c>
      <c r="AB26" s="1263">
        <f t="shared" si="4"/>
        <v>1</v>
      </c>
      <c r="AC26" s="1263">
        <f t="shared" si="5"/>
        <v>1</v>
      </c>
    </row>
    <row r="27" spans="1:29" s="101" customFormat="1" ht="15">
      <c r="A27" s="369"/>
      <c r="B27" s="389" t="s">
        <v>1782</v>
      </c>
      <c r="C27" s="1806" t="s">
        <v>3430</v>
      </c>
      <c r="D27" s="400">
        <v>100</v>
      </c>
      <c r="E27" s="1806" t="s">
        <v>3424</v>
      </c>
      <c r="F27" s="394">
        <f>SUMIF(90:90,E27,91:91)-SUMIF(90:90,C27,91:91)+100</f>
        <v>102</v>
      </c>
      <c r="G27" s="1806" t="s">
        <v>3430</v>
      </c>
      <c r="H27" s="400">
        <f>SUMIF(90:90,G27,91:91)-SUMIF(90:90,C27,91:91)+100</f>
        <v>100</v>
      </c>
      <c r="I27" s="1806" t="s">
        <v>3430</v>
      </c>
      <c r="J27" s="400">
        <f>SUMIF(90:90,I27,91:91)-SUMIF(90:90,C27,91:91)+100</f>
        <v>100</v>
      </c>
      <c r="K27" s="537">
        <v>2</v>
      </c>
      <c r="L27" s="2486"/>
      <c r="M27" s="2438"/>
      <c r="N27" s="2438"/>
      <c r="O27" s="2438"/>
      <c r="P27" s="3389"/>
      <c r="Q27" s="529" t="str">
        <f t="shared" si="11"/>
        <v>人流量</v>
      </c>
      <c r="R27" s="663" t="s">
        <v>14</v>
      </c>
      <c r="S27" s="664">
        <f>F27</f>
        <v>102</v>
      </c>
      <c r="T27" s="663" t="s">
        <v>14</v>
      </c>
      <c r="U27" s="664">
        <f>H27</f>
        <v>100</v>
      </c>
      <c r="V27" s="663" t="s">
        <v>14</v>
      </c>
      <c r="W27" s="664">
        <f>J27</f>
        <v>100</v>
      </c>
      <c r="X27" s="665"/>
      <c r="Y27" s="3391"/>
      <c r="Z27" s="50" t="str">
        <f>Q27</f>
        <v>人流量</v>
      </c>
      <c r="AA27" s="1263">
        <f>D27/F27</f>
        <v>0.98039215686274506</v>
      </c>
      <c r="AB27" s="1263">
        <f>D27/H27</f>
        <v>1</v>
      </c>
      <c r="AC27" s="1263">
        <f>D27/J27</f>
        <v>1</v>
      </c>
    </row>
    <row r="28" spans="1:29" ht="15">
      <c r="A28" s="366"/>
      <c r="B28" s="363" t="s">
        <v>1783</v>
      </c>
      <c r="C28" s="541" t="s">
        <v>3524</v>
      </c>
      <c r="D28" s="373">
        <v>100</v>
      </c>
      <c r="E28" s="541" t="s">
        <v>3524</v>
      </c>
      <c r="F28" s="399">
        <f>SUMIF(92:92,E28,93:93)-SUMIF(92:92,C28,93:93)+100</f>
        <v>100</v>
      </c>
      <c r="G28" s="541" t="s">
        <v>3524</v>
      </c>
      <c r="H28" s="373">
        <f>SUMIF(92:92,G28,93:93)-SUMIF(92:92,C28,93:93)+100</f>
        <v>100</v>
      </c>
      <c r="I28" s="541" t="s">
        <v>3524</v>
      </c>
      <c r="J28" s="373">
        <f>SUMIF(92:92,I28,93:93)-SUMIF(92:92,C28,93:93)+100</f>
        <v>100</v>
      </c>
      <c r="K28" s="538"/>
      <c r="L28" s="2490"/>
      <c r="M28" s="2485"/>
      <c r="N28" s="2485"/>
      <c r="O28" s="2485"/>
      <c r="P28" s="3389"/>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91"/>
      <c r="Z28" s="1263" t="str">
        <f t="shared" ref="Z28:Z46" si="15">Q28</f>
        <v>楼层</v>
      </c>
      <c r="AA28" s="1263">
        <f t="shared" si="3"/>
        <v>1</v>
      </c>
      <c r="AB28" s="1263">
        <f t="shared" si="4"/>
        <v>1</v>
      </c>
      <c r="AC28" s="1263">
        <f t="shared" si="5"/>
        <v>1</v>
      </c>
    </row>
    <row r="29" spans="1:29" ht="15">
      <c r="A29" s="366"/>
      <c r="B29" s="3169">
        <v>111</v>
      </c>
      <c r="C29" s="372"/>
      <c r="D29" s="373">
        <v>100</v>
      </c>
      <c r="E29" s="372"/>
      <c r="F29" s="399">
        <f>SUMIF(94:94,E29,95:95)-SUMIF(94:94,C29,95:95)+100</f>
        <v>100</v>
      </c>
      <c r="G29" s="372"/>
      <c r="H29" s="373">
        <f>SUMIF(94:94,G29,95:95)-SUMIF(94:94,C29,95:95)+100</f>
        <v>100</v>
      </c>
      <c r="I29" s="372"/>
      <c r="J29" s="373">
        <f>SUMIF(94:94,I29,95:95)-SUMIF(94:94,C29,95:95)+100</f>
        <v>100</v>
      </c>
      <c r="K29" s="538"/>
      <c r="L29" s="2490"/>
      <c r="M29" s="3168" t="s">
        <v>3491</v>
      </c>
      <c r="N29" s="2485">
        <v>2012</v>
      </c>
      <c r="O29" s="2485"/>
      <c r="P29" s="3389"/>
      <c r="Q29" s="1262">
        <f t="shared" si="11"/>
        <v>111</v>
      </c>
      <c r="R29" s="666" t="s">
        <v>14</v>
      </c>
      <c r="S29" s="667">
        <f t="shared" si="12"/>
        <v>100</v>
      </c>
      <c r="T29" s="666" t="s">
        <v>14</v>
      </c>
      <c r="U29" s="667">
        <f t="shared" si="13"/>
        <v>100</v>
      </c>
      <c r="V29" s="666" t="s">
        <v>14</v>
      </c>
      <c r="W29" s="667">
        <f t="shared" si="14"/>
        <v>100</v>
      </c>
      <c r="X29" s="1264"/>
      <c r="Y29" s="3391"/>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90"/>
      <c r="M30" s="2485"/>
      <c r="N30" s="2485">
        <f>ROUND(1-(1-0)*(2024-N29)/60,2)</f>
        <v>0.8</v>
      </c>
      <c r="O30" s="2485"/>
      <c r="P30" s="3389"/>
      <c r="Q30" s="1262">
        <f t="shared" si="11"/>
        <v>111</v>
      </c>
      <c r="R30" s="666" t="s">
        <v>14</v>
      </c>
      <c r="S30" s="667">
        <f t="shared" si="12"/>
        <v>100</v>
      </c>
      <c r="T30" s="666" t="s">
        <v>14</v>
      </c>
      <c r="U30" s="667">
        <f t="shared" si="13"/>
        <v>100</v>
      </c>
      <c r="V30" s="666" t="s">
        <v>14</v>
      </c>
      <c r="W30" s="667">
        <f t="shared" si="14"/>
        <v>100</v>
      </c>
      <c r="X30" s="1264"/>
      <c r="Y30" s="3391"/>
      <c r="Z30" s="1263">
        <f t="shared" si="15"/>
        <v>111</v>
      </c>
      <c r="AA30" s="1263">
        <f t="shared" si="3"/>
        <v>1</v>
      </c>
      <c r="AB30" s="1263">
        <f t="shared" si="4"/>
        <v>1</v>
      </c>
      <c r="AC30" s="1263">
        <f t="shared" si="5"/>
        <v>1</v>
      </c>
    </row>
    <row r="31" spans="1:29" ht="15.6"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90"/>
      <c r="M31" s="2485"/>
      <c r="N31" s="2485"/>
      <c r="O31" s="2485"/>
      <c r="P31" s="3389"/>
      <c r="Q31" s="1262">
        <f t="shared" si="11"/>
        <v>111</v>
      </c>
      <c r="R31" s="666" t="s">
        <v>14</v>
      </c>
      <c r="S31" s="667">
        <f t="shared" si="12"/>
        <v>100</v>
      </c>
      <c r="T31" s="666" t="s">
        <v>14</v>
      </c>
      <c r="U31" s="667">
        <f t="shared" si="13"/>
        <v>100</v>
      </c>
      <c r="V31" s="666" t="s">
        <v>14</v>
      </c>
      <c r="W31" s="667">
        <f t="shared" si="14"/>
        <v>100</v>
      </c>
      <c r="X31" s="1264"/>
      <c r="Y31" s="3391"/>
      <c r="Z31" s="1263">
        <f t="shared" si="15"/>
        <v>111</v>
      </c>
      <c r="AA31" s="1263">
        <f t="shared" si="3"/>
        <v>1</v>
      </c>
      <c r="AB31" s="1263">
        <f t="shared" si="4"/>
        <v>1</v>
      </c>
      <c r="AC31" s="1263">
        <f t="shared" si="5"/>
        <v>1</v>
      </c>
    </row>
    <row r="32" spans="1:29" ht="15">
      <c r="A32" s="378" t="s">
        <v>1694</v>
      </c>
      <c r="B32" s="60" t="s">
        <v>1784</v>
      </c>
      <c r="C32" s="1763" t="s">
        <v>3548</v>
      </c>
      <c r="D32" s="404">
        <v>100</v>
      </c>
      <c r="E32" s="1763" t="s">
        <v>3546</v>
      </c>
      <c r="F32" s="399">
        <f>SUMIF(100:100,E32,101:101)-SUMIF(100:100,C32,101:101)+100</f>
        <v>105</v>
      </c>
      <c r="G32" s="1763" t="s">
        <v>3548</v>
      </c>
      <c r="H32" s="373">
        <f>SUMIF(100:100,G32,101:101)-SUMIF(100:100,C32,101:101)+100</f>
        <v>100</v>
      </c>
      <c r="I32" s="1763" t="s">
        <v>3548</v>
      </c>
      <c r="J32" s="404">
        <f>SUMIF(100:100,I32,101:101)-SUMIF(100:100,C32,101:101)+100</f>
        <v>100</v>
      </c>
      <c r="K32" s="537">
        <v>5</v>
      </c>
      <c r="L32" s="2490"/>
      <c r="M32" s="3168" t="s">
        <v>3492</v>
      </c>
      <c r="N32" s="2485">
        <v>2018</v>
      </c>
      <c r="O32" s="2485"/>
      <c r="P32" s="3392" t="s">
        <v>1696</v>
      </c>
      <c r="Q32" s="1262" t="str">
        <f t="shared" si="11"/>
        <v>商业类型</v>
      </c>
      <c r="R32" s="666" t="s">
        <v>14</v>
      </c>
      <c r="S32" s="667">
        <f t="shared" si="12"/>
        <v>105</v>
      </c>
      <c r="T32" s="666" t="s">
        <v>14</v>
      </c>
      <c r="U32" s="667">
        <f t="shared" si="13"/>
        <v>100</v>
      </c>
      <c r="V32" s="666" t="s">
        <v>14</v>
      </c>
      <c r="W32" s="667">
        <f t="shared" si="14"/>
        <v>100</v>
      </c>
      <c r="X32" s="1264"/>
      <c r="Y32" s="3395" t="s">
        <v>1696</v>
      </c>
      <c r="Z32" s="1263" t="str">
        <f t="shared" si="15"/>
        <v>商业类型</v>
      </c>
      <c r="AA32" s="1263">
        <f t="shared" si="3"/>
        <v>0.95238095238095233</v>
      </c>
      <c r="AB32" s="1263">
        <f t="shared" si="4"/>
        <v>1</v>
      </c>
      <c r="AC32" s="1263">
        <f t="shared" si="5"/>
        <v>1</v>
      </c>
    </row>
    <row r="33" spans="1:29" s="407" customFormat="1" ht="15">
      <c r="A33" s="405"/>
      <c r="B33" s="363" t="s">
        <v>1697</v>
      </c>
      <c r="C33" s="406">
        <f>'数据-汇总表'!E20</f>
        <v>156.33000000000001</v>
      </c>
      <c r="D33" s="118">
        <v>100</v>
      </c>
      <c r="E33" s="368">
        <f>案例!K22</f>
        <v>500.02</v>
      </c>
      <c r="F33" s="363">
        <f>LOOKUP(E33,103:103,104:104)-LOOKUP(C33,103:103,104:104)+100</f>
        <v>96</v>
      </c>
      <c r="G33" s="367">
        <f>案例!O29</f>
        <v>83.05</v>
      </c>
      <c r="H33" s="118">
        <f>LOOKUP(G33,103:103,104:104)-LOOKUP(C33,103:103,104:104)+100</f>
        <v>102</v>
      </c>
      <c r="I33" s="367">
        <f>案例!N80</f>
        <v>122</v>
      </c>
      <c r="J33" s="118">
        <f>LOOKUP(I33,103:103,104:104)-LOOKUP(C33,103:103,104:104)+100</f>
        <v>100</v>
      </c>
      <c r="K33" s="538"/>
      <c r="L33" s="2489"/>
      <c r="M33" s="2491"/>
      <c r="N33" s="2491">
        <f>ROUND(1-(1-0)*(2024-N32)/60,2)</f>
        <v>0.9</v>
      </c>
      <c r="O33" s="2491"/>
      <c r="P33" s="3393"/>
      <c r="Q33" s="530" t="str">
        <f t="shared" si="11"/>
        <v>项目建筑规模</v>
      </c>
      <c r="R33" s="668" t="s">
        <v>14</v>
      </c>
      <c r="S33" s="669">
        <f t="shared" si="12"/>
        <v>96</v>
      </c>
      <c r="T33" s="668" t="s">
        <v>14</v>
      </c>
      <c r="U33" s="669">
        <f t="shared" si="13"/>
        <v>102</v>
      </c>
      <c r="V33" s="668" t="s">
        <v>14</v>
      </c>
      <c r="W33" s="669">
        <f t="shared" si="14"/>
        <v>100</v>
      </c>
      <c r="X33" s="670"/>
      <c r="Y33" s="3395"/>
      <c r="Z33" s="671" t="str">
        <f t="shared" si="15"/>
        <v>项目建筑规模</v>
      </c>
      <c r="AA33" s="1263">
        <f t="shared" si="3"/>
        <v>1.0416666666666667</v>
      </c>
      <c r="AB33" s="1263">
        <f t="shared" si="4"/>
        <v>0.98039215686274506</v>
      </c>
      <c r="AC33" s="1263">
        <f t="shared" si="5"/>
        <v>1</v>
      </c>
    </row>
    <row r="34" spans="1:29" ht="15">
      <c r="A34" s="408"/>
      <c r="B34" s="363" t="s">
        <v>1698</v>
      </c>
      <c r="C34" s="398" t="s">
        <v>3489</v>
      </c>
      <c r="D34" s="373">
        <v>100</v>
      </c>
      <c r="E34" s="398" t="s">
        <v>3487</v>
      </c>
      <c r="F34" s="399">
        <f>SUMIF(105:105,E34,106:106)-SUMIF(105:105,C34,106:106)+100</f>
        <v>102</v>
      </c>
      <c r="G34" s="398" t="s">
        <v>3487</v>
      </c>
      <c r="H34" s="373">
        <f>SUMIF(105:105,G34,106:106)-SUMIF(105:105,C34,106:106)+100</f>
        <v>102</v>
      </c>
      <c r="I34" s="398" t="s">
        <v>3487</v>
      </c>
      <c r="J34" s="373">
        <f>SUMIF(105:105,I34,106:106)-SUMIF(105:105,C34,106:106)+100</f>
        <v>102</v>
      </c>
      <c r="K34" s="537">
        <v>2</v>
      </c>
      <c r="L34" s="2490"/>
      <c r="M34" s="2485"/>
      <c r="N34" s="2485"/>
      <c r="O34" s="2485"/>
      <c r="P34" s="3393"/>
      <c r="Q34" s="1262" t="str">
        <f t="shared" si="11"/>
        <v>建筑结构</v>
      </c>
      <c r="R34" s="666" t="s">
        <v>14</v>
      </c>
      <c r="S34" s="667">
        <f t="shared" si="12"/>
        <v>102</v>
      </c>
      <c r="T34" s="666" t="s">
        <v>14</v>
      </c>
      <c r="U34" s="667">
        <f t="shared" si="13"/>
        <v>102</v>
      </c>
      <c r="V34" s="666" t="s">
        <v>14</v>
      </c>
      <c r="W34" s="667">
        <f t="shared" si="14"/>
        <v>102</v>
      </c>
      <c r="X34" s="1264"/>
      <c r="Y34" s="3395"/>
      <c r="Z34" s="1263" t="str">
        <f t="shared" si="15"/>
        <v>建筑结构</v>
      </c>
      <c r="AA34" s="1263">
        <f t="shared" si="3"/>
        <v>0.98039215686274506</v>
      </c>
      <c r="AB34" s="1263">
        <f t="shared" si="4"/>
        <v>0.98039215686274506</v>
      </c>
      <c r="AC34" s="1263">
        <f t="shared" si="5"/>
        <v>0.98039215686274506</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v>2</v>
      </c>
      <c r="L35" s="2490"/>
      <c r="M35" s="2485"/>
      <c r="N35" s="2485"/>
      <c r="O35" s="2485"/>
      <c r="P35" s="3393"/>
      <c r="Q35" s="1262" t="str">
        <f t="shared" si="11"/>
        <v>公共部分装修</v>
      </c>
      <c r="R35" s="666" t="s">
        <v>14</v>
      </c>
      <c r="S35" s="667">
        <f t="shared" si="12"/>
        <v>100</v>
      </c>
      <c r="T35" s="666" t="s">
        <v>14</v>
      </c>
      <c r="U35" s="667">
        <f t="shared" si="13"/>
        <v>100</v>
      </c>
      <c r="V35" s="666" t="s">
        <v>14</v>
      </c>
      <c r="W35" s="667">
        <f t="shared" si="14"/>
        <v>100</v>
      </c>
      <c r="X35" s="1264"/>
      <c r="Y35" s="3395"/>
      <c r="Z35" s="1263" t="str">
        <f t="shared" si="15"/>
        <v>公共部分装修</v>
      </c>
      <c r="AA35" s="1263">
        <f t="shared" si="3"/>
        <v>1</v>
      </c>
      <c r="AB35" s="1263">
        <f t="shared" si="4"/>
        <v>1</v>
      </c>
      <c r="AC35" s="1263">
        <f t="shared" si="5"/>
        <v>1</v>
      </c>
    </row>
    <row r="36" spans="1:29" ht="15">
      <c r="A36" s="408"/>
      <c r="B36" s="363" t="s">
        <v>1786</v>
      </c>
      <c r="C36" s="410">
        <f>'数据-取费表'!N6</f>
        <v>0.7</v>
      </c>
      <c r="D36" s="373">
        <v>100</v>
      </c>
      <c r="E36" s="410">
        <f>N30</f>
        <v>0.8</v>
      </c>
      <c r="F36" s="399">
        <f>LOOKUP(E36,110:110,111:111)-LOOKUP(C36,110:110,111:111)+100</f>
        <v>102</v>
      </c>
      <c r="G36" s="410">
        <f>N33</f>
        <v>0.9</v>
      </c>
      <c r="H36" s="399">
        <f>LOOKUP(G36,110:110,111:111)-LOOKUP(C36,110:110,111:111)+100</f>
        <v>104</v>
      </c>
      <c r="I36" s="410">
        <f>N33</f>
        <v>0.9</v>
      </c>
      <c r="J36" s="373">
        <f>LOOKUP(I36,110:110,111:111)-LOOKUP(C36,110:110,111:111)+100</f>
        <v>104</v>
      </c>
      <c r="K36" s="3183">
        <v>2</v>
      </c>
      <c r="L36" s="2490"/>
      <c r="M36" s="2485"/>
      <c r="N36" s="2485"/>
      <c r="O36" s="2485"/>
      <c r="P36" s="3393"/>
      <c r="Q36" s="1262" t="str">
        <f t="shared" si="11"/>
        <v>成新度</v>
      </c>
      <c r="R36" s="666" t="s">
        <v>14</v>
      </c>
      <c r="S36" s="667">
        <f t="shared" si="12"/>
        <v>102</v>
      </c>
      <c r="T36" s="666" t="s">
        <v>14</v>
      </c>
      <c r="U36" s="667">
        <f t="shared" si="13"/>
        <v>104</v>
      </c>
      <c r="V36" s="666" t="s">
        <v>14</v>
      </c>
      <c r="W36" s="667">
        <f t="shared" si="14"/>
        <v>104</v>
      </c>
      <c r="X36" s="1264"/>
      <c r="Y36" s="3395"/>
      <c r="Z36" s="1263" t="str">
        <f t="shared" si="15"/>
        <v>成新度</v>
      </c>
      <c r="AA36" s="1263">
        <f t="shared" si="3"/>
        <v>0.98039215686274506</v>
      </c>
      <c r="AB36" s="1263">
        <f t="shared" si="4"/>
        <v>0.96153846153846156</v>
      </c>
      <c r="AC36" s="1263">
        <f t="shared" si="5"/>
        <v>0.96153846153846156</v>
      </c>
    </row>
    <row r="37" spans="1:29" s="101"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3183"/>
      <c r="L37" s="2486"/>
      <c r="M37" s="2438"/>
      <c r="N37" s="2438"/>
      <c r="O37" s="2438"/>
      <c r="P37" s="3393"/>
      <c r="Q37" s="529" t="str">
        <f t="shared" si="11"/>
        <v>市政基础设施</v>
      </c>
      <c r="R37" s="663" t="s">
        <v>14</v>
      </c>
      <c r="S37" s="664">
        <f t="shared" si="12"/>
        <v>100</v>
      </c>
      <c r="T37" s="663" t="s">
        <v>14</v>
      </c>
      <c r="U37" s="664">
        <f t="shared" si="13"/>
        <v>100</v>
      </c>
      <c r="V37" s="663" t="s">
        <v>14</v>
      </c>
      <c r="W37" s="664">
        <f t="shared" si="14"/>
        <v>100</v>
      </c>
      <c r="X37" s="665"/>
      <c r="Y37" s="3395"/>
      <c r="Z37" s="50" t="str">
        <f t="shared" si="15"/>
        <v>市政基础设施</v>
      </c>
      <c r="AA37" s="50">
        <f t="shared" si="3"/>
        <v>1</v>
      </c>
      <c r="AB37" s="50">
        <f t="shared" si="4"/>
        <v>1</v>
      </c>
      <c r="AC37" s="50">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3183">
        <v>5</v>
      </c>
      <c r="L38" s="2490"/>
      <c r="M38" s="2485"/>
      <c r="N38" s="2485"/>
      <c r="O38" s="2485"/>
      <c r="P38" s="3393" t="s">
        <v>1696</v>
      </c>
      <c r="Q38" s="1262" t="str">
        <f t="shared" si="11"/>
        <v>业态</v>
      </c>
      <c r="R38" s="666" t="s">
        <v>14</v>
      </c>
      <c r="S38" s="667">
        <f t="shared" si="12"/>
        <v>100</v>
      </c>
      <c r="T38" s="666" t="s">
        <v>14</v>
      </c>
      <c r="U38" s="667">
        <f t="shared" si="13"/>
        <v>100</v>
      </c>
      <c r="V38" s="666" t="s">
        <v>14</v>
      </c>
      <c r="W38" s="667">
        <f t="shared" si="14"/>
        <v>100</v>
      </c>
      <c r="X38" s="1264"/>
      <c r="Y38" s="3395"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3183"/>
      <c r="L39" s="2490"/>
      <c r="M39" s="2485"/>
      <c r="N39" s="2485"/>
      <c r="O39" s="2485"/>
      <c r="P39" s="3393"/>
      <c r="Q39" s="1262" t="str">
        <f t="shared" si="11"/>
        <v>层高</v>
      </c>
      <c r="R39" s="666" t="s">
        <v>14</v>
      </c>
      <c r="S39" s="667">
        <f t="shared" si="12"/>
        <v>100</v>
      </c>
      <c r="T39" s="666" t="s">
        <v>14</v>
      </c>
      <c r="U39" s="667">
        <f t="shared" si="13"/>
        <v>100</v>
      </c>
      <c r="V39" s="666" t="s">
        <v>14</v>
      </c>
      <c r="W39" s="667">
        <f t="shared" si="14"/>
        <v>100</v>
      </c>
      <c r="X39" s="1264"/>
      <c r="Y39" s="3395"/>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3184"/>
      <c r="L40" s="2490"/>
      <c r="M40" s="2485"/>
      <c r="N40" s="2485"/>
      <c r="O40" s="2485"/>
      <c r="P40" s="3393"/>
      <c r="Q40" s="1262" t="str">
        <f t="shared" si="11"/>
        <v>单套建筑面积</v>
      </c>
      <c r="R40" s="666" t="s">
        <v>14</v>
      </c>
      <c r="S40" s="667">
        <f t="shared" si="12"/>
        <v>100</v>
      </c>
      <c r="T40" s="666" t="s">
        <v>14</v>
      </c>
      <c r="U40" s="667">
        <f t="shared" si="13"/>
        <v>100</v>
      </c>
      <c r="V40" s="666" t="s">
        <v>14</v>
      </c>
      <c r="W40" s="667">
        <f t="shared" si="14"/>
        <v>100</v>
      </c>
      <c r="X40" s="1264"/>
      <c r="Y40" s="3395"/>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3183"/>
      <c r="L41" s="2489"/>
      <c r="M41" s="2491"/>
      <c r="N41" s="2491"/>
      <c r="O41" s="2491"/>
      <c r="P41" s="3393"/>
      <c r="Q41" s="530" t="str">
        <f t="shared" si="11"/>
        <v>进深比</v>
      </c>
      <c r="R41" s="668" t="s">
        <v>14</v>
      </c>
      <c r="S41" s="669">
        <f t="shared" si="12"/>
        <v>100</v>
      </c>
      <c r="T41" s="668" t="s">
        <v>14</v>
      </c>
      <c r="U41" s="669">
        <f t="shared" si="13"/>
        <v>100</v>
      </c>
      <c r="V41" s="668" t="s">
        <v>14</v>
      </c>
      <c r="W41" s="669">
        <f t="shared" si="14"/>
        <v>100</v>
      </c>
      <c r="X41" s="670"/>
      <c r="Y41" s="3395"/>
      <c r="Z41" s="671" t="str">
        <f t="shared" si="15"/>
        <v>进深比</v>
      </c>
      <c r="AA41" s="1263">
        <f t="shared" si="3"/>
        <v>1</v>
      </c>
      <c r="AB41" s="1263">
        <f t="shared" si="4"/>
        <v>1</v>
      </c>
      <c r="AC41" s="1263">
        <f t="shared" si="5"/>
        <v>1</v>
      </c>
    </row>
    <row r="42" spans="1:29" ht="15">
      <c r="A42" s="408"/>
      <c r="B42" s="363" t="s">
        <v>1792</v>
      </c>
      <c r="C42" s="1759" t="s">
        <v>3499</v>
      </c>
      <c r="D42" s="373">
        <v>100</v>
      </c>
      <c r="E42" s="1759" t="s">
        <v>3500</v>
      </c>
      <c r="F42" s="399">
        <f>SUMIF(122:122,E42,123:123)-SUMIF(122:122,C42,123:123)+100</f>
        <v>98</v>
      </c>
      <c r="G42" s="1759" t="s">
        <v>3500</v>
      </c>
      <c r="H42" s="373">
        <f>SUMIF(122:122,G42,123:123)-SUMIF(122:122,C42,123:123)+100</f>
        <v>98</v>
      </c>
      <c r="I42" s="1759" t="s">
        <v>3500</v>
      </c>
      <c r="J42" s="373">
        <f>SUMIF(122:122,I42,123:123)-SUMIF(122:122,C42,123:123)+100</f>
        <v>98</v>
      </c>
      <c r="K42" s="3183">
        <v>1</v>
      </c>
      <c r="L42" s="2490"/>
      <c r="M42" s="2485"/>
      <c r="N42" s="2485"/>
      <c r="O42" s="2485"/>
      <c r="P42" s="3393"/>
      <c r="Q42" s="1262" t="str">
        <f t="shared" si="11"/>
        <v>内部装修</v>
      </c>
      <c r="R42" s="666" t="s">
        <v>14</v>
      </c>
      <c r="S42" s="667">
        <f t="shared" si="12"/>
        <v>98</v>
      </c>
      <c r="T42" s="666" t="s">
        <v>14</v>
      </c>
      <c r="U42" s="667">
        <f t="shared" si="13"/>
        <v>98</v>
      </c>
      <c r="V42" s="666" t="s">
        <v>14</v>
      </c>
      <c r="W42" s="667">
        <f t="shared" si="14"/>
        <v>98</v>
      </c>
      <c r="X42" s="1264"/>
      <c r="Y42" s="3395"/>
      <c r="Z42" s="1263" t="str">
        <f t="shared" si="15"/>
        <v>内部装修</v>
      </c>
      <c r="AA42" s="1263">
        <f t="shared" si="3"/>
        <v>1.0204081632653061</v>
      </c>
      <c r="AB42" s="1263">
        <f t="shared" si="4"/>
        <v>1.0204081632653061</v>
      </c>
      <c r="AC42" s="1263">
        <f t="shared" si="5"/>
        <v>1.0204081632653061</v>
      </c>
    </row>
    <row r="43" spans="1:29" ht="28.8">
      <c r="A43" s="408"/>
      <c r="B43" s="363" t="s">
        <v>1707</v>
      </c>
      <c r="C43" s="1759" t="s">
        <v>3425</v>
      </c>
      <c r="D43" s="373">
        <v>100</v>
      </c>
      <c r="E43" s="1759" t="s">
        <v>3425</v>
      </c>
      <c r="F43" s="399">
        <f>SUMIF(124:124,E43,125:125)-SUMIF(124:124,C43,125:125)+100</f>
        <v>100</v>
      </c>
      <c r="G43" s="1759" t="s">
        <v>3425</v>
      </c>
      <c r="H43" s="373">
        <f>SUMIF(124:124,G43,125:125)-SUMIF(124:124,C43,125:125)+100</f>
        <v>100</v>
      </c>
      <c r="I43" s="1759" t="s">
        <v>3425</v>
      </c>
      <c r="J43" s="373">
        <f>SUMIF(124:124,I43,125:125)-SUMIF(124:124,C43,125:125)+100</f>
        <v>100</v>
      </c>
      <c r="K43" s="537">
        <v>2</v>
      </c>
      <c r="L43" s="2490"/>
      <c r="M43" s="2485"/>
      <c r="N43" s="2485"/>
      <c r="O43" s="2485"/>
      <c r="P43" s="3393"/>
      <c r="Q43" s="1262" t="str">
        <f t="shared" si="11"/>
        <v>内部装修维护情况</v>
      </c>
      <c r="R43" s="666" t="s">
        <v>14</v>
      </c>
      <c r="S43" s="667">
        <f t="shared" si="12"/>
        <v>100</v>
      </c>
      <c r="T43" s="666" t="s">
        <v>14</v>
      </c>
      <c r="U43" s="667">
        <f t="shared" si="13"/>
        <v>100</v>
      </c>
      <c r="V43" s="666" t="s">
        <v>14</v>
      </c>
      <c r="W43" s="667">
        <f t="shared" si="14"/>
        <v>100</v>
      </c>
      <c r="X43" s="1264"/>
      <c r="Y43" s="3395"/>
      <c r="Z43" s="1263" t="str">
        <f t="shared" si="15"/>
        <v>内部装修维护情况</v>
      </c>
      <c r="AA43" s="1263">
        <f t="shared" si="3"/>
        <v>1</v>
      </c>
      <c r="AB43" s="1263">
        <f t="shared" si="4"/>
        <v>1</v>
      </c>
      <c r="AC43" s="1263">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6"/>
      <c r="M44" s="2438"/>
      <c r="N44" s="2438"/>
      <c r="O44" s="2438"/>
      <c r="P44" s="3393"/>
      <c r="Q44" s="529">
        <f t="shared" si="11"/>
        <v>111</v>
      </c>
      <c r="R44" s="663" t="s">
        <v>14</v>
      </c>
      <c r="S44" s="664">
        <f t="shared" si="12"/>
        <v>100</v>
      </c>
      <c r="T44" s="663" t="s">
        <v>14</v>
      </c>
      <c r="U44" s="664">
        <f t="shared" si="13"/>
        <v>100</v>
      </c>
      <c r="V44" s="663" t="s">
        <v>14</v>
      </c>
      <c r="W44" s="664">
        <f t="shared" si="14"/>
        <v>100</v>
      </c>
      <c r="X44" s="665"/>
      <c r="Y44" s="3395"/>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0"/>
      <c r="M45" s="2485"/>
      <c r="N45" s="2485"/>
      <c r="O45" s="2485"/>
      <c r="P45" s="3393"/>
      <c r="Q45" s="1262">
        <f t="shared" si="11"/>
        <v>111</v>
      </c>
      <c r="R45" s="666" t="s">
        <v>14</v>
      </c>
      <c r="S45" s="667">
        <f t="shared" si="12"/>
        <v>100</v>
      </c>
      <c r="T45" s="666" t="s">
        <v>14</v>
      </c>
      <c r="U45" s="667">
        <f t="shared" si="13"/>
        <v>100</v>
      </c>
      <c r="V45" s="666" t="s">
        <v>14</v>
      </c>
      <c r="W45" s="667">
        <f t="shared" si="14"/>
        <v>100</v>
      </c>
      <c r="X45" s="1264"/>
      <c r="Y45" s="3395"/>
      <c r="Z45" s="1263">
        <f t="shared" si="15"/>
        <v>111</v>
      </c>
      <c r="AA45" s="1263">
        <f t="shared" si="3"/>
        <v>1</v>
      </c>
      <c r="AB45" s="1263">
        <f t="shared" si="4"/>
        <v>1</v>
      </c>
      <c r="AC45" s="1263">
        <f t="shared" si="5"/>
        <v>1</v>
      </c>
    </row>
    <row r="46" spans="1:29" ht="15.6"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0"/>
      <c r="M46" s="2485"/>
      <c r="N46" s="2485"/>
      <c r="O46" s="2485"/>
      <c r="P46" s="3394"/>
      <c r="Q46" s="1262">
        <f t="shared" si="11"/>
        <v>111</v>
      </c>
      <c r="R46" s="666" t="s">
        <v>14</v>
      </c>
      <c r="S46" s="667">
        <f t="shared" si="12"/>
        <v>100</v>
      </c>
      <c r="T46" s="666" t="s">
        <v>14</v>
      </c>
      <c r="U46" s="667">
        <f t="shared" si="13"/>
        <v>100</v>
      </c>
      <c r="V46" s="666" t="s">
        <v>14</v>
      </c>
      <c r="W46" s="667">
        <f t="shared" si="14"/>
        <v>100</v>
      </c>
      <c r="X46" s="1264"/>
      <c r="Y46" s="3396"/>
      <c r="Z46" s="1263">
        <f t="shared" si="15"/>
        <v>111</v>
      </c>
      <c r="AA46" s="1263">
        <f t="shared" si="3"/>
        <v>1</v>
      </c>
      <c r="AB46" s="1263">
        <f t="shared" si="4"/>
        <v>1</v>
      </c>
      <c r="AC46" s="1263">
        <f t="shared" si="5"/>
        <v>1</v>
      </c>
    </row>
    <row r="47" spans="1:29" ht="14.4">
      <c r="A47" s="415" t="s">
        <v>1708</v>
      </c>
      <c r="B47" s="416"/>
      <c r="C47" s="1080" t="s">
        <v>0</v>
      </c>
      <c r="D47" s="417"/>
      <c r="E47" s="418">
        <f>案例!Q22</f>
        <v>18643</v>
      </c>
      <c r="F47" s="419"/>
      <c r="G47" s="420">
        <f>案例!Q30</f>
        <v>16536</v>
      </c>
      <c r="H47" s="421"/>
      <c r="I47" s="418">
        <f>案例!P79</f>
        <v>15033</v>
      </c>
      <c r="J47" s="421"/>
      <c r="K47" s="673"/>
      <c r="L47" s="2492"/>
      <c r="M47" s="2485"/>
      <c r="N47" s="2485"/>
      <c r="O47" s="2485"/>
      <c r="P47" s="3383" t="str">
        <f>A47</f>
        <v>成交单价（元/平方米）</v>
      </c>
      <c r="Q47" s="3383"/>
      <c r="R47" s="3384">
        <f>E47</f>
        <v>18643</v>
      </c>
      <c r="S47" s="3384"/>
      <c r="T47" s="3384">
        <f>G47</f>
        <v>16536</v>
      </c>
      <c r="U47" s="3384"/>
      <c r="V47" s="3384">
        <f>I47</f>
        <v>15033</v>
      </c>
      <c r="W47" s="3384"/>
      <c r="X47" s="384"/>
      <c r="Y47" s="672"/>
      <c r="Z47" s="384"/>
      <c r="AA47" s="384"/>
      <c r="AB47" s="384"/>
      <c r="AC47" s="384"/>
    </row>
    <row r="48" spans="1:29" ht="15" thickBot="1">
      <c r="A48" s="422" t="s">
        <v>1709</v>
      </c>
      <c r="B48" s="423"/>
      <c r="C48" s="1081">
        <f>R49</f>
        <v>16201</v>
      </c>
      <c r="D48" s="2140" t="s">
        <v>2138</v>
      </c>
      <c r="E48" s="1082">
        <f>R48</f>
        <v>17611</v>
      </c>
      <c r="F48" s="2141"/>
      <c r="G48" s="1081">
        <f>T48</f>
        <v>16080</v>
      </c>
      <c r="H48" s="2141"/>
      <c r="I48" s="1082">
        <f>V48</f>
        <v>14911</v>
      </c>
      <c r="J48" s="2141"/>
      <c r="K48" s="2143">
        <f>F48+H48+J48</f>
        <v>0</v>
      </c>
      <c r="L48" s="2492"/>
      <c r="M48" s="2485"/>
      <c r="N48" s="2485"/>
      <c r="O48" s="2485"/>
      <c r="P48" s="3383" t="str">
        <f>A48</f>
        <v>比较价值（元/平方米）</v>
      </c>
      <c r="Q48" s="3383"/>
      <c r="R48" s="3384">
        <f>IF(F1="售价",ROUND(PRODUCT(R47,AA7:AA46),0),ROUND(PRODUCT(R47,AA7:AA46),1))</f>
        <v>17611</v>
      </c>
      <c r="S48" s="3384"/>
      <c r="T48" s="3384">
        <f>IF(F1="售价",ROUND(PRODUCT(T47,AB7:AB46),0),ROUND(PRODUCT(T47,AB7:AB46),1))</f>
        <v>16080</v>
      </c>
      <c r="U48" s="3384"/>
      <c r="V48" s="3384">
        <f>IF(F1="售价",ROUND(PRODUCT(V47,AC7:AC46),0),ROUND(PRODUCT(V47,AC7:AC46),1))</f>
        <v>14911</v>
      </c>
      <c r="W48" s="3384"/>
      <c r="X48" s="384"/>
      <c r="Y48" s="384"/>
      <c r="Z48" s="384"/>
      <c r="AA48" s="384"/>
      <c r="AB48" s="384"/>
      <c r="AC48" s="384"/>
    </row>
    <row r="49" spans="1:29" ht="15" thickBot="1">
      <c r="A49" s="426" t="s">
        <v>1710</v>
      </c>
      <c r="B49" s="427"/>
      <c r="C49" s="350">
        <f>R49</f>
        <v>16201</v>
      </c>
      <c r="D49" s="350"/>
      <c r="E49" s="350"/>
      <c r="F49" s="350"/>
      <c r="G49" s="350"/>
      <c r="H49" s="350"/>
      <c r="I49" s="350"/>
      <c r="J49" s="350"/>
      <c r="K49" s="674"/>
      <c r="L49" s="2492"/>
      <c r="M49" s="2485"/>
      <c r="N49" s="2485"/>
      <c r="O49" s="2485"/>
      <c r="P49" s="3385" t="str">
        <f>A49</f>
        <v>估价对象XX用房的比较价值（楼面单价，元/平方米）</v>
      </c>
      <c r="Q49" s="3386"/>
      <c r="R49" s="3387">
        <f>IF(F1="售价",ROUND(IF(D48="简单平均",AVERAGE(R48:V48),R48*F48+T48*H48+V48*J48),0),ROUND(IF(D48="简单平均",AVERAGE(R48:V48),R48*F48+T48*H48+V48*J48),1))</f>
        <v>16201</v>
      </c>
      <c r="S49" s="3387"/>
      <c r="T49" s="3387"/>
      <c r="U49" s="3387"/>
      <c r="V49" s="3387"/>
      <c r="W49" s="3387"/>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1" t="s">
        <v>1711</v>
      </c>
      <c r="D52" s="432"/>
      <c r="E52" s="433">
        <f>IF(E47&lt;E48,E48/E47-1,E47/E48-1)</f>
        <v>5.8599738799613776E-2</v>
      </c>
      <c r="F52" s="434" t="str">
        <f>IF(OR(E52&gt;=0.3,E52&lt;=-0.3),"超过30%","")</f>
        <v/>
      </c>
      <c r="G52" s="433">
        <f>IF(G47&lt;G48,G48/G47-1,G47/G48-1)</f>
        <v>2.8358208955223896E-2</v>
      </c>
      <c r="H52" s="434" t="str">
        <f>IF(OR(G52&gt;=0.3,G52&lt;=-0.3),"超过30%","")</f>
        <v/>
      </c>
      <c r="I52" s="433">
        <f>IF(I47&lt;I48,I48/I47-1,I47/I48-1)</f>
        <v>8.1818791496210963E-3</v>
      </c>
      <c r="J52" s="434" t="str">
        <f>IF(OR(I52&gt;=0.3,I52&lt;=-0.3),"超过30%","")</f>
        <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1" t="s">
        <v>1712</v>
      </c>
      <c r="D53" s="435"/>
      <c r="E53" s="433">
        <f>IF(E48&lt;G48,G48/E48-1,E48/G48-1)</f>
        <v>9.5211442786069744E-2</v>
      </c>
      <c r="F53" s="434" t="str">
        <f>IF(OR(E53&gt;=0.2,E53&lt;=-0.2),"超过20%","")</f>
        <v/>
      </c>
      <c r="G53" s="433">
        <f>IF(G48&lt;I48,I48/G48-1,G48/I48-1)</f>
        <v>7.8398497753336516E-2</v>
      </c>
      <c r="H53" s="434" t="str">
        <f>IF(OR(G53&gt;=0.2,G53&lt;=-0.2),"超过20%","")</f>
        <v/>
      </c>
      <c r="I53" s="433">
        <f>IF(I48&lt;E48,E48/I48-1,I48/E48-1)</f>
        <v>0.18107437462276166</v>
      </c>
      <c r="J53" s="434" t="str">
        <f>IF(OR(I53&gt;=0.2,I53&lt;=-0.2),"超过20%","")</f>
        <v/>
      </c>
      <c r="K53" s="2497"/>
      <c r="L53" s="2493"/>
      <c r="M53" s="2485"/>
      <c r="N53" s="2485"/>
      <c r="O53" s="2485"/>
      <c r="P53" s="2503"/>
      <c r="Q53" s="2485"/>
      <c r="R53" s="2485"/>
      <c r="S53" s="2485"/>
      <c r="T53" s="2485"/>
      <c r="U53" s="2485"/>
      <c r="V53" s="2485"/>
      <c r="W53" s="2485"/>
      <c r="X53" s="2485"/>
      <c r="Y53" s="2485"/>
      <c r="Z53" s="2485"/>
      <c r="AA53" s="2485"/>
      <c r="AB53" s="2485"/>
      <c r="AC53" s="2485"/>
    </row>
    <row r="54" spans="1:29" s="436" customFormat="1" ht="13.5" customHeight="1">
      <c r="A54" s="2495"/>
      <c r="B54" s="2495"/>
      <c r="C54" s="431" t="s">
        <v>1713</v>
      </c>
      <c r="D54" s="435"/>
      <c r="E54" s="433">
        <f>IF(E47&lt;G47,G47/E47-1,E47/G47-1)</f>
        <v>0.12741896468311564</v>
      </c>
      <c r="F54" s="434" t="str">
        <f>IF(OR(E54&gt;=0.3,E54&lt;=-0.3),"超过30%","")</f>
        <v/>
      </c>
      <c r="G54" s="433">
        <f>IF(G47&lt;I47,I47/G47-1,G47/I47-1)</f>
        <v>9.9980043903412419E-2</v>
      </c>
      <c r="H54" s="434" t="str">
        <f>IF(OR(G54&gt;=0.3,G54&lt;=-0.3),"超过30%","")</f>
        <v/>
      </c>
      <c r="I54" s="433">
        <f>IF(I47&lt;E47,E47/I47-1,I47/E47-1)</f>
        <v>0.24013836226967333</v>
      </c>
      <c r="J54" s="434" t="str">
        <f>IF(OR(I54&gt;=0.3,I54&lt;=-0.3),"超过30%","")</f>
        <v/>
      </c>
      <c r="K54" s="2500"/>
      <c r="L54" s="2494"/>
      <c r="M54" s="2495"/>
      <c r="N54" s="2495"/>
      <c r="O54" s="2495"/>
      <c r="P54" s="2504"/>
      <c r="Q54" s="2495"/>
      <c r="R54" s="2495"/>
      <c r="S54" s="2495"/>
      <c r="T54" s="2495"/>
      <c r="U54" s="2495"/>
      <c r="V54" s="2495"/>
      <c r="W54" s="2495"/>
      <c r="X54" s="2495"/>
      <c r="Y54" s="2495"/>
      <c r="Z54" s="2495"/>
      <c r="AA54" s="2495"/>
      <c r="AB54" s="2495"/>
      <c r="AC54" s="2495"/>
    </row>
    <row r="55" spans="1:29" s="436"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7" t="s">
        <v>1714</v>
      </c>
      <c r="B57" s="384"/>
      <c r="C57" s="658"/>
      <c r="D57" s="658"/>
      <c r="E57" s="658"/>
      <c r="F57" s="659"/>
      <c r="G57" s="659"/>
      <c r="H57" s="658"/>
      <c r="I57" s="658"/>
      <c r="J57" s="658"/>
      <c r="K57" s="660"/>
      <c r="L57" s="887"/>
      <c r="M57" s="885"/>
      <c r="N57" s="885"/>
      <c r="O57" s="885"/>
      <c r="P57" s="2505"/>
      <c r="Q57" s="2506"/>
      <c r="R57" s="2485"/>
      <c r="S57" s="2485"/>
      <c r="T57" s="2485"/>
      <c r="U57" s="2485"/>
      <c r="V57" s="2485"/>
      <c r="W57" s="2485"/>
      <c r="X57" s="2485"/>
      <c r="Y57" s="2485"/>
      <c r="Z57" s="2485"/>
      <c r="AA57" s="2485"/>
      <c r="AB57" s="2485"/>
      <c r="AC57" s="2485"/>
    </row>
    <row r="58" spans="1:29" s="441" customFormat="1" ht="14.4">
      <c r="A58" s="439" t="s">
        <v>1679</v>
      </c>
      <c r="B58" s="440"/>
      <c r="C58" s="1102" t="str">
        <f>YEAR(C7)&amp;"-"&amp;MONTH(C7)</f>
        <v>2024-9</v>
      </c>
      <c r="D58" s="1103">
        <f>EDATE(C58,-1)</f>
        <v>45505</v>
      </c>
      <c r="E58" s="1103">
        <f t="shared" ref="E58:N58" si="16">EDATE(D58,-1)</f>
        <v>45474</v>
      </c>
      <c r="F58" s="1103">
        <f t="shared" si="16"/>
        <v>45444</v>
      </c>
      <c r="G58" s="1103">
        <f t="shared" si="16"/>
        <v>45413</v>
      </c>
      <c r="H58" s="1103">
        <f t="shared" si="16"/>
        <v>45383</v>
      </c>
      <c r="I58" s="1103">
        <f t="shared" si="16"/>
        <v>45352</v>
      </c>
      <c r="J58" s="1103">
        <f t="shared" si="16"/>
        <v>45323</v>
      </c>
      <c r="K58" s="1103">
        <f t="shared" si="16"/>
        <v>45292</v>
      </c>
      <c r="L58" s="1103">
        <f t="shared" si="16"/>
        <v>45261</v>
      </c>
      <c r="M58" s="1103">
        <f t="shared" si="16"/>
        <v>45231</v>
      </c>
      <c r="N58" s="1103">
        <f t="shared" si="16"/>
        <v>45200</v>
      </c>
      <c r="O58" s="1103">
        <f>EDATE(N58,-1)</f>
        <v>45170</v>
      </c>
      <c r="P58" s="2507"/>
      <c r="Q58" s="2508"/>
      <c r="R58" s="2508"/>
      <c r="S58" s="2508"/>
      <c r="T58" s="2508"/>
      <c r="U58" s="2508"/>
      <c r="V58" s="2508"/>
      <c r="W58" s="2508"/>
      <c r="X58" s="2508"/>
      <c r="Y58" s="2508"/>
      <c r="Z58" s="2508"/>
      <c r="AA58" s="2508"/>
      <c r="AB58" s="2508"/>
      <c r="AC58" s="2508"/>
    </row>
    <row r="59" spans="1:29" s="101" customFormat="1">
      <c r="A59" s="442"/>
      <c r="B59" s="443"/>
      <c r="C59" s="1101">
        <v>100</v>
      </c>
      <c r="D59" s="445">
        <v>100</v>
      </c>
      <c r="E59" s="445"/>
      <c r="F59" s="445"/>
      <c r="G59" s="445"/>
      <c r="H59" s="445"/>
      <c r="I59" s="445"/>
      <c r="J59" s="445"/>
      <c r="K59" s="445"/>
      <c r="L59" s="445"/>
      <c r="M59" s="446"/>
      <c r="N59" s="445"/>
      <c r="O59" s="446"/>
      <c r="P59" s="2509"/>
      <c r="Q59" s="2438"/>
      <c r="R59" s="2438"/>
      <c r="S59" s="2438"/>
      <c r="T59" s="2438"/>
      <c r="U59" s="2438"/>
      <c r="V59" s="2438"/>
      <c r="W59" s="2438"/>
      <c r="X59" s="2438"/>
      <c r="Y59" s="2438"/>
      <c r="Z59" s="2438"/>
      <c r="AA59" s="2438"/>
      <c r="AB59" s="2438"/>
      <c r="AC59" s="2438"/>
    </row>
    <row r="60" spans="1:29" s="101" customFormat="1" ht="15" thickBot="1">
      <c r="A60" s="448" t="s">
        <v>1716</v>
      </c>
      <c r="B60" s="449"/>
      <c r="C60" s="450"/>
      <c r="D60" s="451"/>
      <c r="E60" s="451"/>
      <c r="F60" s="451"/>
      <c r="G60" s="451"/>
      <c r="H60" s="451"/>
      <c r="I60" s="451"/>
      <c r="J60" s="451"/>
      <c r="K60" s="451"/>
      <c r="L60" s="451"/>
      <c r="M60" s="452"/>
      <c r="N60" s="451"/>
      <c r="O60" s="452"/>
      <c r="P60" s="2509"/>
      <c r="Q60" s="2506"/>
      <c r="R60" s="2438"/>
      <c r="S60" s="2438"/>
      <c r="T60" s="2438"/>
      <c r="U60" s="2438"/>
      <c r="V60" s="2438"/>
      <c r="W60" s="2438"/>
      <c r="X60" s="2438"/>
      <c r="Y60" s="2438"/>
      <c r="Z60" s="2438"/>
      <c r="AA60" s="2438"/>
      <c r="AB60" s="2438"/>
      <c r="AC60" s="2438"/>
    </row>
    <row r="61" spans="1:29" s="101" customFormat="1" ht="14.4">
      <c r="A61" s="454" t="s">
        <v>1681</v>
      </c>
      <c r="B61" s="443"/>
      <c r="C61" s="455" t="s">
        <v>1718</v>
      </c>
      <c r="D61" s="3155" t="s">
        <v>3415</v>
      </c>
      <c r="E61" s="31"/>
      <c r="F61" s="31"/>
      <c r="G61" s="31"/>
      <c r="H61" s="31"/>
      <c r="I61" s="31"/>
      <c r="J61" s="31"/>
      <c r="K61" s="31"/>
      <c r="L61" s="456"/>
      <c r="M61" s="457"/>
      <c r="N61" s="2518"/>
      <c r="O61" s="2518"/>
      <c r="P61" s="2510"/>
      <c r="Q61" s="2506"/>
      <c r="R61" s="2438"/>
      <c r="S61" s="2438"/>
      <c r="T61" s="2438"/>
      <c r="U61" s="2438"/>
      <c r="V61" s="2438"/>
      <c r="W61" s="2438"/>
      <c r="X61" s="2438"/>
      <c r="Y61" s="2438"/>
      <c r="Z61" s="2438"/>
      <c r="AA61" s="2438"/>
      <c r="AB61" s="2438"/>
      <c r="AC61" s="2438"/>
    </row>
    <row r="62" spans="1:29" s="101" customFormat="1" ht="14.4" thickBot="1">
      <c r="A62" s="454"/>
      <c r="B62" s="443"/>
      <c r="C62" s="444">
        <v>100</v>
      </c>
      <c r="D62" s="445">
        <v>102</v>
      </c>
      <c r="E62" s="445"/>
      <c r="F62" s="445"/>
      <c r="G62" s="445"/>
      <c r="H62" s="445"/>
      <c r="I62" s="445"/>
      <c r="J62" s="445"/>
      <c r="K62" s="445"/>
      <c r="L62" s="445"/>
      <c r="M62" s="447"/>
      <c r="N62" s="2518"/>
      <c r="O62" s="2518"/>
      <c r="P62" s="2509"/>
      <c r="Q62" s="2506"/>
      <c r="R62" s="2438"/>
      <c r="S62" s="2438"/>
      <c r="T62" s="2438"/>
      <c r="U62" s="2438"/>
      <c r="V62" s="2438"/>
      <c r="W62" s="2438"/>
      <c r="X62" s="2438"/>
      <c r="Y62" s="2438"/>
      <c r="Z62" s="2438"/>
      <c r="AA62" s="2438"/>
      <c r="AB62" s="2438"/>
      <c r="AC62" s="2438"/>
    </row>
    <row r="63" spans="1:29" ht="14.4">
      <c r="A63" s="378" t="s">
        <v>1719</v>
      </c>
      <c r="B63" s="459" t="s">
        <v>1685</v>
      </c>
      <c r="C63" s="460" t="str">
        <f>C9</f>
        <v>商业</v>
      </c>
      <c r="D63" s="461"/>
      <c r="E63" s="461"/>
      <c r="F63" s="461"/>
      <c r="G63" s="461"/>
      <c r="H63" s="461"/>
      <c r="I63" s="461"/>
      <c r="J63" s="461"/>
      <c r="K63" s="462"/>
      <c r="L63" s="463"/>
      <c r="M63" s="464"/>
      <c r="N63" s="2519"/>
      <c r="O63" s="2519"/>
      <c r="P63" s="2511"/>
      <c r="Q63" s="2506"/>
      <c r="R63" s="2485"/>
      <c r="S63" s="2485"/>
      <c r="T63" s="2485"/>
      <c r="U63" s="2485"/>
      <c r="V63" s="2485"/>
      <c r="W63" s="2485"/>
      <c r="X63" s="2485"/>
      <c r="Y63" s="2485"/>
      <c r="Z63" s="2485"/>
      <c r="AA63" s="2485"/>
      <c r="AB63" s="2485"/>
      <c r="AC63" s="2485"/>
    </row>
    <row r="64" spans="1:29" ht="14.4" thickBot="1">
      <c r="A64" s="366"/>
      <c r="B64" s="465"/>
      <c r="C64" s="466">
        <v>100</v>
      </c>
      <c r="D64" s="466"/>
      <c r="E64" s="466"/>
      <c r="F64" s="466"/>
      <c r="G64" s="466"/>
      <c r="H64" s="466"/>
      <c r="I64" s="466"/>
      <c r="J64" s="466"/>
      <c r="K64" s="466"/>
      <c r="L64" s="466"/>
      <c r="M64" s="467"/>
      <c r="N64" s="2520"/>
      <c r="O64" s="2520"/>
      <c r="P64" s="2511"/>
      <c r="Q64" s="2506"/>
      <c r="R64" s="2485"/>
      <c r="S64" s="2485"/>
      <c r="T64" s="2485"/>
      <c r="U64" s="2485"/>
      <c r="V64" s="2485"/>
      <c r="W64" s="2485"/>
      <c r="X64" s="2485"/>
      <c r="Y64" s="2485"/>
      <c r="Z64" s="2485"/>
      <c r="AA64" s="2485"/>
      <c r="AB64" s="2485"/>
      <c r="AC64" s="2485"/>
    </row>
    <row r="65" spans="1:29" ht="29.4" thickTop="1">
      <c r="A65" s="366"/>
      <c r="B65" s="468" t="s">
        <v>1688</v>
      </c>
      <c r="C65" s="512"/>
      <c r="D65" s="512"/>
      <c r="E65" s="512"/>
      <c r="F65" s="512"/>
      <c r="G65" s="512"/>
      <c r="H65" s="512"/>
      <c r="I65" s="512"/>
      <c r="J65" s="512"/>
      <c r="K65" s="513"/>
      <c r="L65" s="514"/>
      <c r="M65" s="515"/>
      <c r="N65" s="2519"/>
      <c r="O65" s="2519"/>
      <c r="P65" s="2511"/>
      <c r="Q65" s="2506"/>
      <c r="R65" s="2485"/>
      <c r="S65" s="2485"/>
      <c r="T65" s="2485"/>
      <c r="U65" s="2485"/>
      <c r="V65" s="2485"/>
      <c r="W65" s="2485"/>
      <c r="X65" s="2485"/>
      <c r="Y65" s="2485"/>
      <c r="Z65" s="2485"/>
      <c r="AA65" s="2485"/>
      <c r="AB65" s="2485"/>
      <c r="AC65" s="2485"/>
    </row>
    <row r="66" spans="1:29" ht="14.4" thickBot="1">
      <c r="A66" s="366"/>
      <c r="B66" s="473"/>
      <c r="C66" s="466"/>
      <c r="D66" s="466"/>
      <c r="E66" s="466"/>
      <c r="F66" s="466"/>
      <c r="G66" s="466"/>
      <c r="H66" s="466"/>
      <c r="I66" s="466"/>
      <c r="J66" s="466"/>
      <c r="K66" s="466"/>
      <c r="L66" s="466"/>
      <c r="M66" s="467"/>
      <c r="N66" s="2520"/>
      <c r="O66" s="2520"/>
      <c r="P66" s="2511"/>
      <c r="Q66" s="2506"/>
      <c r="R66" s="2485"/>
      <c r="S66" s="2485"/>
      <c r="T66" s="2485"/>
      <c r="U66" s="2485"/>
      <c r="V66" s="2485"/>
      <c r="W66" s="2485"/>
      <c r="X66" s="2485"/>
      <c r="Y66" s="2485"/>
      <c r="Z66" s="2485"/>
      <c r="AA66" s="2485"/>
      <c r="AB66" s="2485"/>
      <c r="AC66" s="2485"/>
    </row>
    <row r="67" spans="1:29" ht="15" thickTop="1">
      <c r="A67" s="366"/>
      <c r="B67" s="476" t="s">
        <v>1689</v>
      </c>
      <c r="C67" s="477" t="str">
        <f>C68&amp;"（含）"&amp;"-"&amp;D68</f>
        <v>0（含）-2</v>
      </c>
      <c r="D67" s="477" t="str">
        <f t="shared" ref="D67:L67" si="17">D68&amp;"（含）"&amp;"-"&amp;E68</f>
        <v>2（含）-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0"/>
      <c r="O67" s="2520"/>
      <c r="P67" s="2511"/>
      <c r="Q67" s="2506"/>
      <c r="R67" s="2485"/>
      <c r="S67" s="2485"/>
      <c r="T67" s="2485"/>
      <c r="U67" s="2485"/>
      <c r="V67" s="2485"/>
      <c r="W67" s="2485"/>
      <c r="X67" s="2485"/>
      <c r="Y67" s="2485"/>
      <c r="Z67" s="2485"/>
      <c r="AA67" s="2485"/>
      <c r="AB67" s="2485"/>
      <c r="AC67" s="2485"/>
    </row>
    <row r="68" spans="1:29">
      <c r="A68" s="366"/>
      <c r="B68" s="478"/>
      <c r="C68" s="479">
        <v>0</v>
      </c>
      <c r="D68" s="479">
        <v>2</v>
      </c>
      <c r="E68" s="479"/>
      <c r="F68" s="479"/>
      <c r="G68" s="479"/>
      <c r="H68" s="479"/>
      <c r="I68" s="479"/>
      <c r="J68" s="479"/>
      <c r="K68" s="480"/>
      <c r="L68" s="481"/>
      <c r="M68" s="482"/>
      <c r="N68" s="2519"/>
      <c r="O68" s="2519"/>
      <c r="P68" s="2511"/>
      <c r="Q68" s="2506"/>
      <c r="R68" s="2485"/>
      <c r="S68" s="2485"/>
      <c r="T68" s="2485"/>
      <c r="U68" s="2485"/>
      <c r="V68" s="2485"/>
      <c r="W68" s="2485"/>
      <c r="X68" s="2485"/>
      <c r="Y68" s="2485"/>
      <c r="Z68" s="2485"/>
      <c r="AA68" s="2485"/>
      <c r="AB68" s="2485"/>
      <c r="AC68" s="2485"/>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0"/>
      <c r="O69" s="2520"/>
      <c r="P69" s="2511"/>
      <c r="Q69" s="2506"/>
      <c r="R69" s="2485"/>
      <c r="S69" s="2485"/>
      <c r="T69" s="2485"/>
      <c r="U69" s="2485"/>
      <c r="V69" s="2485"/>
      <c r="W69" s="2485"/>
      <c r="X69" s="2485"/>
      <c r="Y69" s="2485"/>
      <c r="Z69" s="2485"/>
      <c r="AA69" s="2485"/>
      <c r="AB69" s="2485"/>
      <c r="AC69" s="2485"/>
    </row>
    <row r="70" spans="1:29" s="407" customFormat="1" ht="14.4" thickTop="1">
      <c r="A70" s="483"/>
      <c r="B70" s="468">
        <f>B12</f>
        <v>111</v>
      </c>
      <c r="C70" s="484"/>
      <c r="D70" s="484"/>
      <c r="E70" s="484"/>
      <c r="F70" s="484"/>
      <c r="G70" s="484"/>
      <c r="H70" s="485"/>
      <c r="I70" s="485"/>
      <c r="J70" s="485"/>
      <c r="K70" s="485"/>
      <c r="L70" s="486"/>
      <c r="M70" s="487"/>
      <c r="N70" s="2521"/>
      <c r="O70" s="2521"/>
      <c r="P70" s="2512"/>
      <c r="Q70" s="2513"/>
      <c r="R70" s="2491"/>
      <c r="S70" s="2491"/>
      <c r="T70" s="2491"/>
      <c r="U70" s="2491"/>
      <c r="V70" s="2491"/>
      <c r="W70" s="2491"/>
      <c r="X70" s="2491"/>
      <c r="Y70" s="2491"/>
      <c r="Z70" s="2491"/>
      <c r="AA70" s="2491"/>
      <c r="AB70" s="2491"/>
      <c r="AC70" s="2491"/>
    </row>
    <row r="71" spans="1:29" s="407" customFormat="1" ht="14.4" thickBot="1">
      <c r="A71" s="483"/>
      <c r="B71" s="473"/>
      <c r="C71" s="490"/>
      <c r="D71" s="466"/>
      <c r="E71" s="466"/>
      <c r="F71" s="466"/>
      <c r="G71" s="466"/>
      <c r="H71" s="466"/>
      <c r="I71" s="466"/>
      <c r="J71" s="466"/>
      <c r="K71" s="466"/>
      <c r="L71" s="466"/>
      <c r="M71" s="467"/>
      <c r="N71" s="2520"/>
      <c r="O71" s="2520"/>
      <c r="P71" s="2512"/>
      <c r="Q71" s="2513"/>
      <c r="R71" s="2491"/>
      <c r="S71" s="2491"/>
      <c r="T71" s="2491"/>
      <c r="U71" s="2491"/>
      <c r="V71" s="2491"/>
      <c r="W71" s="2491"/>
      <c r="X71" s="2491"/>
      <c r="Y71" s="2491"/>
      <c r="Z71" s="2491"/>
      <c r="AA71" s="2491"/>
      <c r="AB71" s="2491"/>
      <c r="AC71" s="2491"/>
    </row>
    <row r="72" spans="1:29" s="407" customFormat="1" ht="14.4" thickTop="1">
      <c r="A72" s="483"/>
      <c r="B72" s="468">
        <f>B13</f>
        <v>111</v>
      </c>
      <c r="C72" s="484"/>
      <c r="D72" s="484"/>
      <c r="E72" s="484"/>
      <c r="F72" s="484"/>
      <c r="G72" s="484"/>
      <c r="H72" s="485"/>
      <c r="I72" s="485"/>
      <c r="J72" s="485"/>
      <c r="K72" s="485"/>
      <c r="L72" s="486"/>
      <c r="M72" s="487"/>
      <c r="N72" s="2521"/>
      <c r="O72" s="2521"/>
      <c r="P72" s="2514"/>
      <c r="Q72" s="2515"/>
      <c r="R72" s="2491"/>
      <c r="S72" s="2491"/>
      <c r="T72" s="2491"/>
      <c r="U72" s="2491"/>
      <c r="V72" s="2491"/>
      <c r="W72" s="2491"/>
      <c r="X72" s="2491"/>
      <c r="Y72" s="2491"/>
      <c r="Z72" s="2491"/>
      <c r="AA72" s="2491"/>
      <c r="AB72" s="2491"/>
      <c r="AC72" s="2491"/>
    </row>
    <row r="73" spans="1:29" s="407" customFormat="1" ht="14.4" thickBot="1">
      <c r="A73" s="483"/>
      <c r="B73" s="473"/>
      <c r="C73" s="490"/>
      <c r="D73" s="466"/>
      <c r="E73" s="466"/>
      <c r="F73" s="466"/>
      <c r="G73" s="490"/>
      <c r="H73" s="492"/>
      <c r="I73" s="492"/>
      <c r="J73" s="492"/>
      <c r="K73" s="492"/>
      <c r="L73" s="492"/>
      <c r="M73" s="493"/>
      <c r="N73" s="2521"/>
      <c r="O73" s="2521"/>
      <c r="P73" s="2512"/>
      <c r="Q73" s="2513"/>
      <c r="R73" s="2491"/>
      <c r="S73" s="2491"/>
      <c r="T73" s="2491"/>
      <c r="U73" s="2491"/>
      <c r="V73" s="2491"/>
      <c r="W73" s="2491"/>
      <c r="X73" s="2491"/>
      <c r="Y73" s="2491"/>
      <c r="Z73" s="2491"/>
      <c r="AA73" s="2491"/>
      <c r="AB73" s="2491"/>
      <c r="AC73" s="2491"/>
    </row>
    <row r="74" spans="1:29" s="407" customFormat="1" ht="14.4" thickTop="1">
      <c r="A74" s="483"/>
      <c r="B74" s="476">
        <f>B14</f>
        <v>111</v>
      </c>
      <c r="C74" s="484"/>
      <c r="D74" s="484"/>
      <c r="E74" s="484"/>
      <c r="F74" s="484"/>
      <c r="G74" s="31"/>
      <c r="H74" s="494"/>
      <c r="I74" s="494"/>
      <c r="J74" s="494"/>
      <c r="K74" s="494"/>
      <c r="L74" s="495"/>
      <c r="M74" s="496"/>
      <c r="N74" s="2521"/>
      <c r="O74" s="2521"/>
      <c r="P74" s="2516"/>
      <c r="Q74" s="2513"/>
      <c r="R74" s="2491"/>
      <c r="S74" s="2491"/>
      <c r="T74" s="2491"/>
      <c r="U74" s="2491"/>
      <c r="V74" s="2491"/>
      <c r="W74" s="2491"/>
      <c r="X74" s="2491"/>
      <c r="Y74" s="2491"/>
      <c r="Z74" s="2491"/>
      <c r="AA74" s="2491"/>
      <c r="AB74" s="2491"/>
      <c r="AC74" s="2491"/>
    </row>
    <row r="75" spans="1:29" s="407" customFormat="1" ht="14.4" thickBot="1">
      <c r="A75" s="498"/>
      <c r="B75" s="499"/>
      <c r="C75" s="500"/>
      <c r="D75" s="500"/>
      <c r="E75" s="500"/>
      <c r="F75" s="500"/>
      <c r="G75" s="500"/>
      <c r="H75" s="501"/>
      <c r="I75" s="501"/>
      <c r="J75" s="501"/>
      <c r="K75" s="501"/>
      <c r="L75" s="501"/>
      <c r="M75" s="502"/>
      <c r="N75" s="2521"/>
      <c r="O75" s="2521"/>
      <c r="P75" s="2512"/>
      <c r="Q75" s="2513"/>
      <c r="R75" s="2491"/>
      <c r="S75" s="2491"/>
      <c r="T75" s="2491"/>
      <c r="U75" s="2491"/>
      <c r="V75" s="2491"/>
      <c r="W75" s="2491"/>
      <c r="X75" s="2491"/>
      <c r="Y75" s="2491"/>
      <c r="Z75" s="2491"/>
      <c r="AA75" s="2491"/>
      <c r="AB75" s="2491"/>
      <c r="AC75" s="2491"/>
    </row>
    <row r="76" spans="1:29" ht="14.4">
      <c r="A76" s="378" t="s">
        <v>1690</v>
      </c>
      <c r="B76" s="459" t="s">
        <v>1720</v>
      </c>
      <c r="C76" s="503" t="s">
        <v>1721</v>
      </c>
      <c r="D76" s="503" t="s">
        <v>1722</v>
      </c>
      <c r="E76" s="503" t="s">
        <v>1723</v>
      </c>
      <c r="F76" s="503" t="s">
        <v>1724</v>
      </c>
      <c r="G76" s="503" t="s">
        <v>1725</v>
      </c>
      <c r="H76" s="460"/>
      <c r="I76" s="460"/>
      <c r="J76" s="460"/>
      <c r="K76" s="504"/>
      <c r="L76" s="505"/>
      <c r="M76" s="506"/>
      <c r="N76" s="2519"/>
      <c r="O76" s="2519"/>
      <c r="P76" s="2517"/>
      <c r="Q76" s="2506"/>
      <c r="R76" s="2485"/>
      <c r="S76" s="2485"/>
      <c r="T76" s="2485"/>
      <c r="U76" s="2485"/>
      <c r="V76" s="2485"/>
      <c r="W76" s="2485"/>
      <c r="X76" s="2485"/>
      <c r="Y76" s="2485"/>
      <c r="Z76" s="2485"/>
      <c r="AA76" s="2485"/>
      <c r="AB76" s="2485"/>
      <c r="AC76" s="2485"/>
    </row>
    <row r="77" spans="1:29" ht="14.4" thickBot="1">
      <c r="A77" s="366"/>
      <c r="B77" s="473"/>
      <c r="C77" s="474">
        <v>100</v>
      </c>
      <c r="D77" s="474">
        <f>C77-$K15</f>
        <v>98</v>
      </c>
      <c r="E77" s="474">
        <f>D77-$K15</f>
        <v>96</v>
      </c>
      <c r="F77" s="474">
        <f>E77-$K15</f>
        <v>94</v>
      </c>
      <c r="G77" s="474">
        <f>F77-$K15</f>
        <v>92</v>
      </c>
      <c r="H77" s="474"/>
      <c r="I77" s="474"/>
      <c r="J77" s="474"/>
      <c r="K77" s="474"/>
      <c r="L77" s="474"/>
      <c r="M77" s="475"/>
      <c r="N77" s="2520"/>
      <c r="O77" s="2520"/>
      <c r="P77" s="2511"/>
      <c r="Q77" s="2506"/>
      <c r="R77" s="2485"/>
      <c r="S77" s="2485"/>
      <c r="T77" s="2485"/>
      <c r="U77" s="2485"/>
      <c r="V77" s="2485"/>
      <c r="W77" s="2485"/>
      <c r="X77" s="2485"/>
      <c r="Y77" s="2485"/>
      <c r="Z77" s="2485"/>
      <c r="AA77" s="2485"/>
      <c r="AB77" s="2485"/>
      <c r="AC77" s="2485"/>
    </row>
    <row r="78" spans="1:29" ht="15" thickTop="1">
      <c r="A78" s="366"/>
      <c r="B78" s="468" t="s">
        <v>1726</v>
      </c>
      <c r="C78" s="508" t="s">
        <v>1721</v>
      </c>
      <c r="D78" s="508" t="s">
        <v>1722</v>
      </c>
      <c r="E78" s="508" t="s">
        <v>1723</v>
      </c>
      <c r="F78" s="508" t="s">
        <v>1724</v>
      </c>
      <c r="G78" s="508" t="s">
        <v>1725</v>
      </c>
      <c r="H78" s="469"/>
      <c r="I78" s="469"/>
      <c r="J78" s="469"/>
      <c r="K78" s="470"/>
      <c r="L78" s="471"/>
      <c r="M78" s="472"/>
      <c r="N78" s="2519"/>
      <c r="O78" s="2519"/>
      <c r="P78" s="2511"/>
      <c r="Q78" s="2506"/>
      <c r="R78" s="2485"/>
      <c r="S78" s="2485"/>
      <c r="T78" s="2485"/>
      <c r="U78" s="2485"/>
      <c r="V78" s="2485"/>
      <c r="W78" s="2485"/>
      <c r="X78" s="2485"/>
      <c r="Y78" s="2485"/>
      <c r="Z78" s="2485"/>
      <c r="AA78" s="2485"/>
      <c r="AB78" s="2485"/>
      <c r="AC78" s="2485"/>
    </row>
    <row r="79" spans="1:29" ht="14.4" thickBot="1">
      <c r="A79" s="366"/>
      <c r="B79" s="473"/>
      <c r="C79" s="474">
        <v>100</v>
      </c>
      <c r="D79" s="474">
        <f>C79-$K17</f>
        <v>99</v>
      </c>
      <c r="E79" s="474">
        <f>D79-$K17</f>
        <v>98</v>
      </c>
      <c r="F79" s="474">
        <f>E79-$K17</f>
        <v>97</v>
      </c>
      <c r="G79" s="474">
        <f>F79-$K17</f>
        <v>96</v>
      </c>
      <c r="H79" s="474"/>
      <c r="I79" s="474"/>
      <c r="J79" s="474"/>
      <c r="K79" s="474"/>
      <c r="L79" s="474"/>
      <c r="M79" s="475"/>
      <c r="N79" s="2520"/>
      <c r="O79" s="2520"/>
      <c r="P79" s="2511"/>
      <c r="Q79" s="2506"/>
      <c r="R79" s="2485"/>
      <c r="S79" s="2485"/>
      <c r="T79" s="2485"/>
      <c r="U79" s="2485"/>
      <c r="V79" s="2485"/>
      <c r="W79" s="2485"/>
      <c r="X79" s="2485"/>
      <c r="Y79" s="2485"/>
      <c r="Z79" s="2485"/>
      <c r="AA79" s="2485"/>
      <c r="AB79" s="2485"/>
      <c r="AC79" s="2485"/>
    </row>
    <row r="80" spans="1:29" ht="15" thickTop="1">
      <c r="A80" s="366"/>
      <c r="B80" s="468" t="s">
        <v>1727</v>
      </c>
      <c r="C80" s="508" t="s">
        <v>1721</v>
      </c>
      <c r="D80" s="508" t="s">
        <v>1722</v>
      </c>
      <c r="E80" s="508" t="s">
        <v>1723</v>
      </c>
      <c r="F80" s="508" t="s">
        <v>1724</v>
      </c>
      <c r="G80" s="508" t="s">
        <v>1725</v>
      </c>
      <c r="H80" s="469"/>
      <c r="I80" s="469"/>
      <c r="J80" s="469"/>
      <c r="K80" s="470"/>
      <c r="L80" s="471"/>
      <c r="M80" s="472"/>
      <c r="N80" s="2519"/>
      <c r="O80" s="2519"/>
      <c r="P80" s="2511"/>
      <c r="Q80" s="2506"/>
      <c r="R80" s="2485"/>
      <c r="S80" s="2485"/>
      <c r="T80" s="2485"/>
      <c r="U80" s="2485"/>
      <c r="V80" s="2485"/>
      <c r="W80" s="2485"/>
      <c r="X80" s="2485"/>
      <c r="Y80" s="2485"/>
      <c r="Z80" s="2485"/>
      <c r="AA80" s="2485"/>
      <c r="AB80" s="2485"/>
      <c r="AC80" s="2485"/>
    </row>
    <row r="81" spans="1:29" ht="14.4" thickBot="1">
      <c r="A81" s="366"/>
      <c r="B81" s="473"/>
      <c r="C81" s="474">
        <v>100</v>
      </c>
      <c r="D81" s="474">
        <f>C81-$K19</f>
        <v>99</v>
      </c>
      <c r="E81" s="474">
        <f>D81-$K19</f>
        <v>98</v>
      </c>
      <c r="F81" s="474">
        <f>E81-$K19</f>
        <v>97</v>
      </c>
      <c r="G81" s="474">
        <f>F81-$K19</f>
        <v>96</v>
      </c>
      <c r="H81" s="474"/>
      <c r="I81" s="474"/>
      <c r="J81" s="474"/>
      <c r="K81" s="474"/>
      <c r="L81" s="474"/>
      <c r="M81" s="475"/>
      <c r="N81" s="2520"/>
      <c r="O81" s="2520"/>
      <c r="P81" s="2511"/>
      <c r="Q81" s="2506"/>
      <c r="R81" s="2485"/>
      <c r="S81" s="2485"/>
      <c r="T81" s="2485"/>
      <c r="U81" s="2485"/>
      <c r="V81" s="2485"/>
      <c r="W81" s="2485"/>
      <c r="X81" s="2485"/>
      <c r="Y81" s="2485"/>
      <c r="Z81" s="2485"/>
      <c r="AA81" s="2485"/>
      <c r="AB81" s="2485"/>
      <c r="AC81" s="2485"/>
    </row>
    <row r="82" spans="1:29" ht="15" thickTop="1">
      <c r="A82" s="366"/>
      <c r="B82" s="476" t="s">
        <v>1779</v>
      </c>
      <c r="C82" s="580" t="s">
        <v>1799</v>
      </c>
      <c r="D82" s="580" t="s">
        <v>1800</v>
      </c>
      <c r="E82" s="580" t="s">
        <v>1801</v>
      </c>
      <c r="F82" s="580" t="s">
        <v>1802</v>
      </c>
      <c r="G82" s="580" t="s">
        <v>1803</v>
      </c>
      <c r="H82" s="469"/>
      <c r="I82" s="469"/>
      <c r="J82" s="469"/>
      <c r="K82" s="469"/>
      <c r="L82" s="469"/>
      <c r="M82" s="1062"/>
      <c r="N82" s="2520"/>
      <c r="O82" s="2520"/>
      <c r="P82" s="2511"/>
      <c r="Q82" s="2506"/>
      <c r="R82" s="2485"/>
      <c r="S82" s="2485"/>
      <c r="T82" s="2485"/>
      <c r="U82" s="2485"/>
      <c r="V82" s="2485"/>
      <c r="W82" s="2485"/>
      <c r="X82" s="2485"/>
      <c r="Y82" s="2485"/>
      <c r="Z82" s="2485"/>
      <c r="AA82" s="2485"/>
      <c r="AB82" s="2485"/>
      <c r="AC82" s="2485"/>
    </row>
    <row r="83" spans="1:29" ht="14.4" thickBot="1">
      <c r="A83" s="366"/>
      <c r="B83" s="476"/>
      <c r="C83" s="474">
        <v>100</v>
      </c>
      <c r="D83" s="474">
        <f>C83-$K21</f>
        <v>99</v>
      </c>
      <c r="E83" s="474">
        <f t="shared" ref="E83:G83" si="19">D83-$K21</f>
        <v>98</v>
      </c>
      <c r="F83" s="474">
        <f t="shared" si="19"/>
        <v>97</v>
      </c>
      <c r="G83" s="474">
        <f t="shared" si="19"/>
        <v>96</v>
      </c>
      <c r="H83" s="580"/>
      <c r="I83" s="580"/>
      <c r="J83" s="580"/>
      <c r="K83" s="580"/>
      <c r="L83" s="580"/>
      <c r="M83" s="388"/>
      <c r="N83" s="2520"/>
      <c r="O83" s="2520"/>
      <c r="P83" s="2511"/>
      <c r="Q83" s="2506"/>
      <c r="R83" s="2485"/>
      <c r="S83" s="2485"/>
      <c r="T83" s="2485"/>
      <c r="U83" s="2485"/>
      <c r="V83" s="2485"/>
      <c r="W83" s="2485"/>
      <c r="X83" s="2485"/>
      <c r="Y83" s="2485"/>
      <c r="Z83" s="2485"/>
      <c r="AA83" s="2485"/>
      <c r="AB83" s="2485"/>
      <c r="AC83" s="2485"/>
    </row>
    <row r="84" spans="1:29" ht="15" thickTop="1">
      <c r="A84" s="366"/>
      <c r="B84" s="468" t="s">
        <v>1733</v>
      </c>
      <c r="C84" s="508" t="s">
        <v>1721</v>
      </c>
      <c r="D84" s="508" t="s">
        <v>1722</v>
      </c>
      <c r="E84" s="508" t="s">
        <v>1723</v>
      </c>
      <c r="F84" s="508" t="s">
        <v>1724</v>
      </c>
      <c r="G84" s="508" t="s">
        <v>1725</v>
      </c>
      <c r="H84" s="469"/>
      <c r="I84" s="469"/>
      <c r="J84" s="469"/>
      <c r="K84" s="470"/>
      <c r="L84" s="471"/>
      <c r="M84" s="472"/>
      <c r="N84" s="2519"/>
      <c r="O84" s="2519"/>
      <c r="P84" s="2511"/>
      <c r="Q84" s="2506"/>
      <c r="R84" s="2485"/>
      <c r="S84" s="2485"/>
      <c r="T84" s="2485"/>
      <c r="U84" s="2485"/>
      <c r="V84" s="2485"/>
      <c r="W84" s="2485"/>
      <c r="X84" s="2485"/>
      <c r="Y84" s="2485"/>
      <c r="Z84" s="2485"/>
      <c r="AA84" s="2485"/>
      <c r="AB84" s="2485"/>
      <c r="AC84" s="2485"/>
    </row>
    <row r="85" spans="1:29" ht="14.4" thickBot="1">
      <c r="A85" s="366"/>
      <c r="B85" s="473"/>
      <c r="C85" s="474">
        <v>100</v>
      </c>
      <c r="D85" s="474">
        <f>C85-$K23</f>
        <v>98</v>
      </c>
      <c r="E85" s="474">
        <f>D85-$K23</f>
        <v>96</v>
      </c>
      <c r="F85" s="474">
        <f>E85-$K23</f>
        <v>94</v>
      </c>
      <c r="G85" s="474">
        <f>F85-$K23</f>
        <v>92</v>
      </c>
      <c r="H85" s="474"/>
      <c r="I85" s="474"/>
      <c r="J85" s="474"/>
      <c r="K85" s="474"/>
      <c r="L85" s="474"/>
      <c r="M85" s="475"/>
      <c r="N85" s="2520"/>
      <c r="O85" s="2520"/>
      <c r="P85" s="2511"/>
      <c r="Q85" s="2506"/>
      <c r="R85" s="2485"/>
      <c r="S85" s="2485"/>
      <c r="T85" s="2485"/>
      <c r="U85" s="2485"/>
      <c r="V85" s="2485"/>
      <c r="W85" s="2485"/>
      <c r="X85" s="2485"/>
      <c r="Y85" s="2485"/>
      <c r="Z85" s="2485"/>
      <c r="AA85" s="2485"/>
      <c r="AB85" s="2485"/>
      <c r="AC85" s="2485"/>
    </row>
    <row r="86" spans="1:29" s="101" customFormat="1" ht="15" thickTop="1">
      <c r="A86" s="369"/>
      <c r="B86" s="468" t="s">
        <v>1804</v>
      </c>
      <c r="C86" s="484"/>
      <c r="D86" s="484"/>
      <c r="E86" s="484"/>
      <c r="F86" s="484"/>
      <c r="G86" s="484"/>
      <c r="H86" s="484"/>
      <c r="I86" s="484"/>
      <c r="J86" s="484"/>
      <c r="K86" s="484"/>
      <c r="L86" s="509"/>
      <c r="M86" s="510"/>
      <c r="N86" s="2518"/>
      <c r="O86" s="2518"/>
      <c r="P86" s="2511"/>
      <c r="Q86" s="2506"/>
      <c r="R86" s="2438"/>
      <c r="S86" s="2438"/>
      <c r="T86" s="2438"/>
      <c r="U86" s="2438"/>
      <c r="V86" s="2438"/>
      <c r="W86" s="2438"/>
      <c r="X86" s="2438"/>
      <c r="Y86" s="2438"/>
      <c r="Z86" s="2438"/>
      <c r="AA86" s="2438"/>
      <c r="AB86" s="2438"/>
      <c r="AC86" s="2438"/>
    </row>
    <row r="87" spans="1:29" s="101" customFormat="1" ht="14.4" thickBot="1">
      <c r="A87" s="369"/>
      <c r="B87" s="473"/>
      <c r="C87" s="511">
        <v>100</v>
      </c>
      <c r="D87" s="474">
        <f t="shared" ref="D87:M87" si="20">C87-$K25</f>
        <v>98</v>
      </c>
      <c r="E87" s="474">
        <f t="shared" si="20"/>
        <v>96</v>
      </c>
      <c r="F87" s="474">
        <f t="shared" si="20"/>
        <v>94</v>
      </c>
      <c r="G87" s="474">
        <f t="shared" si="20"/>
        <v>92</v>
      </c>
      <c r="H87" s="474">
        <f t="shared" si="20"/>
        <v>90</v>
      </c>
      <c r="I87" s="474">
        <f t="shared" si="20"/>
        <v>88</v>
      </c>
      <c r="J87" s="474">
        <f t="shared" si="20"/>
        <v>86</v>
      </c>
      <c r="K87" s="474">
        <f t="shared" si="20"/>
        <v>84</v>
      </c>
      <c r="L87" s="474">
        <f t="shared" si="20"/>
        <v>82</v>
      </c>
      <c r="M87" s="474">
        <f t="shared" si="20"/>
        <v>80</v>
      </c>
      <c r="N87" s="2520"/>
      <c r="O87" s="2520"/>
      <c r="P87" s="2511"/>
      <c r="Q87" s="2506"/>
      <c r="R87" s="2438"/>
      <c r="S87" s="2438"/>
      <c r="T87" s="2438"/>
      <c r="U87" s="2438"/>
      <c r="V87" s="2438"/>
      <c r="W87" s="2438"/>
      <c r="X87" s="2438"/>
      <c r="Y87" s="2438"/>
      <c r="Z87" s="2438"/>
      <c r="AA87" s="2438"/>
      <c r="AB87" s="2438"/>
      <c r="AC87" s="2438"/>
    </row>
    <row r="88" spans="1:29" s="101" customFormat="1" ht="15" thickTop="1">
      <c r="A88" s="369"/>
      <c r="B88" s="468" t="str">
        <f>B26</f>
        <v>平面位置/可视性</v>
      </c>
      <c r="C88" s="3157" t="s">
        <v>3503</v>
      </c>
      <c r="D88" s="3157" t="s">
        <v>3502</v>
      </c>
      <c r="E88" s="484"/>
      <c r="F88" s="1779"/>
      <c r="G88" s="484"/>
      <c r="H88" s="484"/>
      <c r="I88" s="484"/>
      <c r="J88" s="484"/>
      <c r="K88" s="484"/>
      <c r="L88" s="484"/>
      <c r="M88" s="510"/>
      <c r="N88" s="2518"/>
      <c r="O88" s="2518"/>
      <c r="P88" s="2511"/>
      <c r="Q88" s="2506"/>
      <c r="R88" s="2438"/>
      <c r="S88" s="2438"/>
      <c r="T88" s="2438"/>
      <c r="U88" s="2438"/>
      <c r="V88" s="2438"/>
      <c r="W88" s="2438"/>
      <c r="X88" s="2438"/>
      <c r="Y88" s="2438"/>
      <c r="Z88" s="2438"/>
      <c r="AA88" s="2438"/>
      <c r="AB88" s="2438"/>
      <c r="AC88" s="2438"/>
    </row>
    <row r="89" spans="1:29" s="101" customFormat="1" ht="14.4" thickBot="1">
      <c r="A89" s="369"/>
      <c r="B89" s="473"/>
      <c r="C89" s="490">
        <v>100</v>
      </c>
      <c r="D89" s="466">
        <v>95</v>
      </c>
      <c r="E89" s="466"/>
      <c r="F89" s="466"/>
      <c r="G89" s="466"/>
      <c r="H89" s="466"/>
      <c r="I89" s="466"/>
      <c r="J89" s="466"/>
      <c r="K89" s="466"/>
      <c r="L89" s="466"/>
      <c r="M89" s="466"/>
      <c r="N89" s="2520"/>
      <c r="O89" s="2520"/>
      <c r="P89" s="2511"/>
      <c r="Q89" s="2506"/>
      <c r="R89" s="2438"/>
      <c r="S89" s="2438"/>
      <c r="T89" s="2438"/>
      <c r="U89" s="2438"/>
      <c r="V89" s="2438"/>
      <c r="W89" s="2438"/>
      <c r="X89" s="2438"/>
      <c r="Y89" s="2438"/>
      <c r="Z89" s="2438"/>
      <c r="AA89" s="2438"/>
      <c r="AB89" s="2438"/>
      <c r="AC89" s="2438"/>
    </row>
    <row r="90" spans="1:29" s="407" customFormat="1" ht="15" thickTop="1">
      <c r="A90" s="483"/>
      <c r="B90" s="468" t="str">
        <f>B27</f>
        <v>人流量</v>
      </c>
      <c r="C90" s="3157" t="s">
        <v>3502</v>
      </c>
      <c r="D90" s="3157" t="s">
        <v>3543</v>
      </c>
      <c r="E90" s="484"/>
      <c r="F90" s="484"/>
      <c r="G90" s="484"/>
      <c r="H90" s="485"/>
      <c r="I90" s="485"/>
      <c r="J90" s="485"/>
      <c r="K90" s="485"/>
      <c r="L90" s="486"/>
      <c r="M90" s="487"/>
      <c r="N90" s="2521"/>
      <c r="O90" s="2521"/>
      <c r="P90" s="2512"/>
      <c r="Q90" s="2513"/>
      <c r="R90" s="2491"/>
      <c r="S90" s="2491"/>
      <c r="T90" s="2491"/>
      <c r="U90" s="2491"/>
      <c r="V90" s="2491"/>
      <c r="W90" s="2491"/>
      <c r="X90" s="2491"/>
      <c r="Y90" s="2491"/>
      <c r="Z90" s="2491"/>
      <c r="AA90" s="2491"/>
      <c r="AB90" s="2491"/>
      <c r="AC90" s="2491"/>
    </row>
    <row r="91" spans="1:29" s="407" customFormat="1" ht="14.4" thickBot="1">
      <c r="A91" s="483"/>
      <c r="B91" s="473"/>
      <c r="C91" s="511">
        <v>100</v>
      </c>
      <c r="D91" s="474">
        <f>C91-$K27</f>
        <v>98</v>
      </c>
      <c r="E91" s="474">
        <f t="shared" ref="E91:M91" si="21">D91-$K27</f>
        <v>96</v>
      </c>
      <c r="F91" s="474">
        <f t="shared" si="21"/>
        <v>94</v>
      </c>
      <c r="G91" s="474">
        <f t="shared" si="21"/>
        <v>92</v>
      </c>
      <c r="H91" s="474">
        <f t="shared" si="21"/>
        <v>90</v>
      </c>
      <c r="I91" s="474">
        <f t="shared" si="21"/>
        <v>88</v>
      </c>
      <c r="J91" s="474">
        <f t="shared" si="21"/>
        <v>86</v>
      </c>
      <c r="K91" s="474">
        <f t="shared" si="21"/>
        <v>84</v>
      </c>
      <c r="L91" s="474">
        <f t="shared" si="21"/>
        <v>82</v>
      </c>
      <c r="M91" s="474">
        <f t="shared" si="21"/>
        <v>80</v>
      </c>
      <c r="N91" s="2521"/>
      <c r="O91" s="2521"/>
      <c r="P91" s="2512"/>
      <c r="Q91" s="2513"/>
      <c r="R91" s="2491"/>
      <c r="S91" s="2491"/>
      <c r="T91" s="2491"/>
      <c r="U91" s="2491"/>
      <c r="V91" s="2491"/>
      <c r="W91" s="2491"/>
      <c r="X91" s="2491"/>
      <c r="Y91" s="2491"/>
      <c r="Z91" s="2491"/>
      <c r="AA91" s="2491"/>
      <c r="AB91" s="2491"/>
      <c r="AC91" s="2491"/>
    </row>
    <row r="92" spans="1:29" ht="15" thickTop="1">
      <c r="A92" s="366"/>
      <c r="B92" s="468" t="str">
        <f>B28</f>
        <v>楼层</v>
      </c>
      <c r="C92" s="484" t="s">
        <v>3521</v>
      </c>
      <c r="D92" s="484" t="s">
        <v>3501</v>
      </c>
      <c r="E92" s="484" t="s">
        <v>3523</v>
      </c>
      <c r="F92" s="484"/>
      <c r="G92" s="484"/>
      <c r="H92" s="484"/>
      <c r="I92" s="484"/>
      <c r="J92" s="484"/>
      <c r="K92" s="484"/>
      <c r="L92" s="509"/>
      <c r="M92" s="510"/>
      <c r="N92" s="2519"/>
      <c r="O92" s="2519"/>
      <c r="P92" s="2511"/>
      <c r="Q92" s="2506"/>
      <c r="R92" s="2485"/>
      <c r="S92" s="2485"/>
      <c r="T92" s="2485"/>
      <c r="U92" s="2485"/>
      <c r="V92" s="2485"/>
      <c r="W92" s="2485"/>
      <c r="X92" s="2485"/>
      <c r="Y92" s="2485"/>
      <c r="Z92" s="2485"/>
      <c r="AA92" s="2485"/>
      <c r="AB92" s="2485"/>
      <c r="AC92" s="2485"/>
    </row>
    <row r="93" spans="1:29" ht="14.4" thickBot="1">
      <c r="A93" s="366"/>
      <c r="B93" s="473"/>
      <c r="C93" s="490">
        <v>100</v>
      </c>
      <c r="D93" s="466">
        <f>案例!C11</f>
        <v>153</v>
      </c>
      <c r="E93" s="466">
        <f>案例!C12</f>
        <v>118</v>
      </c>
      <c r="F93" s="466"/>
      <c r="G93" s="466"/>
      <c r="H93" s="466"/>
      <c r="I93" s="466"/>
      <c r="J93" s="466"/>
      <c r="K93" s="466"/>
      <c r="L93" s="466"/>
      <c r="M93" s="467"/>
      <c r="N93" s="2520"/>
      <c r="O93" s="2520"/>
      <c r="P93" s="2511"/>
      <c r="Q93" s="2506"/>
      <c r="R93" s="2485"/>
      <c r="S93" s="2485"/>
      <c r="T93" s="2485"/>
      <c r="U93" s="2485"/>
      <c r="V93" s="2485"/>
      <c r="W93" s="2485"/>
      <c r="X93" s="2485"/>
      <c r="Y93" s="2485"/>
      <c r="Z93" s="2485"/>
      <c r="AA93" s="2485"/>
      <c r="AB93" s="2485"/>
      <c r="AC93" s="2485"/>
    </row>
    <row r="94" spans="1:29" ht="14.4" thickTop="1">
      <c r="A94" s="366"/>
      <c r="B94" s="468">
        <f>B29</f>
        <v>111</v>
      </c>
      <c r="C94" s="512"/>
      <c r="D94" s="512"/>
      <c r="E94" s="512"/>
      <c r="F94" s="512"/>
      <c r="G94" s="512"/>
      <c r="H94" s="512"/>
      <c r="I94" s="512"/>
      <c r="J94" s="512"/>
      <c r="K94" s="513"/>
      <c r="L94" s="514"/>
      <c r="M94" s="515"/>
      <c r="N94" s="2519"/>
      <c r="O94" s="2519"/>
      <c r="P94" s="2511"/>
      <c r="Q94" s="2506"/>
      <c r="R94" s="2485"/>
      <c r="S94" s="2485"/>
      <c r="T94" s="2485"/>
      <c r="U94" s="2485"/>
      <c r="V94" s="2485"/>
      <c r="W94" s="2485"/>
      <c r="X94" s="2485"/>
      <c r="Y94" s="2485"/>
      <c r="Z94" s="2485"/>
      <c r="AA94" s="2485"/>
      <c r="AB94" s="2485"/>
      <c r="AC94" s="2485"/>
    </row>
    <row r="95" spans="1:29" ht="14.4" thickBot="1">
      <c r="A95" s="366"/>
      <c r="B95" s="473"/>
      <c r="C95" s="466"/>
      <c r="D95" s="466"/>
      <c r="E95" s="466"/>
      <c r="F95" s="466"/>
      <c r="G95" s="466"/>
      <c r="H95" s="466"/>
      <c r="I95" s="466"/>
      <c r="J95" s="466"/>
      <c r="K95" s="466"/>
      <c r="L95" s="466"/>
      <c r="M95" s="467"/>
      <c r="N95" s="2520"/>
      <c r="O95" s="2520"/>
      <c r="P95" s="2511"/>
      <c r="Q95" s="2506"/>
      <c r="R95" s="2485"/>
      <c r="S95" s="2485"/>
      <c r="T95" s="2485"/>
      <c r="U95" s="2485"/>
      <c r="V95" s="2485"/>
      <c r="W95" s="2485"/>
      <c r="X95" s="2485"/>
      <c r="Y95" s="2485"/>
      <c r="Z95" s="2485"/>
      <c r="AA95" s="2485"/>
      <c r="AB95" s="2485"/>
      <c r="AC95" s="2485"/>
    </row>
    <row r="96" spans="1:29" ht="14.4" thickTop="1">
      <c r="A96" s="366"/>
      <c r="B96" s="468">
        <f>B30</f>
        <v>111</v>
      </c>
      <c r="C96" s="484"/>
      <c r="D96" s="484"/>
      <c r="E96" s="484"/>
      <c r="F96" s="484"/>
      <c r="G96" s="512"/>
      <c r="H96" s="512"/>
      <c r="I96" s="512"/>
      <c r="J96" s="512"/>
      <c r="K96" s="513"/>
      <c r="L96" s="514"/>
      <c r="M96" s="515"/>
      <c r="N96" s="2519"/>
      <c r="O96" s="2519"/>
      <c r="P96" s="2511"/>
      <c r="Q96" s="2506"/>
      <c r="R96" s="2485"/>
      <c r="S96" s="2485"/>
      <c r="T96" s="2485"/>
      <c r="U96" s="2485"/>
      <c r="V96" s="2485"/>
      <c r="W96" s="2485"/>
      <c r="X96" s="2485"/>
      <c r="Y96" s="2485"/>
      <c r="Z96" s="2485"/>
      <c r="AA96" s="2485"/>
      <c r="AB96" s="2485"/>
      <c r="AC96" s="2485"/>
    </row>
    <row r="97" spans="1:29" ht="14.4" thickBot="1">
      <c r="A97" s="366"/>
      <c r="B97" s="473"/>
      <c r="C97" s="490"/>
      <c r="D97" s="466"/>
      <c r="E97" s="466"/>
      <c r="F97" s="466"/>
      <c r="G97" s="466"/>
      <c r="H97" s="466"/>
      <c r="I97" s="466"/>
      <c r="J97" s="466"/>
      <c r="K97" s="466"/>
      <c r="L97" s="466"/>
      <c r="M97" s="467"/>
      <c r="N97" s="2520"/>
      <c r="O97" s="2520"/>
      <c r="P97" s="2511"/>
      <c r="Q97" s="2506"/>
      <c r="R97" s="2485"/>
      <c r="S97" s="2485"/>
      <c r="T97" s="2485"/>
      <c r="U97" s="2485"/>
      <c r="V97" s="2485"/>
      <c r="W97" s="2485"/>
      <c r="X97" s="2485"/>
      <c r="Y97" s="2485"/>
      <c r="Z97" s="2485"/>
      <c r="AA97" s="2485"/>
      <c r="AB97" s="2485"/>
      <c r="AC97" s="2485"/>
    </row>
    <row r="98" spans="1:29" ht="14.4" thickTop="1">
      <c r="A98" s="366"/>
      <c r="B98" s="476">
        <f>B31</f>
        <v>111</v>
      </c>
      <c r="C98" s="484"/>
      <c r="D98" s="484"/>
      <c r="E98" s="484"/>
      <c r="F98" s="484"/>
      <c r="G98" s="516"/>
      <c r="H98" s="516"/>
      <c r="I98" s="516"/>
      <c r="J98" s="516"/>
      <c r="K98" s="517"/>
      <c r="L98" s="518"/>
      <c r="M98" s="519"/>
      <c r="N98" s="2519"/>
      <c r="O98" s="2519"/>
      <c r="P98" s="2511"/>
      <c r="Q98" s="2506"/>
      <c r="R98" s="2485"/>
      <c r="S98" s="2485"/>
      <c r="T98" s="2485"/>
      <c r="U98" s="2485"/>
      <c r="V98" s="2485"/>
      <c r="W98" s="2485"/>
      <c r="X98" s="2485"/>
      <c r="Y98" s="2485"/>
      <c r="Z98" s="2485"/>
      <c r="AA98" s="2485"/>
      <c r="AB98" s="2485"/>
      <c r="AC98" s="2485"/>
    </row>
    <row r="99" spans="1:29" ht="14.4" thickBot="1">
      <c r="A99" s="374"/>
      <c r="B99" s="499"/>
      <c r="C99" s="500"/>
      <c r="D99" s="500"/>
      <c r="E99" s="500"/>
      <c r="F99" s="500"/>
      <c r="G99" s="520"/>
      <c r="H99" s="520"/>
      <c r="I99" s="520"/>
      <c r="J99" s="520"/>
      <c r="K99" s="520"/>
      <c r="L99" s="520"/>
      <c r="M99" s="521"/>
      <c r="N99" s="2520"/>
      <c r="O99" s="2520"/>
      <c r="P99" s="2511"/>
      <c r="Q99" s="2506"/>
      <c r="R99" s="2485"/>
      <c r="S99" s="2485"/>
      <c r="T99" s="2485"/>
      <c r="U99" s="2485"/>
      <c r="V99" s="2485"/>
      <c r="W99" s="2485"/>
      <c r="X99" s="2485"/>
      <c r="Y99" s="2485"/>
      <c r="Z99" s="2485"/>
      <c r="AA99" s="2485"/>
      <c r="AB99" s="2485"/>
      <c r="AC99" s="2485"/>
    </row>
    <row r="100" spans="1:29" ht="28.8">
      <c r="A100" s="378" t="s">
        <v>1694</v>
      </c>
      <c r="B100" s="459" t="s">
        <v>1805</v>
      </c>
      <c r="C100" s="3156" t="s">
        <v>3547</v>
      </c>
      <c r="D100" s="3156" t="s">
        <v>3549</v>
      </c>
      <c r="E100" s="461"/>
      <c r="F100" s="461"/>
      <c r="G100" s="461"/>
      <c r="H100" s="461"/>
      <c r="I100" s="461"/>
      <c r="J100" s="461"/>
      <c r="K100" s="462"/>
      <c r="L100" s="463"/>
      <c r="M100" s="464"/>
      <c r="N100" s="2519"/>
      <c r="O100" s="2519"/>
      <c r="P100" s="2511"/>
      <c r="Q100" s="2506"/>
      <c r="R100" s="2485"/>
      <c r="S100" s="2485"/>
      <c r="T100" s="2485"/>
      <c r="U100" s="2485"/>
      <c r="V100" s="2485"/>
      <c r="W100" s="2485"/>
      <c r="X100" s="2485"/>
      <c r="Y100" s="2485"/>
      <c r="Z100" s="2485"/>
      <c r="AA100" s="2485"/>
      <c r="AB100" s="2485"/>
      <c r="AC100" s="2485"/>
    </row>
    <row r="101" spans="1:29" ht="14.4" thickBot="1">
      <c r="A101" s="366"/>
      <c r="B101" s="473"/>
      <c r="C101" s="474">
        <v>100</v>
      </c>
      <c r="D101" s="474">
        <f t="shared" ref="D101:M101" si="22">C101-$K32</f>
        <v>95</v>
      </c>
      <c r="E101" s="474">
        <f t="shared" si="22"/>
        <v>90</v>
      </c>
      <c r="F101" s="474">
        <f t="shared" si="22"/>
        <v>85</v>
      </c>
      <c r="G101" s="474">
        <f t="shared" si="22"/>
        <v>80</v>
      </c>
      <c r="H101" s="474">
        <f t="shared" si="22"/>
        <v>75</v>
      </c>
      <c r="I101" s="474">
        <f t="shared" si="22"/>
        <v>70</v>
      </c>
      <c r="J101" s="474">
        <f t="shared" si="22"/>
        <v>65</v>
      </c>
      <c r="K101" s="474">
        <f t="shared" si="22"/>
        <v>60</v>
      </c>
      <c r="L101" s="474">
        <f t="shared" si="22"/>
        <v>55</v>
      </c>
      <c r="M101" s="475">
        <f t="shared" si="22"/>
        <v>50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6"/>
      <c r="B102" s="468" t="s">
        <v>1737</v>
      </c>
      <c r="C102" s="508" t="str">
        <f>C103&amp;"(含)"&amp;"-"&amp;D103</f>
        <v>0(含)-100</v>
      </c>
      <c r="D102" s="508" t="str">
        <f t="shared" ref="D102:L102" si="23">D103&amp;"(含)"&amp;"-"&amp;E103</f>
        <v>100(含)-200</v>
      </c>
      <c r="E102" s="508" t="str">
        <f t="shared" si="23"/>
        <v>200(含)-300</v>
      </c>
      <c r="F102" s="508" t="str">
        <f t="shared" si="23"/>
        <v>300(含)-700</v>
      </c>
      <c r="G102" s="508" t="str">
        <f t="shared" si="23"/>
        <v>700(含)-</v>
      </c>
      <c r="H102" s="508" t="str">
        <f t="shared" si="23"/>
        <v>(含)-</v>
      </c>
      <c r="I102" s="508" t="str">
        <f t="shared" si="23"/>
        <v>(含)-</v>
      </c>
      <c r="J102" s="508" t="str">
        <f t="shared" si="23"/>
        <v>(含)-</v>
      </c>
      <c r="K102" s="508" t="str">
        <f t="shared" si="23"/>
        <v>(含)-</v>
      </c>
      <c r="L102" s="508" t="str">
        <f t="shared" si="23"/>
        <v>(含)-</v>
      </c>
      <c r="M102" s="546"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7" customFormat="1">
      <c r="A103" s="405"/>
      <c r="B103" s="522"/>
      <c r="C103" s="6">
        <v>0</v>
      </c>
      <c r="D103" s="6">
        <v>100</v>
      </c>
      <c r="E103" s="6">
        <v>200</v>
      </c>
      <c r="F103" s="6">
        <v>300</v>
      </c>
      <c r="G103" s="6">
        <v>700</v>
      </c>
      <c r="H103" s="6"/>
      <c r="I103" s="6"/>
      <c r="J103" s="523"/>
      <c r="K103" s="523"/>
      <c r="L103" s="524"/>
      <c r="M103" s="525"/>
      <c r="N103" s="2521"/>
      <c r="O103" s="2521"/>
      <c r="P103" s="2512"/>
      <c r="Q103" s="2513"/>
      <c r="R103" s="2491"/>
      <c r="S103" s="2491"/>
      <c r="T103" s="2491"/>
      <c r="U103" s="2491"/>
      <c r="V103" s="2491"/>
      <c r="W103" s="2491"/>
      <c r="X103" s="2491"/>
      <c r="Y103" s="2491"/>
      <c r="Z103" s="2491"/>
      <c r="AA103" s="2491"/>
      <c r="AB103" s="2491"/>
      <c r="AC103" s="2491"/>
    </row>
    <row r="104" spans="1:29" s="407" customFormat="1" ht="14.4" thickBot="1">
      <c r="A104" s="483"/>
      <c r="B104" s="473"/>
      <c r="C104" s="490">
        <v>100</v>
      </c>
      <c r="D104" s="466">
        <f>C104-2</f>
        <v>98</v>
      </c>
      <c r="E104" s="466">
        <f t="shared" ref="E104:G104" si="24">D104-2</f>
        <v>96</v>
      </c>
      <c r="F104" s="466">
        <f t="shared" si="24"/>
        <v>94</v>
      </c>
      <c r="G104" s="466">
        <f t="shared" si="24"/>
        <v>92</v>
      </c>
      <c r="H104" s="466"/>
      <c r="I104" s="466"/>
      <c r="J104" s="466"/>
      <c r="K104" s="466"/>
      <c r="L104" s="466"/>
      <c r="M104" s="467"/>
      <c r="N104" s="2520"/>
      <c r="O104" s="2520"/>
      <c r="P104" s="2512"/>
      <c r="Q104" s="2513"/>
      <c r="R104" s="2491"/>
      <c r="S104" s="2491"/>
      <c r="T104" s="2491"/>
      <c r="U104" s="2491"/>
      <c r="V104" s="2491"/>
      <c r="W104" s="2491"/>
      <c r="X104" s="2491"/>
      <c r="Y104" s="2491"/>
      <c r="Z104" s="2491"/>
      <c r="AA104" s="2491"/>
      <c r="AB104" s="2491"/>
      <c r="AC104" s="2491"/>
    </row>
    <row r="105" spans="1:29" ht="15" thickTop="1">
      <c r="A105" s="408"/>
      <c r="B105" s="468" t="s">
        <v>1738</v>
      </c>
      <c r="C105" s="3157" t="s">
        <v>3488</v>
      </c>
      <c r="D105" s="3157" t="s">
        <v>3490</v>
      </c>
      <c r="E105" s="512"/>
      <c r="F105" s="512"/>
      <c r="G105" s="512"/>
      <c r="H105" s="512"/>
      <c r="I105" s="512"/>
      <c r="J105" s="512"/>
      <c r="K105" s="513"/>
      <c r="L105" s="514"/>
      <c r="M105" s="515"/>
      <c r="N105" s="2519"/>
      <c r="O105" s="2519"/>
      <c r="P105" s="2511"/>
      <c r="Q105" s="2506"/>
      <c r="R105" s="2485"/>
      <c r="S105" s="2485"/>
      <c r="T105" s="2485"/>
      <c r="U105" s="2485"/>
      <c r="V105" s="2485"/>
      <c r="W105" s="2485"/>
      <c r="X105" s="2485"/>
      <c r="Y105" s="2485"/>
      <c r="Z105" s="2485"/>
      <c r="AA105" s="2485"/>
      <c r="AB105" s="2485"/>
      <c r="AC105" s="2485"/>
    </row>
    <row r="106" spans="1:29" ht="14.4" thickBot="1">
      <c r="A106" s="366"/>
      <c r="B106" s="473"/>
      <c r="C106" s="474">
        <v>100</v>
      </c>
      <c r="D106" s="474">
        <f t="shared" ref="D106:M106" si="25">C106-$K34</f>
        <v>98</v>
      </c>
      <c r="E106" s="474">
        <f t="shared" si="25"/>
        <v>96</v>
      </c>
      <c r="F106" s="474">
        <f t="shared" si="25"/>
        <v>94</v>
      </c>
      <c r="G106" s="474">
        <f t="shared" si="25"/>
        <v>92</v>
      </c>
      <c r="H106" s="474">
        <f t="shared" si="25"/>
        <v>90</v>
      </c>
      <c r="I106" s="474">
        <f t="shared" si="25"/>
        <v>88</v>
      </c>
      <c r="J106" s="474">
        <f t="shared" si="25"/>
        <v>86</v>
      </c>
      <c r="K106" s="474">
        <f t="shared" si="25"/>
        <v>84</v>
      </c>
      <c r="L106" s="474">
        <f t="shared" si="25"/>
        <v>82</v>
      </c>
      <c r="M106" s="475">
        <f t="shared" si="25"/>
        <v>80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8"/>
      <c r="B107" s="468" t="s">
        <v>1740</v>
      </c>
      <c r="C107" s="484"/>
      <c r="D107" s="484"/>
      <c r="E107" s="484"/>
      <c r="F107" s="512"/>
      <c r="G107" s="512"/>
      <c r="H107" s="512"/>
      <c r="I107" s="512"/>
      <c r="J107" s="512"/>
      <c r="K107" s="513"/>
      <c r="L107" s="514"/>
      <c r="M107" s="515"/>
      <c r="N107" s="2519"/>
      <c r="O107" s="2519"/>
      <c r="P107" s="2511"/>
      <c r="Q107" s="2506"/>
      <c r="R107" s="2485"/>
      <c r="S107" s="2485"/>
      <c r="T107" s="2485"/>
      <c r="U107" s="2485"/>
      <c r="V107" s="2485"/>
      <c r="W107" s="2485"/>
      <c r="X107" s="2485"/>
      <c r="Y107" s="2485"/>
      <c r="Z107" s="2485"/>
      <c r="AA107" s="2485"/>
      <c r="AB107" s="2485"/>
      <c r="AC107" s="2485"/>
    </row>
    <row r="108" spans="1:29" ht="14.4" thickBot="1">
      <c r="A108" s="366"/>
      <c r="B108" s="473"/>
      <c r="C108" s="474">
        <v>100</v>
      </c>
      <c r="D108" s="474">
        <f t="shared" ref="D108:M108" si="26">C108-$K35</f>
        <v>98</v>
      </c>
      <c r="E108" s="474">
        <f t="shared" si="26"/>
        <v>96</v>
      </c>
      <c r="F108" s="474">
        <f t="shared" si="26"/>
        <v>94</v>
      </c>
      <c r="G108" s="474">
        <f t="shared" si="26"/>
        <v>92</v>
      </c>
      <c r="H108" s="474">
        <f t="shared" si="26"/>
        <v>90</v>
      </c>
      <c r="I108" s="474">
        <f t="shared" si="26"/>
        <v>88</v>
      </c>
      <c r="J108" s="474">
        <f t="shared" si="26"/>
        <v>86</v>
      </c>
      <c r="K108" s="474">
        <f t="shared" si="26"/>
        <v>84</v>
      </c>
      <c r="L108" s="474">
        <f t="shared" si="26"/>
        <v>82</v>
      </c>
      <c r="M108" s="475">
        <f t="shared" si="26"/>
        <v>80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9"/>
      <c r="O109" s="2519"/>
      <c r="P109" s="2511"/>
      <c r="Q109" s="2506"/>
      <c r="R109" s="2485"/>
      <c r="S109" s="2485"/>
      <c r="T109" s="2485"/>
      <c r="U109" s="2485"/>
      <c r="V109" s="2485"/>
      <c r="W109" s="2485"/>
      <c r="X109" s="2485"/>
      <c r="Y109" s="2485"/>
      <c r="Z109" s="2485"/>
      <c r="AA109" s="2485"/>
      <c r="AB109" s="2485"/>
      <c r="AC109" s="2485"/>
    </row>
    <row r="110" spans="1:29">
      <c r="A110" s="408"/>
      <c r="B110" s="476"/>
      <c r="C110" s="529">
        <v>0.5</v>
      </c>
      <c r="D110" s="529">
        <v>0.6</v>
      </c>
      <c r="E110" s="529">
        <v>0.7</v>
      </c>
      <c r="F110" s="529">
        <v>0.8</v>
      </c>
      <c r="G110" s="529">
        <v>0.9</v>
      </c>
      <c r="H110" s="529">
        <v>1.0001</v>
      </c>
      <c r="I110" s="547"/>
      <c r="J110" s="547"/>
      <c r="K110" s="548"/>
      <c r="L110" s="549"/>
      <c r="M110" s="550"/>
      <c r="N110" s="2519"/>
      <c r="O110" s="2519"/>
      <c r="P110" s="2511"/>
      <c r="Q110" s="2506"/>
      <c r="R110" s="2485"/>
      <c r="S110" s="2485"/>
      <c r="T110" s="2485"/>
      <c r="U110" s="2485"/>
      <c r="V110" s="2485"/>
      <c r="W110" s="2485"/>
      <c r="X110" s="2485"/>
      <c r="Y110" s="2485"/>
      <c r="Z110" s="2485"/>
      <c r="AA110" s="2485"/>
      <c r="AB110" s="2485"/>
      <c r="AC110" s="2485"/>
    </row>
    <row r="111" spans="1:29" ht="14.4" thickBot="1">
      <c r="A111" s="366"/>
      <c r="B111" s="473"/>
      <c r="C111" s="511">
        <v>100</v>
      </c>
      <c r="D111" s="474">
        <f>C111+$K36</f>
        <v>102</v>
      </c>
      <c r="E111" s="474">
        <f t="shared" ref="E111:M111" si="27">D111+$K36</f>
        <v>104</v>
      </c>
      <c r="F111" s="474">
        <f t="shared" si="27"/>
        <v>106</v>
      </c>
      <c r="G111" s="474">
        <f t="shared" si="27"/>
        <v>108</v>
      </c>
      <c r="H111" s="474">
        <f t="shared" si="27"/>
        <v>110</v>
      </c>
      <c r="I111" s="474">
        <f t="shared" si="27"/>
        <v>112</v>
      </c>
      <c r="J111" s="474">
        <f t="shared" si="27"/>
        <v>114</v>
      </c>
      <c r="K111" s="474">
        <f t="shared" si="27"/>
        <v>116</v>
      </c>
      <c r="L111" s="474">
        <f t="shared" si="27"/>
        <v>118</v>
      </c>
      <c r="M111" s="474">
        <f t="shared" si="27"/>
        <v>120</v>
      </c>
      <c r="N111" s="2520"/>
      <c r="O111" s="2520"/>
      <c r="P111" s="2511"/>
      <c r="Q111" s="2506"/>
      <c r="R111" s="2485"/>
      <c r="S111" s="2485"/>
      <c r="T111" s="2485"/>
      <c r="U111" s="2485"/>
      <c r="V111" s="2485"/>
      <c r="W111" s="2485"/>
      <c r="X111" s="2485"/>
      <c r="Y111" s="2485"/>
      <c r="Z111" s="2485"/>
      <c r="AA111" s="2485"/>
      <c r="AB111" s="2485"/>
      <c r="AC111" s="2485"/>
    </row>
    <row r="112" spans="1:29" s="407" customFormat="1" ht="15" thickTop="1">
      <c r="A112" s="405"/>
      <c r="B112" s="468" t="s">
        <v>1742</v>
      </c>
      <c r="C112" s="3157" t="s">
        <v>3493</v>
      </c>
      <c r="D112" s="3157" t="s">
        <v>3494</v>
      </c>
      <c r="E112" s="3157" t="s">
        <v>3495</v>
      </c>
      <c r="F112" s="3157" t="s">
        <v>3496</v>
      </c>
      <c r="G112" s="484"/>
      <c r="H112" s="512"/>
      <c r="I112" s="512"/>
      <c r="J112" s="512"/>
      <c r="K112" s="513"/>
      <c r="L112" s="514"/>
      <c r="M112" s="515"/>
      <c r="N112" s="2521"/>
      <c r="O112" s="2521"/>
      <c r="P112" s="2512"/>
      <c r="Q112" s="2513"/>
      <c r="R112" s="2491"/>
      <c r="S112" s="2491"/>
      <c r="T112" s="2491"/>
      <c r="U112" s="2491"/>
      <c r="V112" s="2491"/>
      <c r="W112" s="2491"/>
      <c r="X112" s="2491"/>
      <c r="Y112" s="2491"/>
      <c r="Z112" s="2491"/>
      <c r="AA112" s="2491"/>
      <c r="AB112" s="2491"/>
      <c r="AC112" s="2491"/>
    </row>
    <row r="113" spans="1:29" s="407" customFormat="1" ht="14.4" thickBot="1">
      <c r="A113" s="483"/>
      <c r="B113" s="473"/>
      <c r="C113" s="474">
        <v>100</v>
      </c>
      <c r="D113" s="474">
        <f>C113-$K37</f>
        <v>100</v>
      </c>
      <c r="E113" s="474">
        <f t="shared" ref="E113:M113" si="28">D113-$K37</f>
        <v>100</v>
      </c>
      <c r="F113" s="474">
        <f t="shared" si="28"/>
        <v>100</v>
      </c>
      <c r="G113" s="474">
        <f t="shared" si="28"/>
        <v>100</v>
      </c>
      <c r="H113" s="474">
        <f t="shared" si="28"/>
        <v>100</v>
      </c>
      <c r="I113" s="474">
        <f t="shared" si="28"/>
        <v>100</v>
      </c>
      <c r="J113" s="474">
        <f t="shared" si="28"/>
        <v>100</v>
      </c>
      <c r="K113" s="474">
        <f t="shared" si="28"/>
        <v>100</v>
      </c>
      <c r="L113" s="474">
        <f t="shared" si="28"/>
        <v>100</v>
      </c>
      <c r="M113" s="474">
        <f t="shared" si="28"/>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8"/>
      <c r="B114" s="468" t="s">
        <v>1806</v>
      </c>
      <c r="C114" s="3157" t="s">
        <v>3497</v>
      </c>
      <c r="D114" s="3157" t="s">
        <v>3498</v>
      </c>
      <c r="E114" s="512"/>
      <c r="F114" s="512"/>
      <c r="G114" s="512"/>
      <c r="H114" s="512"/>
      <c r="I114" s="512"/>
      <c r="J114" s="512"/>
      <c r="K114" s="513"/>
      <c r="L114" s="514"/>
      <c r="M114" s="515"/>
      <c r="N114" s="2519"/>
      <c r="O114" s="2519"/>
      <c r="P114" s="2511"/>
      <c r="Q114" s="2506"/>
      <c r="R114" s="2485"/>
      <c r="S114" s="2485"/>
      <c r="T114" s="2485"/>
      <c r="U114" s="2485"/>
      <c r="V114" s="2485"/>
      <c r="W114" s="2485"/>
      <c r="X114" s="2485"/>
      <c r="Y114" s="2485"/>
      <c r="Z114" s="2485"/>
      <c r="AA114" s="2485"/>
      <c r="AB114" s="2485"/>
      <c r="AC114" s="2485"/>
    </row>
    <row r="115" spans="1:29" ht="14.4" thickBot="1">
      <c r="A115" s="366"/>
      <c r="B115" s="473"/>
      <c r="C115" s="474">
        <v>100</v>
      </c>
      <c r="D115" s="474">
        <f t="shared" ref="D115:M115" si="29">C115-$K38</f>
        <v>95</v>
      </c>
      <c r="E115" s="474">
        <f t="shared" si="29"/>
        <v>90</v>
      </c>
      <c r="F115" s="474">
        <f t="shared" si="29"/>
        <v>85</v>
      </c>
      <c r="G115" s="474">
        <f t="shared" si="29"/>
        <v>80</v>
      </c>
      <c r="H115" s="474">
        <f t="shared" si="29"/>
        <v>75</v>
      </c>
      <c r="I115" s="474">
        <f t="shared" si="29"/>
        <v>70</v>
      </c>
      <c r="J115" s="474">
        <f t="shared" si="29"/>
        <v>65</v>
      </c>
      <c r="K115" s="474">
        <f t="shared" si="29"/>
        <v>60</v>
      </c>
      <c r="L115" s="474">
        <f t="shared" si="29"/>
        <v>55</v>
      </c>
      <c r="M115" s="475">
        <f t="shared" si="29"/>
        <v>50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8"/>
      <c r="B116" s="468" t="s">
        <v>1807</v>
      </c>
      <c r="C116" s="484"/>
      <c r="D116" s="484"/>
      <c r="E116" s="484"/>
      <c r="F116" s="484"/>
      <c r="G116" s="484"/>
      <c r="H116" s="512"/>
      <c r="I116" s="512"/>
      <c r="J116" s="512"/>
      <c r="K116" s="513"/>
      <c r="L116" s="514"/>
      <c r="M116" s="515"/>
      <c r="N116" s="2519"/>
      <c r="O116" s="2519"/>
      <c r="P116" s="2511"/>
      <c r="Q116" s="2506"/>
      <c r="R116" s="2485"/>
      <c r="S116" s="2485"/>
      <c r="T116" s="2485"/>
      <c r="U116" s="2485"/>
      <c r="V116" s="2485"/>
      <c r="W116" s="2485"/>
      <c r="X116" s="2485"/>
      <c r="Y116" s="2485"/>
      <c r="Z116" s="2485"/>
      <c r="AA116" s="2485"/>
      <c r="AB116" s="2485"/>
      <c r="AC116" s="2485"/>
    </row>
    <row r="117" spans="1:29" ht="14.4" thickBot="1">
      <c r="A117" s="366"/>
      <c r="B117" s="473"/>
      <c r="C117" s="474">
        <v>100</v>
      </c>
      <c r="D117" s="474">
        <f>C117-$K39</f>
        <v>100</v>
      </c>
      <c r="E117" s="474">
        <f>D117-$K39</f>
        <v>100</v>
      </c>
      <c r="F117" s="474">
        <f>E117-$K39</f>
        <v>100</v>
      </c>
      <c r="G117" s="474">
        <f>F117-$K39</f>
        <v>100</v>
      </c>
      <c r="H117" s="474"/>
      <c r="I117" s="474"/>
      <c r="J117" s="474"/>
      <c r="K117" s="474"/>
      <c r="L117" s="474"/>
      <c r="M117" s="475"/>
      <c r="N117" s="2520"/>
      <c r="O117" s="2520"/>
      <c r="P117" s="2511"/>
      <c r="Q117" s="2506"/>
      <c r="R117" s="2485"/>
      <c r="S117" s="2485"/>
      <c r="T117" s="2485"/>
      <c r="U117" s="2485"/>
      <c r="V117" s="2485"/>
      <c r="W117" s="2485"/>
      <c r="X117" s="2485"/>
      <c r="Y117" s="2485"/>
      <c r="Z117" s="2485"/>
      <c r="AA117" s="2485"/>
      <c r="AB117" s="2485"/>
      <c r="AC117" s="2485"/>
    </row>
    <row r="118" spans="1:29" ht="15" thickTop="1">
      <c r="A118" s="408"/>
      <c r="B118" s="468" t="s">
        <v>1808</v>
      </c>
      <c r="C118" s="551"/>
      <c r="D118" s="551"/>
      <c r="E118" s="551"/>
      <c r="F118" s="551"/>
      <c r="G118" s="551"/>
      <c r="H118" s="485"/>
      <c r="I118" s="485"/>
      <c r="J118" s="485"/>
      <c r="K118" s="485"/>
      <c r="L118" s="486"/>
      <c r="M118" s="487"/>
      <c r="N118" s="2519"/>
      <c r="O118" s="2519"/>
      <c r="P118" s="2511"/>
      <c r="Q118" s="2506"/>
      <c r="R118" s="2485"/>
      <c r="S118" s="2485"/>
      <c r="T118" s="2485"/>
      <c r="U118" s="2485"/>
      <c r="V118" s="2485"/>
      <c r="W118" s="2485"/>
      <c r="X118" s="2485"/>
      <c r="Y118" s="2485"/>
      <c r="Z118" s="2485"/>
      <c r="AA118" s="2485"/>
      <c r="AB118" s="2485"/>
      <c r="AC118" s="2485"/>
    </row>
    <row r="119" spans="1:29" ht="14.4" thickBot="1">
      <c r="A119" s="366"/>
      <c r="B119" s="473"/>
      <c r="C119" s="490"/>
      <c r="D119" s="466"/>
      <c r="E119" s="466"/>
      <c r="F119" s="466"/>
      <c r="G119" s="466"/>
      <c r="H119" s="466"/>
      <c r="I119" s="466"/>
      <c r="J119" s="466"/>
      <c r="K119" s="466"/>
      <c r="L119" s="466"/>
      <c r="M119" s="467"/>
      <c r="N119" s="2520"/>
      <c r="O119" s="2520"/>
      <c r="P119" s="2511"/>
      <c r="Q119" s="2506"/>
      <c r="R119" s="2485"/>
      <c r="S119" s="2485"/>
      <c r="T119" s="2485"/>
      <c r="U119" s="2485"/>
      <c r="V119" s="2485"/>
      <c r="W119" s="2485"/>
      <c r="X119" s="2485"/>
      <c r="Y119" s="2485"/>
      <c r="Z119" s="2485"/>
      <c r="AA119" s="2485"/>
      <c r="AB119" s="2485"/>
      <c r="AC119" s="2485"/>
    </row>
    <row r="120" spans="1:29" s="407" customFormat="1" ht="15" thickTop="1">
      <c r="A120" s="405"/>
      <c r="B120" s="468" t="s">
        <v>1809</v>
      </c>
      <c r="C120" s="512"/>
      <c r="D120" s="512"/>
      <c r="E120" s="512"/>
      <c r="F120" s="512"/>
      <c r="G120" s="485"/>
      <c r="H120" s="485"/>
      <c r="I120" s="485"/>
      <c r="J120" s="485"/>
      <c r="K120" s="485"/>
      <c r="L120" s="486"/>
      <c r="M120" s="487"/>
      <c r="N120" s="2521"/>
      <c r="O120" s="2521"/>
      <c r="P120" s="2512"/>
      <c r="Q120" s="2513"/>
      <c r="R120" s="2491"/>
      <c r="S120" s="2491"/>
      <c r="T120" s="2491"/>
      <c r="U120" s="2491"/>
      <c r="V120" s="2491"/>
      <c r="W120" s="2491"/>
      <c r="X120" s="2491"/>
      <c r="Y120" s="2491"/>
      <c r="Z120" s="2491"/>
      <c r="AA120" s="2491"/>
      <c r="AB120" s="2491"/>
      <c r="AC120" s="2491"/>
    </row>
    <row r="121" spans="1:29" s="407" customFormat="1" ht="14.4"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8"/>
      <c r="B122" s="468" t="s">
        <v>1744</v>
      </c>
      <c r="C122" s="3157" t="s">
        <v>3426</v>
      </c>
      <c r="D122" s="3157" t="s">
        <v>3427</v>
      </c>
      <c r="E122" s="3157" t="s">
        <v>3428</v>
      </c>
      <c r="F122" s="3158" t="s">
        <v>3429</v>
      </c>
      <c r="G122" s="512"/>
      <c r="H122" s="512"/>
      <c r="I122" s="512"/>
      <c r="J122" s="512"/>
      <c r="K122" s="513"/>
      <c r="L122" s="514"/>
      <c r="M122" s="515"/>
      <c r="N122" s="2519"/>
      <c r="O122" s="2519"/>
      <c r="P122" s="2511"/>
      <c r="Q122" s="2506"/>
      <c r="R122" s="2485"/>
      <c r="S122" s="2485"/>
      <c r="T122" s="2485"/>
      <c r="U122" s="2485"/>
      <c r="V122" s="2485"/>
      <c r="W122" s="2485"/>
      <c r="X122" s="2485"/>
      <c r="Y122" s="2485"/>
      <c r="Z122" s="2485"/>
      <c r="AA122" s="2485"/>
      <c r="AB122" s="2485"/>
      <c r="AC122" s="2485"/>
    </row>
    <row r="123" spans="1:29" ht="14.4" thickBot="1">
      <c r="A123" s="366"/>
      <c r="B123" s="473"/>
      <c r="C123" s="474">
        <v>100</v>
      </c>
      <c r="D123" s="474">
        <f t="shared" ref="D123:M123" si="31">C123-$K42</f>
        <v>99</v>
      </c>
      <c r="E123" s="474">
        <f t="shared" si="31"/>
        <v>98</v>
      </c>
      <c r="F123" s="474">
        <f t="shared" si="31"/>
        <v>97</v>
      </c>
      <c r="G123" s="474">
        <f t="shared" si="31"/>
        <v>96</v>
      </c>
      <c r="H123" s="474">
        <f t="shared" si="31"/>
        <v>95</v>
      </c>
      <c r="I123" s="474">
        <f t="shared" si="31"/>
        <v>94</v>
      </c>
      <c r="J123" s="474">
        <f t="shared" si="31"/>
        <v>93</v>
      </c>
      <c r="K123" s="474">
        <f t="shared" si="31"/>
        <v>92</v>
      </c>
      <c r="L123" s="474">
        <f t="shared" si="31"/>
        <v>91</v>
      </c>
      <c r="M123" s="475">
        <f t="shared" si="31"/>
        <v>90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9"/>
      <c r="O124" s="2519"/>
      <c r="P124" s="2512"/>
      <c r="Q124" s="2506"/>
      <c r="R124" s="2485"/>
      <c r="S124" s="2485"/>
      <c r="T124" s="2485"/>
      <c r="U124" s="2485"/>
      <c r="V124" s="2485"/>
      <c r="W124" s="2485"/>
      <c r="X124" s="2485"/>
      <c r="Y124" s="2485"/>
      <c r="Z124" s="2485"/>
      <c r="AA124" s="2485"/>
      <c r="AB124" s="2485"/>
      <c r="AC124" s="2485"/>
    </row>
    <row r="125" spans="1:29" ht="14.4" thickBot="1">
      <c r="A125" s="366"/>
      <c r="B125" s="473"/>
      <c r="C125" s="474">
        <v>100</v>
      </c>
      <c r="D125" s="474">
        <f>C125-$K43</f>
        <v>98</v>
      </c>
      <c r="E125" s="474">
        <f>D125-$K43</f>
        <v>96</v>
      </c>
      <c r="F125" s="474">
        <f>E125-$K43</f>
        <v>94</v>
      </c>
      <c r="G125" s="474">
        <f>F125-$K43</f>
        <v>92</v>
      </c>
      <c r="H125" s="474"/>
      <c r="I125" s="474"/>
      <c r="J125" s="474"/>
      <c r="K125" s="474"/>
      <c r="L125" s="474"/>
      <c r="M125" s="475"/>
      <c r="N125" s="2520"/>
      <c r="O125" s="2520"/>
      <c r="P125" s="2511"/>
      <c r="Q125" s="2506"/>
      <c r="R125" s="2485"/>
      <c r="S125" s="2485"/>
      <c r="T125" s="2485"/>
      <c r="U125" s="2485"/>
      <c r="V125" s="2485"/>
      <c r="W125" s="2485"/>
      <c r="X125" s="2485"/>
      <c r="Y125" s="2485"/>
      <c r="Z125" s="2485"/>
      <c r="AA125" s="2485"/>
      <c r="AB125" s="2485"/>
      <c r="AC125" s="2485"/>
    </row>
    <row r="126" spans="1:29" s="407" customFormat="1" ht="14.4" thickTop="1">
      <c r="A126" s="405"/>
      <c r="B126" s="468">
        <f>B44</f>
        <v>111</v>
      </c>
      <c r="C126" s="484"/>
      <c r="D126" s="484"/>
      <c r="E126" s="484"/>
      <c r="F126" s="484"/>
      <c r="G126" s="484"/>
      <c r="H126" s="485"/>
      <c r="I126" s="485"/>
      <c r="J126" s="485"/>
      <c r="K126" s="485"/>
      <c r="L126" s="486"/>
      <c r="M126" s="487"/>
      <c r="N126" s="2521"/>
      <c r="O126" s="2521"/>
      <c r="P126" s="2512"/>
      <c r="Q126" s="2513"/>
      <c r="R126" s="2491"/>
      <c r="S126" s="2491"/>
      <c r="T126" s="2491"/>
      <c r="U126" s="2491"/>
      <c r="V126" s="2491"/>
      <c r="W126" s="2491"/>
      <c r="X126" s="2491"/>
      <c r="Y126" s="2491"/>
      <c r="Z126" s="2491"/>
      <c r="AA126" s="2491"/>
      <c r="AB126" s="2491"/>
      <c r="AC126" s="2491"/>
    </row>
    <row r="127" spans="1:29" s="407" customFormat="1" ht="14.4" thickBot="1">
      <c r="A127" s="483"/>
      <c r="B127" s="473"/>
      <c r="C127" s="490"/>
      <c r="D127" s="466"/>
      <c r="E127" s="466"/>
      <c r="F127" s="466"/>
      <c r="G127" s="490"/>
      <c r="H127" s="492"/>
      <c r="I127" s="492"/>
      <c r="J127" s="492"/>
      <c r="K127" s="492"/>
      <c r="L127" s="492"/>
      <c r="M127" s="493"/>
      <c r="N127" s="2521"/>
      <c r="O127" s="2521"/>
      <c r="P127" s="2512"/>
      <c r="Q127" s="2513"/>
      <c r="R127" s="2491"/>
      <c r="S127" s="2491"/>
      <c r="T127" s="2491"/>
      <c r="U127" s="2491"/>
      <c r="V127" s="2491"/>
      <c r="W127" s="2491"/>
      <c r="X127" s="2491"/>
      <c r="Y127" s="2491"/>
      <c r="Z127" s="2491"/>
      <c r="AA127" s="2491"/>
      <c r="AB127" s="2491"/>
      <c r="AC127" s="2491"/>
    </row>
    <row r="128" spans="1:29" ht="14.4" thickTop="1">
      <c r="A128" s="408"/>
      <c r="B128" s="468">
        <f>B45</f>
        <v>111</v>
      </c>
      <c r="C128" s="484"/>
      <c r="D128" s="484"/>
      <c r="E128" s="484"/>
      <c r="F128" s="484"/>
      <c r="G128" s="512"/>
      <c r="H128" s="512"/>
      <c r="I128" s="512"/>
      <c r="J128" s="512"/>
      <c r="K128" s="513"/>
      <c r="L128" s="514"/>
      <c r="M128" s="515"/>
      <c r="N128" s="2519"/>
      <c r="O128" s="2519"/>
      <c r="P128" s="2511"/>
      <c r="Q128" s="2506"/>
      <c r="R128" s="2485"/>
      <c r="S128" s="2485"/>
      <c r="T128" s="2485"/>
      <c r="U128" s="2485"/>
      <c r="V128" s="2485"/>
      <c r="W128" s="2485"/>
      <c r="X128" s="2485"/>
      <c r="Y128" s="2485"/>
      <c r="Z128" s="2485"/>
      <c r="AA128" s="2485"/>
      <c r="AB128" s="2485"/>
      <c r="AC128" s="2485"/>
    </row>
    <row r="129" spans="1:29" ht="14.4" thickBot="1">
      <c r="A129" s="366"/>
      <c r="B129" s="473"/>
      <c r="C129" s="490"/>
      <c r="D129" s="466"/>
      <c r="E129" s="466"/>
      <c r="F129" s="466"/>
      <c r="G129" s="466"/>
      <c r="H129" s="466"/>
      <c r="I129" s="466"/>
      <c r="J129" s="466"/>
      <c r="K129" s="466"/>
      <c r="L129" s="466"/>
      <c r="M129" s="467"/>
      <c r="N129" s="2520"/>
      <c r="O129" s="2520"/>
      <c r="P129" s="2511"/>
      <c r="Q129" s="2506"/>
      <c r="R129" s="2485"/>
      <c r="S129" s="2485"/>
      <c r="T129" s="2485"/>
      <c r="U129" s="2485"/>
      <c r="V129" s="2485"/>
      <c r="W129" s="2485"/>
      <c r="X129" s="2485"/>
      <c r="Y129" s="2485"/>
      <c r="Z129" s="2485"/>
      <c r="AA129" s="2485"/>
      <c r="AB129" s="2485"/>
      <c r="AC129" s="2485"/>
    </row>
    <row r="130" spans="1:29" ht="14.4" thickTop="1">
      <c r="A130" s="408"/>
      <c r="B130" s="476">
        <f>B46</f>
        <v>111</v>
      </c>
      <c r="C130" s="484"/>
      <c r="D130" s="484"/>
      <c r="E130" s="484"/>
      <c r="F130" s="484"/>
      <c r="G130" s="516"/>
      <c r="H130" s="516"/>
      <c r="I130" s="516"/>
      <c r="J130" s="516"/>
      <c r="K130" s="31"/>
      <c r="L130" s="456"/>
      <c r="M130" s="519"/>
      <c r="N130" s="2519"/>
      <c r="O130" s="2519"/>
      <c r="P130" s="2511"/>
      <c r="Q130" s="2506"/>
      <c r="R130" s="2485"/>
      <c r="S130" s="2485"/>
      <c r="T130" s="2485"/>
      <c r="U130" s="2485"/>
      <c r="V130" s="2485"/>
      <c r="W130" s="2485"/>
      <c r="X130" s="2485"/>
      <c r="Y130" s="2485"/>
      <c r="Z130" s="2485"/>
      <c r="AA130" s="2485"/>
      <c r="AB130" s="2485"/>
      <c r="AC130" s="2485"/>
    </row>
    <row r="131" spans="1:29" ht="14.4" thickBot="1">
      <c r="A131" s="374"/>
      <c r="B131" s="499"/>
      <c r="C131" s="500"/>
      <c r="D131" s="500"/>
      <c r="E131" s="500"/>
      <c r="F131" s="500"/>
      <c r="G131" s="520"/>
      <c r="H131" s="520"/>
      <c r="I131" s="520"/>
      <c r="J131" s="520"/>
      <c r="K131" s="520"/>
      <c r="L131" s="520"/>
      <c r="M131" s="521"/>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25" priority="14" stopIfTrue="1">
      <formula>$F$52="超过30%"</formula>
    </cfRule>
  </conditionalFormatting>
  <conditionalFormatting sqref="E53">
    <cfRule type="expression" dxfId="24" priority="13" stopIfTrue="1">
      <formula>$F$53="超过20%"</formula>
    </cfRule>
  </conditionalFormatting>
  <conditionalFormatting sqref="E54">
    <cfRule type="expression" dxfId="23" priority="12" stopIfTrue="1">
      <formula>$F$54="超过30%"</formula>
    </cfRule>
  </conditionalFormatting>
  <conditionalFormatting sqref="F7:F46 H7:H46 J7:J46">
    <cfRule type="cellIs" dxfId="22" priority="1" operator="notEqual">
      <formula>100</formula>
    </cfRule>
  </conditionalFormatting>
  <conditionalFormatting sqref="F48">
    <cfRule type="expression" dxfId="21" priority="4">
      <formula>$D$48="简单平均"</formula>
    </cfRule>
  </conditionalFormatting>
  <conditionalFormatting sqref="F52:F54 H52:H54">
    <cfRule type="containsText" dxfId="20" priority="15" stopIfTrue="1" operator="containsText" text="超过">
      <formula>NOT(ISERROR(SEARCH("超过",F52)))</formula>
    </cfRule>
  </conditionalFormatting>
  <conditionalFormatting sqref="G52">
    <cfRule type="expression" dxfId="19" priority="10" stopIfTrue="1">
      <formula>$H$52="超过30%"</formula>
    </cfRule>
  </conditionalFormatting>
  <conditionalFormatting sqref="G53">
    <cfRule type="expression" dxfId="18" priority="9" stopIfTrue="1">
      <formula>$H$53="超过20%"</formula>
    </cfRule>
  </conditionalFormatting>
  <conditionalFormatting sqref="G54">
    <cfRule type="expression" dxfId="17" priority="11" stopIfTrue="1">
      <formula>$H$54="超过30%"</formula>
    </cfRule>
  </conditionalFormatting>
  <conditionalFormatting sqref="H48">
    <cfRule type="expression" dxfId="16" priority="3">
      <formula>$D$48="简单平均"</formula>
    </cfRule>
  </conditionalFormatting>
  <conditionalFormatting sqref="I52">
    <cfRule type="expression" dxfId="15" priority="7" stopIfTrue="1">
      <formula>$J$52="超过30%"</formula>
    </cfRule>
  </conditionalFormatting>
  <conditionalFormatting sqref="I53">
    <cfRule type="expression" dxfId="14" priority="6" stopIfTrue="1">
      <formula>$J$53="超过20%"</formula>
    </cfRule>
  </conditionalFormatting>
  <conditionalFormatting sqref="I54">
    <cfRule type="expression" dxfId="13" priority="5" stopIfTrue="1">
      <formula>$J$54="超过30%"</formula>
    </cfRule>
  </conditionalFormatting>
  <conditionalFormatting sqref="J48">
    <cfRule type="expression" dxfId="12" priority="2">
      <formula>$D$48="简单平均"</formula>
    </cfRule>
  </conditionalFormatting>
  <conditionalFormatting sqref="J52:J54">
    <cfRule type="containsText" dxfId="11" priority="8" stopIfTrue="1" operator="containsText" text="超过">
      <formula>NOT(ISERROR(SEARCH("超过",J52)))</formula>
    </cfRule>
  </conditionalFormatting>
  <dataValidations count="25">
    <dataValidation type="list" allowBlank="1" showInputMessage="1" showErrorMessage="1" sqref="E1" xr:uid="{3DDF3024-9B68-477F-ADB2-4140FFEDCBC7}">
      <formula1>"项目模式,单套模式"</formula1>
    </dataValidation>
    <dataValidation type="list" allowBlank="1" showInputMessage="1" showErrorMessage="1" sqref="D48" xr:uid="{0BCD0734-610F-4013-8473-0357739BE1D5}">
      <formula1>"简单平均,加权平均"</formula1>
    </dataValidation>
    <dataValidation type="list" allowBlank="1" showInputMessage="1" showErrorMessage="1" sqref="F2" xr:uid="{143A2CE0-D2DE-4828-AF39-686F227EA6DD}">
      <formula1>估价方法</formula1>
    </dataValidation>
    <dataValidation type="list" allowBlank="1" showInputMessage="1" showErrorMessage="1" sqref="C2" xr:uid="{7D63EFE5-1F2A-4E19-B79E-71B09898E024}">
      <formula1>"需扣减承租人权益,——"</formula1>
    </dataValidation>
    <dataValidation type="list" allowBlank="1" showInputMessage="1" showErrorMessage="1" sqref="F1" xr:uid="{E7473DBA-10B0-4640-A2CF-0DAE45CD6BF0}">
      <formula1>"售价,租金"</formula1>
    </dataValidation>
    <dataValidation type="list" allowBlank="1" showInputMessage="1" showErrorMessage="1" sqref="C22 E22 G22 I22" xr:uid="{86458177-5639-4269-AABB-B435CAA1DFA8}">
      <formula1>基础设施水平</formula1>
    </dataValidation>
    <dataValidation type="list" allowBlank="1" showInputMessage="1" showErrorMessage="1" sqref="C16 E16 G16 I16" xr:uid="{9B4D8794-2185-4A96-A0DF-1811A533A708}">
      <formula1>商业繁华度</formula1>
    </dataValidation>
    <dataValidation type="list" allowBlank="1" showInputMessage="1" showErrorMessage="1" sqref="C8 E8 G8 I8" xr:uid="{A6C6B8A0-B0D7-493A-9C1B-30B6ABA308F0}">
      <formula1>商业交易情况</formula1>
    </dataValidation>
    <dataValidation type="list" allowBlank="1" showInputMessage="1" showErrorMessage="1" sqref="C39 E39 G39 I39" xr:uid="{842F54FB-373C-47C4-A8DB-DEACC96389AC}">
      <formula1>商业层高</formula1>
    </dataValidation>
    <dataValidation type="list" allowBlank="1" showInputMessage="1" showErrorMessage="1" sqref="C38 E38 G38 I38" xr:uid="{16FD772A-DD72-4543-92A2-9E0FD6A5A7C2}">
      <formula1>商业业态</formula1>
    </dataValidation>
    <dataValidation type="list" allowBlank="1" showInputMessage="1" showErrorMessage="1" sqref="E9 G9 I9" xr:uid="{547066FD-D7DC-48BD-AC87-6B653DFA2E61}">
      <formula1>商业用途</formula1>
    </dataValidation>
    <dataValidation type="list" allowBlank="1" showInputMessage="1" showErrorMessage="1" sqref="C42 E42 G42 I42" xr:uid="{8A4C99FD-2E6F-4CA3-8ACD-7831D27CBD4B}">
      <formula1>商业内部装修</formula1>
    </dataValidation>
    <dataValidation type="list" allowBlank="1" showInputMessage="1" showErrorMessage="1" sqref="C41 E41 G41 I41" xr:uid="{0E752982-3E21-44DE-81E0-9443E32A8074}">
      <formula1>商业进深比</formula1>
    </dataValidation>
    <dataValidation type="list" allowBlank="1" showInputMessage="1" showErrorMessage="1" sqref="C37 E37 G37 I37" xr:uid="{87902D38-0D66-4075-A8D3-85B17942C5E6}">
      <formula1>商业基础设施水平</formula1>
    </dataValidation>
    <dataValidation type="list" allowBlank="1" showInputMessage="1" showErrorMessage="1" sqref="C35 E35 G35 I35" xr:uid="{4F0E616B-87CF-4F14-9018-3721B6384123}">
      <formula1>商业公共部分装修</formula1>
    </dataValidation>
    <dataValidation type="list" allowBlank="1" showInputMessage="1" showErrorMessage="1" sqref="C34 E34 G34 I34" xr:uid="{2CACBCA8-B061-4647-B8C9-FB567FCF90BD}">
      <formula1>商业建筑结构</formula1>
    </dataValidation>
    <dataValidation type="list" allowBlank="1" showInputMessage="1" showErrorMessage="1" sqref="C32 E32 G32 I32" xr:uid="{4046736E-E615-4964-922C-15FFD7AECC14}">
      <formula1>商业类型</formula1>
    </dataValidation>
    <dataValidation type="list" allowBlank="1" showInputMessage="1" showErrorMessage="1" sqref="C28 E28 G28 I28" xr:uid="{91654778-2090-4F07-AA7C-B5E0EF349391}">
      <formula1>商业楼层</formula1>
    </dataValidation>
    <dataValidation type="list" allowBlank="1" showInputMessage="1" showErrorMessage="1" sqref="C27 E27 G27 I27" xr:uid="{EA7C1036-A1EA-4610-B5F3-0397EE6E659E}">
      <formula1>商业人流量</formula1>
    </dataValidation>
    <dataValidation type="list" allowBlank="1" showInputMessage="1" showErrorMessage="1" sqref="C25 E25 G25 I25" xr:uid="{C5E8E77A-5756-4C27-B82E-466F464D788C}">
      <formula1>商业临街状况</formula1>
    </dataValidation>
    <dataValidation type="list" allowBlank="1" showInputMessage="1" showErrorMessage="1" sqref="E24 G24 I24 C24" xr:uid="{4EA2FF6B-66DA-4805-83FC-8A29DA8539A1}">
      <formula1>环境</formula1>
    </dataValidation>
    <dataValidation type="list" allowBlank="1" showInputMessage="1" showErrorMessage="1" sqref="E18 G18 I18 C18" xr:uid="{FE1C470F-365D-455E-9CC7-2241BD9E0153}">
      <formula1>交通便捷度</formula1>
    </dataValidation>
    <dataValidation type="list" allowBlank="1" showInputMessage="1" showErrorMessage="1" sqref="E20 I20 G20 C20" xr:uid="{C645048F-77D7-4E02-B2A1-440819B353F1}">
      <formula1>公共配套设施</formula1>
    </dataValidation>
    <dataValidation type="list" allowBlank="1" showInputMessage="1" showErrorMessage="1" sqref="C43 E43 G43 I43" xr:uid="{DC6A6910-879B-4143-8FCB-455A4B452308}">
      <formula1>内部装修维护情况</formula1>
    </dataValidation>
    <dataValidation type="list" allowBlank="1" showInputMessage="1" showErrorMessage="1" sqref="D1" xr:uid="{AEF956EB-D286-47F6-9D0E-B0149778942E}">
      <formula1>项目类型</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77C1D-3EC5-486B-A754-58ED590813D8}">
  <sheetPr>
    <tabColor rgb="FF92D050"/>
  </sheetPr>
  <dimension ref="A1:AK83"/>
  <sheetViews>
    <sheetView view="pageBreakPreview" topLeftCell="A7" zoomScale="70" zoomScaleNormal="70" zoomScaleSheetLayoutView="70" workbookViewId="0">
      <selection activeCell="C1" sqref="C1"/>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t="s">
        <v>3556</v>
      </c>
      <c r="D1" s="1270" t="s">
        <v>43</v>
      </c>
      <c r="E1" s="1271" t="s">
        <v>678</v>
      </c>
      <c r="F1" s="998">
        <f ca="1">J53</f>
        <v>17</v>
      </c>
      <c r="G1" s="1285">
        <f>MATCH(C1,'数据-取费表'!A6:A16,0)+5</f>
        <v>7</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3121">
        <f ca="1">ROUND(D2/10000,4)</f>
        <v>94.671499999999995</v>
      </c>
      <c r="C2" s="1288" t="s">
        <v>805</v>
      </c>
      <c r="D2" s="1374">
        <f ca="1">C40+J29+L46</f>
        <v>946715</v>
      </c>
      <c r="E2" s="1294" t="s">
        <v>880</v>
      </c>
      <c r="F2" s="1295"/>
      <c r="G2" s="2476"/>
      <c r="H2" s="2466"/>
      <c r="I2" s="2466"/>
      <c r="J2" s="2466"/>
      <c r="K2" s="2467"/>
      <c r="L2" s="2466"/>
      <c r="M2" s="2466"/>
    </row>
    <row r="3" spans="1:37" ht="18" customHeight="1" thickBot="1">
      <c r="A3" s="1296" t="s">
        <v>806</v>
      </c>
      <c r="B3" s="1297">
        <f ca="1">IF(ISERROR(D2/F43),0,ROUND(D2/F43,0))</f>
        <v>6056</v>
      </c>
      <c r="C3" s="1288" t="s">
        <v>807</v>
      </c>
      <c r="D3" s="1288"/>
      <c r="E3" s="1294"/>
      <c r="F3" s="1295"/>
      <c r="G3" s="2476"/>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77128</v>
      </c>
      <c r="D5" s="1272" t="s">
        <v>693</v>
      </c>
      <c r="E5" s="1007"/>
      <c r="F5" s="1008"/>
      <c r="G5" s="1291"/>
      <c r="H5" s="290">
        <v>1</v>
      </c>
      <c r="I5" s="291" t="s">
        <v>692</v>
      </c>
      <c r="J5" s="1006">
        <f ca="1">J6+J10+J12</f>
        <v>0</v>
      </c>
      <c r="K5" s="1272" t="s">
        <v>693</v>
      </c>
      <c r="L5" s="1007"/>
      <c r="M5" s="1008"/>
    </row>
    <row r="6" spans="1:37" ht="18" customHeight="1">
      <c r="A6" s="1005" t="s">
        <v>398</v>
      </c>
      <c r="B6" s="3286" t="s">
        <v>694</v>
      </c>
      <c r="C6" s="1010">
        <f ca="1">ROUND(F6*F8*F7*(1-F9),0)</f>
        <v>77032</v>
      </c>
      <c r="D6" s="146" t="s">
        <v>2106</v>
      </c>
      <c r="E6" s="293" t="s">
        <v>696</v>
      </c>
      <c r="F6" s="294">
        <f ca="1">INDIRECT("'数据-取费表'!u"&amp;$G$1)</f>
        <v>1.5</v>
      </c>
      <c r="G6" s="1291"/>
      <c r="H6" s="1005" t="s">
        <v>398</v>
      </c>
      <c r="I6" s="3286" t="s">
        <v>694</v>
      </c>
      <c r="J6" s="292">
        <f ca="1">ROUND(M6*M8*M7*(1-M9),0)</f>
        <v>0</v>
      </c>
      <c r="K6" s="1283" t="s">
        <v>2107</v>
      </c>
      <c r="L6" s="293" t="s">
        <v>696</v>
      </c>
      <c r="M6" s="294">
        <f ca="1">INDIRECT("'数据-取费表'!z"&amp;$G$1)</f>
        <v>0</v>
      </c>
    </row>
    <row r="7" spans="1:37" ht="18" customHeight="1">
      <c r="A7" s="1009"/>
      <c r="B7" s="3287"/>
      <c r="C7" s="1011"/>
      <c r="D7" s="298"/>
      <c r="E7" s="1012" t="s">
        <v>697</v>
      </c>
      <c r="F7" s="294">
        <f ca="1">IF(INDIRECT("'数据-取费表'!ah"&amp;$G$1)="",INDIRECT("'数据-取费表'!k"&amp;$G$1),INDIRECT("'数据-取费表'!ah"&amp;$G$1))</f>
        <v>156.33000000000001</v>
      </c>
      <c r="G7" s="1291"/>
      <c r="H7" s="295"/>
      <c r="I7" s="3287"/>
      <c r="J7" s="297"/>
      <c r="K7" s="298"/>
      <c r="L7" s="293" t="s">
        <v>697</v>
      </c>
      <c r="M7" s="294">
        <f ca="1">F7</f>
        <v>156.33000000000001</v>
      </c>
    </row>
    <row r="8" spans="1:37" ht="18" customHeight="1">
      <c r="A8" s="295"/>
      <c r="B8" s="3287"/>
      <c r="C8" s="297"/>
      <c r="D8" s="298"/>
      <c r="E8" s="293" t="s">
        <v>698</v>
      </c>
      <c r="F8" s="294">
        <f ca="1">INDIRECT("'数据-取费表'!ai"&amp;$G$1)</f>
        <v>365</v>
      </c>
      <c r="G8" s="1291"/>
      <c r="H8" s="295"/>
      <c r="I8" s="3287"/>
      <c r="J8" s="297"/>
      <c r="K8" s="298"/>
      <c r="L8" s="293" t="s">
        <v>698</v>
      </c>
      <c r="M8" s="294">
        <f ca="1">INDIRECT("'数据-取费表'!ai"&amp;$G$1)</f>
        <v>365</v>
      </c>
    </row>
    <row r="9" spans="1:37" ht="18" customHeight="1">
      <c r="A9" s="295"/>
      <c r="B9" s="3288"/>
      <c r="C9" s="297"/>
      <c r="D9" s="298"/>
      <c r="E9" s="293" t="s">
        <v>699</v>
      </c>
      <c r="F9" s="303">
        <f ca="1">INDIRECT("'数据-取费表'!w"&amp;$G$1)</f>
        <v>0.1</v>
      </c>
      <c r="G9" s="1291"/>
      <c r="H9" s="295"/>
      <c r="I9" s="3288"/>
      <c r="J9" s="297"/>
      <c r="K9" s="298"/>
      <c r="L9" s="304" t="s">
        <v>699</v>
      </c>
      <c r="M9" s="305">
        <f ca="1">INDIRECT("'数据-取费表'!ab"&amp;$G$1)</f>
        <v>0</v>
      </c>
    </row>
    <row r="10" spans="1:37" ht="18" customHeight="1">
      <c r="A10" s="1005" t="s">
        <v>402</v>
      </c>
      <c r="B10" s="1273" t="s">
        <v>700</v>
      </c>
      <c r="C10" s="307">
        <f ca="1">ROUND(IF(F10="押一",C6/12*F11,IF(F10="押二",C6/12*2*F11,IF(F10="押三",C6/12*3*F11,C11*F11))),0)</f>
        <v>96</v>
      </c>
      <c r="D10" s="149" t="s">
        <v>2116</v>
      </c>
      <c r="E10" s="304" t="s">
        <v>701</v>
      </c>
      <c r="F10" s="1052" t="s">
        <v>3416</v>
      </c>
      <c r="G10" s="1291"/>
      <c r="H10" s="1005" t="s">
        <v>402</v>
      </c>
      <c r="I10" s="1273" t="s">
        <v>700</v>
      </c>
      <c r="J10" s="292">
        <f ca="1">ROUND(IF(M10="押一",J6/12*M11,IF(M10="押二",J6/12*2*M11,IF(M10="押三",J6/12*3*M11,J11*M11))),0)</f>
        <v>0</v>
      </c>
      <c r="K10" s="1284" t="s">
        <v>2118</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451293</v>
      </c>
      <c r="D13" s="1017" t="s">
        <v>705</v>
      </c>
      <c r="E13" s="1017" t="s">
        <v>706</v>
      </c>
      <c r="F13" s="1018">
        <f ca="1">INDIRECT("'数据-取费表'!y"&amp;$G$1)</f>
        <v>0.7</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468990</v>
      </c>
      <c r="D14" s="1256" t="s">
        <v>708</v>
      </c>
      <c r="E14" s="1254"/>
      <c r="F14" s="310"/>
      <c r="G14" s="1291"/>
      <c r="H14" s="927" t="s">
        <v>398</v>
      </c>
      <c r="I14" s="293" t="s">
        <v>709</v>
      </c>
      <c r="J14" s="21">
        <f ca="1">C29</f>
        <v>644704</v>
      </c>
      <c r="K14" s="12"/>
      <c r="L14" s="758"/>
      <c r="M14" s="759"/>
    </row>
    <row r="15" spans="1:37" s="1303" customFormat="1" ht="18" customHeight="1" thickBot="1">
      <c r="A15" s="927" t="s">
        <v>399</v>
      </c>
      <c r="B15" s="293" t="s">
        <v>710</v>
      </c>
      <c r="C15" s="21">
        <f ca="1">ROUND(C14*F15,0)</f>
        <v>14070</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1289</v>
      </c>
      <c r="K16" s="1023" t="s">
        <v>715</v>
      </c>
      <c r="L16" s="1024"/>
      <c r="M16" s="1008"/>
    </row>
    <row r="17" spans="1:37" s="1303" customFormat="1" ht="18" customHeight="1">
      <c r="A17" s="927" t="s">
        <v>681</v>
      </c>
      <c r="B17" s="293" t="s">
        <v>716</v>
      </c>
      <c r="C17" s="21">
        <f ca="1">ROUND(F17*(F43+INDIRECT("'数据-取费表'!S"&amp;$G$1)),0)</f>
        <v>31266</v>
      </c>
      <c r="D17" s="293" t="s">
        <v>717</v>
      </c>
      <c r="E17" s="293" t="s">
        <v>718</v>
      </c>
      <c r="F17" s="23">
        <f>'数据-取费表'!B35</f>
        <v>200</v>
      </c>
      <c r="G17" s="1302"/>
      <c r="H17" s="927" t="s">
        <v>398</v>
      </c>
      <c r="I17" s="293"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9380</v>
      </c>
      <c r="D18" s="293" t="s">
        <v>711</v>
      </c>
      <c r="E18" s="293" t="s">
        <v>712</v>
      </c>
      <c r="F18" s="313">
        <f>'数据-取费表'!B36</f>
        <v>0.02</v>
      </c>
      <c r="G18" s="1302"/>
      <c r="H18" s="927" t="s">
        <v>397</v>
      </c>
      <c r="I18" s="293" t="s">
        <v>723</v>
      </c>
      <c r="J18" s="21">
        <f ca="1">ROUND(J6*M18/(1+'数据-取费表'!C42),0)</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523706</v>
      </c>
      <c r="D19" s="122" t="s">
        <v>726</v>
      </c>
      <c r="E19" s="1268"/>
      <c r="F19" s="23"/>
      <c r="G19" s="1291"/>
      <c r="H19" s="927" t="s">
        <v>399</v>
      </c>
      <c r="I19" s="293" t="s">
        <v>727</v>
      </c>
      <c r="J19" s="21">
        <f ca="1">IF(K19="按租金收入计税",ROUND(J6*M19/(1+'数据-取费表'!C42),0),ROUND(C29*M19*0.7,0))</f>
        <v>0</v>
      </c>
      <c r="K19" s="1277" t="s">
        <v>3334</v>
      </c>
      <c r="L19" s="293" t="s">
        <v>712</v>
      </c>
      <c r="M19" s="313">
        <f>IF(K19="按租金收入计税",'数据-取费表'!B51,'数据-取费表'!B50)</f>
        <v>0.12</v>
      </c>
    </row>
    <row r="20" spans="1:37" s="1303" customFormat="1" ht="18" customHeight="1">
      <c r="A20" s="927" t="s">
        <v>402</v>
      </c>
      <c r="B20" s="293" t="s">
        <v>728</v>
      </c>
      <c r="C20" s="21">
        <f ca="1">ROUND(C19*F20,0)</f>
        <v>10474</v>
      </c>
      <c r="D20" s="314" t="s">
        <v>729</v>
      </c>
      <c r="E20" s="293" t="s">
        <v>712</v>
      </c>
      <c r="F20" s="313">
        <f>'数据-取费表'!B37</f>
        <v>0.02</v>
      </c>
      <c r="G20" s="1302"/>
      <c r="H20" s="927" t="s">
        <v>680</v>
      </c>
      <c r="I20" s="146" t="s">
        <v>730</v>
      </c>
      <c r="J20" s="22">
        <f ca="1">ROUND(M20*M21,0)</f>
        <v>0</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8"/>
      <c r="F22" s="23"/>
      <c r="G22" s="1291"/>
      <c r="H22" s="927" t="s">
        <v>402</v>
      </c>
      <c r="I22" s="293" t="s">
        <v>738</v>
      </c>
      <c r="J22" s="21">
        <f ca="1">ROUND(J14*M22,0)</f>
        <v>1289</v>
      </c>
      <c r="K22" s="1255" t="s">
        <v>739</v>
      </c>
      <c r="L22" s="293" t="s">
        <v>712</v>
      </c>
      <c r="M22" s="319">
        <f ca="1">INDIRECT("'数据-取费表'!Ak"&amp;$G$1)</f>
        <v>2E-3</v>
      </c>
    </row>
    <row r="23" spans="1:37" s="1303" customFormat="1" ht="18" customHeight="1">
      <c r="A23" s="927" t="s">
        <v>397</v>
      </c>
      <c r="B23" s="293" t="s">
        <v>740</v>
      </c>
      <c r="C23" s="21">
        <f ca="1">IF('数据-取费表'!B22&lt;=1,ROUND(C19*F24*F23/2,0)+ROUND(C20*F24*F23/2,0),ROUND(C19*(POWER((1+F24),F23/2)-1),0)+ROUND(C20*(POWER((1+F24),F23/2)-1),0))</f>
        <v>8947</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f ca="1">ROUND(J13*M23,0)</f>
        <v>0</v>
      </c>
      <c r="K23" s="1255" t="s">
        <v>743</v>
      </c>
      <c r="L23" s="293" t="s">
        <v>712</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399</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3.3500000000000002E-2</v>
      </c>
      <c r="G24" s="1302"/>
      <c r="H24" s="1025" t="s">
        <v>683</v>
      </c>
      <c r="I24" s="1026" t="s">
        <v>728</v>
      </c>
      <c r="J24" s="1027">
        <f ca="1">ROUND(J5*M24,0)</f>
        <v>0</v>
      </c>
      <c r="K24" s="1028" t="s">
        <v>748</v>
      </c>
      <c r="L24" s="1026" t="s">
        <v>712</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-1289</v>
      </c>
      <c r="K25" s="1031" t="s">
        <v>753</v>
      </c>
      <c r="L25" s="1032"/>
      <c r="M25" s="1033"/>
    </row>
    <row r="26" spans="1:37" ht="18" customHeight="1">
      <c r="A26" s="927" t="s">
        <v>397</v>
      </c>
      <c r="B26" s="293" t="s">
        <v>754</v>
      </c>
      <c r="C26" s="21">
        <f ca="1">ROUND((C19+C20)*F26,0)</f>
        <v>53418</v>
      </c>
      <c r="D26" s="314" t="s">
        <v>755</v>
      </c>
      <c r="E26" s="304" t="s">
        <v>756</v>
      </c>
      <c r="F26" s="303">
        <f ca="1">INDIRECT("'数据-取费表'!q"&amp;$G$1)</f>
        <v>0.1</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2E-3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644704</v>
      </c>
      <c r="D29" s="1028"/>
      <c r="E29" s="1026"/>
      <c r="F29" s="1029"/>
      <c r="G29" s="1302"/>
      <c r="H29" s="324" t="s">
        <v>396</v>
      </c>
      <c r="I29" s="325" t="s">
        <v>768</v>
      </c>
      <c r="J29" s="326">
        <f ca="1">ROUND(J26/(1+F40)^F41,0)</f>
        <v>0</v>
      </c>
      <c r="K29" s="327" t="s">
        <v>769</v>
      </c>
      <c r="L29" s="328"/>
      <c r="M29" s="329">
        <f ca="1">INDIRECT("'数据-取费表'!k"&amp;$G$1)</f>
        <v>156.33000000000001</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7261</v>
      </c>
      <c r="D30" s="1023" t="s">
        <v>715</v>
      </c>
      <c r="E30" s="1024"/>
      <c r="F30" s="1008"/>
      <c r="G30" s="1291"/>
      <c r="H30" s="2468"/>
      <c r="I30" s="1304"/>
      <c r="J30" s="1305"/>
      <c r="K30" s="120"/>
      <c r="L30" s="2469"/>
      <c r="M30" s="2470"/>
    </row>
    <row r="31" spans="1:37" ht="18" customHeight="1">
      <c r="A31" s="927" t="s">
        <v>398</v>
      </c>
      <c r="B31" s="293" t="s">
        <v>719</v>
      </c>
      <c r="C31" s="2139">
        <f ca="1">ROUND(IF(AND(项目基本情况!B11="自然人",项目基本情况!B10="北京市"),C6*F31/(1+'数据-取费表'!C42),C32+C33+C34),0)</f>
        <v>5135</v>
      </c>
      <c r="D31" s="1256" t="s">
        <v>720</v>
      </c>
      <c r="E31" s="1255" t="s">
        <v>770</v>
      </c>
      <c r="F31" s="2138">
        <f ca="1">IF(项目基本情况!B11="企业","——",IF(M47="住宅",IF(F6*F7*F8/12/(1+'数据-取费表'!F30)&gt;100000,4%,2.5%),IF(F6*F7*F8/12/(1+'数据-取费表'!F30)&gt;100000,12%,7%)))</f>
        <v>7.0000000000000007E-2</v>
      </c>
      <c r="G31" s="1291"/>
      <c r="H31" s="2567" t="s">
        <v>2306</v>
      </c>
      <c r="I31" s="1304"/>
      <c r="J31" s="1305"/>
      <c r="K31" s="120"/>
      <c r="L31" s="2469"/>
      <c r="M31" s="2470"/>
    </row>
    <row r="32" spans="1:37" ht="18" customHeight="1">
      <c r="A32" s="927" t="s">
        <v>397</v>
      </c>
      <c r="B32" s="293" t="s">
        <v>723</v>
      </c>
      <c r="C32" s="21" t="str">
        <f>IF(项目基本情况!B11="自然人","——",ROUND(C6*F32/(1+'数据-取费表'!C42),0))</f>
        <v>——</v>
      </c>
      <c r="D32" s="1255" t="s">
        <v>724</v>
      </c>
      <c r="E32" s="293" t="s">
        <v>712</v>
      </c>
      <c r="F32" s="321">
        <f>'数据-取费表'!B41</f>
        <v>5.5000000000000007E-2</v>
      </c>
      <c r="G32" s="1291"/>
      <c r="H32" s="2468"/>
      <c r="I32" s="1304"/>
      <c r="J32" s="1305"/>
      <c r="K32" s="120"/>
      <c r="L32" s="2469"/>
      <c r="M32" s="2470"/>
    </row>
    <row r="33" spans="1:18" ht="18" customHeight="1">
      <c r="A33" s="927" t="s">
        <v>399</v>
      </c>
      <c r="B33" s="293" t="s">
        <v>727</v>
      </c>
      <c r="C33" s="21" t="str">
        <f ca="1">IF(项目基本情况!B11="自然人","——",IF(D33="按租金收入计税",ROUND(C6*F33/(1+'数据-取费表'!C42),0),IF(D33="按房产原值计税",ROUND(C29*F33*0.7,0),INDIRECT("'数据-取费表'!Aj"&amp;$G$1))))</f>
        <v>——</v>
      </c>
      <c r="D33" s="1277" t="s">
        <v>3334</v>
      </c>
      <c r="E33" s="293" t="s">
        <v>712</v>
      </c>
      <c r="F33" s="313">
        <f>IF(D33="按票据","——",IF(D33="按租金收入计税",'数据-取费表'!B51,'数据-取费表'!B50))</f>
        <v>0.12</v>
      </c>
      <c r="G33" s="1291"/>
      <c r="H33" s="2471"/>
      <c r="I33" s="1304"/>
      <c r="J33" s="1305"/>
      <c r="K33" s="2472"/>
      <c r="L33" s="2471"/>
      <c r="M33" s="2471"/>
    </row>
    <row r="34" spans="1:18" ht="18" customHeight="1">
      <c r="A34" s="1005" t="s">
        <v>680</v>
      </c>
      <c r="B34" s="146" t="s">
        <v>730</v>
      </c>
      <c r="C34" s="22" t="str">
        <f>IF(项目基本情况!B11="自然人","——",ROUND(F34*F35,0))</f>
        <v>——</v>
      </c>
      <c r="D34" s="315" t="s">
        <v>731</v>
      </c>
      <c r="E34" s="293" t="s">
        <v>732</v>
      </c>
      <c r="F34" s="316">
        <f>'数据-取费表'!B52</f>
        <v>1.5</v>
      </c>
      <c r="G34" s="1291"/>
      <c r="H34" s="2468"/>
      <c r="I34" s="1304"/>
      <c r="J34" s="1305"/>
      <c r="K34" s="2473"/>
      <c r="L34" s="2474"/>
      <c r="M34" s="2474"/>
    </row>
    <row r="35" spans="1:18" ht="18" customHeight="1">
      <c r="A35" s="1039"/>
      <c r="B35" s="1037"/>
      <c r="C35" s="26"/>
      <c r="D35" s="318"/>
      <c r="E35" s="293" t="s">
        <v>736</v>
      </c>
      <c r="F35" s="294">
        <f ca="1">INDIRECT("'数据-取费表'!r"&amp;$G$1)</f>
        <v>0</v>
      </c>
      <c r="G35" s="1291"/>
      <c r="H35" s="2468"/>
      <c r="I35" s="1304"/>
      <c r="J35" s="1305"/>
      <c r="K35" s="2472"/>
      <c r="L35" s="2471"/>
      <c r="M35" s="2471"/>
    </row>
    <row r="36" spans="1:18" ht="18" customHeight="1">
      <c r="A36" s="1038" t="s">
        <v>402</v>
      </c>
      <c r="B36" s="293" t="s">
        <v>738</v>
      </c>
      <c r="C36" s="21">
        <f ca="1">ROUND(C29*F36,0)</f>
        <v>1289</v>
      </c>
      <c r="D36" s="1255" t="s">
        <v>771</v>
      </c>
      <c r="E36" s="293" t="s">
        <v>712</v>
      </c>
      <c r="F36" s="319">
        <f ca="1">INDIRECT("'数据-取费表'!Ak"&amp;$G$1)</f>
        <v>2E-3</v>
      </c>
      <c r="G36" s="1291"/>
      <c r="H36" s="2471"/>
      <c r="I36" s="1304"/>
      <c r="J36" s="1305"/>
      <c r="K36" s="2329"/>
      <c r="L36" s="2471"/>
      <c r="M36" s="2471"/>
    </row>
    <row r="37" spans="1:18" ht="18" customHeight="1">
      <c r="A37" s="927" t="s">
        <v>437</v>
      </c>
      <c r="B37" s="293" t="s">
        <v>742</v>
      </c>
      <c r="C37" s="21">
        <f ca="1">ROUND(C13*F37,0)</f>
        <v>451</v>
      </c>
      <c r="D37" s="1255" t="s">
        <v>743</v>
      </c>
      <c r="E37" s="293" t="s">
        <v>712</v>
      </c>
      <c r="F37" s="320">
        <f ca="1">INDIRECT("'数据-取费表'!Al"&amp;$G$1)</f>
        <v>1E-3</v>
      </c>
      <c r="G37" s="1291"/>
      <c r="H37" s="2471"/>
      <c r="I37" s="1304"/>
      <c r="J37" s="1305"/>
      <c r="K37" s="2329"/>
      <c r="L37" s="2471"/>
      <c r="M37" s="2471"/>
    </row>
    <row r="38" spans="1:18" ht="18" customHeight="1" thickBot="1">
      <c r="A38" s="1025" t="s">
        <v>683</v>
      </c>
      <c r="B38" s="1026" t="s">
        <v>728</v>
      </c>
      <c r="C38" s="1027">
        <f ca="1">ROUND(C5*F38,0)</f>
        <v>386</v>
      </c>
      <c r="D38" s="1028" t="s">
        <v>748</v>
      </c>
      <c r="E38" s="1026" t="s">
        <v>712</v>
      </c>
      <c r="F38" s="1022">
        <f ca="1">INDIRECT("'数据-取费表'!Am"&amp;$G$1)</f>
        <v>5.0000000000000001E-3</v>
      </c>
      <c r="G38" s="1291"/>
      <c r="H38" s="2471"/>
      <c r="I38" s="1304"/>
      <c r="J38" s="1305"/>
      <c r="K38" s="2469"/>
      <c r="L38" s="2471"/>
      <c r="M38" s="2471"/>
    </row>
    <row r="39" spans="1:18" ht="24.6" customHeight="1" thickTop="1">
      <c r="A39" s="1015" t="s">
        <v>394</v>
      </c>
      <c r="B39" s="1030" t="s">
        <v>752</v>
      </c>
      <c r="C39" s="301">
        <f ca="1">C5-C30</f>
        <v>69867</v>
      </c>
      <c r="D39" s="1031" t="s">
        <v>753</v>
      </c>
      <c r="E39" s="1032"/>
      <c r="F39" s="1033"/>
      <c r="G39" s="1291"/>
      <c r="H39" s="2471"/>
      <c r="I39" s="1304"/>
      <c r="J39" s="1305"/>
      <c r="K39" s="2469"/>
      <c r="L39" s="2471"/>
      <c r="M39" s="2471"/>
    </row>
    <row r="40" spans="1:18" ht="18" customHeight="1">
      <c r="A40" s="290" t="s">
        <v>395</v>
      </c>
      <c r="B40" s="291" t="s">
        <v>774</v>
      </c>
      <c r="C40" s="292">
        <f ca="1">ROUND(C39*(1-((1+F42)/(1+F40))^F41)/(F40-F42),0)</f>
        <v>871297</v>
      </c>
      <c r="D40" s="315" t="s">
        <v>758</v>
      </c>
      <c r="E40" s="293" t="s">
        <v>759</v>
      </c>
      <c r="F40" s="303">
        <f ca="1">INDIRECT("'数据-取费表'!I"&amp;$G$1)</f>
        <v>5.5E-2</v>
      </c>
      <c r="G40" s="1291"/>
      <c r="H40" s="1365"/>
      <c r="I40" s="1304"/>
      <c r="J40" s="1305"/>
      <c r="K40" s="2469"/>
      <c r="L40" s="1365"/>
      <c r="M40" s="1365"/>
    </row>
    <row r="41" spans="1:18" ht="18" customHeight="1">
      <c r="A41" s="295"/>
      <c r="B41" s="296"/>
      <c r="C41" s="297"/>
      <c r="D41" s="322" t="s">
        <v>775</v>
      </c>
      <c r="E41" s="293" t="s">
        <v>763</v>
      </c>
      <c r="F41" s="323">
        <f ca="1">IF(INDIRECT("'数据-取费表'!af"&amp;$G$1)=0,INDIRECT("'数据-取费表'!ae"&amp;$G$1),INDIRECT("'数据-取费表'!af"&amp;$G$1))</f>
        <v>17</v>
      </c>
      <c r="G41" s="1291"/>
      <c r="H41" s="120">
        <f ca="1">C39/C5</f>
        <v>0.90585779483456075</v>
      </c>
      <c r="I41" s="1304"/>
      <c r="J41" s="1305"/>
      <c r="K41" s="2329"/>
      <c r="L41" s="120"/>
      <c r="M41" s="120"/>
    </row>
    <row r="42" spans="1:18" ht="18" customHeight="1">
      <c r="A42" s="299"/>
      <c r="B42" s="300"/>
      <c r="C42" s="301"/>
      <c r="D42" s="318"/>
      <c r="E42" s="293" t="s">
        <v>766</v>
      </c>
      <c r="F42" s="303">
        <f ca="1">INDIRECT("'数据-取费表'!v"&amp;$G$1)</f>
        <v>0.02</v>
      </c>
      <c r="G42" s="1291"/>
      <c r="H42" s="120"/>
      <c r="I42" s="1304"/>
      <c r="J42" s="1305"/>
      <c r="K42" s="2329"/>
      <c r="L42" s="120"/>
      <c r="M42" s="120"/>
    </row>
    <row r="43" spans="1:18" ht="18" customHeight="1" thickBot="1">
      <c r="A43" s="324" t="s">
        <v>396</v>
      </c>
      <c r="B43" s="325" t="s">
        <v>776</v>
      </c>
      <c r="C43" s="326">
        <f ca="1">ROUND(C40/F43,0)</f>
        <v>5573</v>
      </c>
      <c r="D43" s="327" t="s">
        <v>777</v>
      </c>
      <c r="E43" s="328" t="s">
        <v>778</v>
      </c>
      <c r="F43" s="329">
        <f ca="1">INDIRECT("'数据-取费表'!k"&amp;$G$1)</f>
        <v>156.33000000000001</v>
      </c>
      <c r="G43" s="1291"/>
      <c r="H43" s="120"/>
      <c r="I43" s="120"/>
      <c r="J43" s="120"/>
      <c r="K43" s="2329"/>
      <c r="L43" s="120"/>
      <c r="M43" s="120"/>
    </row>
    <row r="44" spans="1:18" s="1291" customFormat="1" ht="18" customHeight="1">
      <c r="A44" s="1306"/>
      <c r="B44" s="1306"/>
      <c r="C44" s="1307"/>
      <c r="D44" s="1306"/>
      <c r="E44" s="1306"/>
      <c r="F44" s="1306"/>
      <c r="K44" s="1308"/>
    </row>
    <row r="45" spans="1:18" s="1291" customFormat="1" ht="18" customHeight="1" thickBot="1">
      <c r="A45" s="3127" t="s">
        <v>3350</v>
      </c>
      <c r="B45" s="1306"/>
      <c r="C45" s="1375">
        <f ca="1">ROUND((C68-C40)/10000,4)</f>
        <v>-89.020099999999999</v>
      </c>
      <c r="D45" s="3128" t="s">
        <v>3351</v>
      </c>
      <c r="E45" s="1306"/>
      <c r="F45" s="1306"/>
      <c r="O45" s="1309" t="s">
        <v>808</v>
      </c>
      <c r="P45" s="1365"/>
      <c r="Q45" s="1365"/>
      <c r="R45" s="1365"/>
    </row>
    <row r="46" spans="1:18" s="1291" customFormat="1" ht="13.8" thickBot="1">
      <c r="A46" s="1310" t="s">
        <v>809</v>
      </c>
      <c r="C46" s="1311">
        <f ca="1">ROUND(C45,0)</f>
        <v>-89</v>
      </c>
      <c r="D46" s="1312" t="str">
        <f>C2</f>
        <v>万元</v>
      </c>
      <c r="I46" s="1313" t="s">
        <v>810</v>
      </c>
      <c r="J46" s="1314"/>
      <c r="K46" s="1315"/>
      <c r="L46" s="1316">
        <f ca="1">IF(M47="住宅",0,IF(L48&gt;J51,L60,J60))</f>
        <v>75418</v>
      </c>
      <c r="O46" s="1317" t="s">
        <v>811</v>
      </c>
      <c r="P46" s="1318" t="s">
        <v>812</v>
      </c>
      <c r="Q46" s="1319" t="s">
        <v>813</v>
      </c>
      <c r="R46" s="1319" t="s">
        <v>814</v>
      </c>
    </row>
    <row r="47" spans="1:18" s="1291" customFormat="1" ht="13.8" thickBot="1">
      <c r="A47" s="891" t="s">
        <v>687</v>
      </c>
      <c r="B47" s="923" t="s">
        <v>688</v>
      </c>
      <c r="C47" s="923" t="s">
        <v>689</v>
      </c>
      <c r="D47" s="923" t="s">
        <v>690</v>
      </c>
      <c r="E47" s="994" t="s">
        <v>691</v>
      </c>
      <c r="F47" s="995"/>
      <c r="G47" s="680"/>
      <c r="I47" s="1320" t="s">
        <v>815</v>
      </c>
      <c r="J47" s="1321" t="s">
        <v>3417</v>
      </c>
      <c r="K47" s="1322" t="s">
        <v>816</v>
      </c>
      <c r="L47" s="1323">
        <f ca="1">INDIRECT("'数据-取费表'!d"&amp;$G$1)</f>
        <v>40</v>
      </c>
      <c r="M47" s="1287" t="str">
        <f>IF(ISNUMBER(FIND("住宅",C1)),"住宅","非住宅")</f>
        <v>非住宅</v>
      </c>
      <c r="O47" s="1324" t="s">
        <v>403</v>
      </c>
      <c r="P47" s="1325" t="s">
        <v>817</v>
      </c>
      <c r="Q47" s="1326">
        <f ca="1">C40+J29</f>
        <v>871297</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t="s">
        <v>3418</v>
      </c>
      <c r="K48" s="1329" t="s">
        <v>820</v>
      </c>
      <c r="L48" s="1330">
        <f ca="1">INDIRECT("'数据-取费表'!f"&amp;$G$1)</f>
        <v>17</v>
      </c>
      <c r="O48" s="1324" t="s">
        <v>404</v>
      </c>
      <c r="P48" s="1325" t="s">
        <v>821</v>
      </c>
      <c r="Q48" s="1326">
        <f ca="1">J60</f>
        <v>75418</v>
      </c>
      <c r="R48" s="1326" t="s">
        <v>822</v>
      </c>
    </row>
    <row r="49" spans="1:18" s="1291" customFormat="1" ht="13.8" thickBot="1">
      <c r="A49" s="920" t="s">
        <v>439</v>
      </c>
      <c r="B49" s="1278" t="s">
        <v>779</v>
      </c>
      <c r="C49" s="1050">
        <f ca="1">ROUND(F49*F51*F50*(1-F52),0)</f>
        <v>0</v>
      </c>
      <c r="D49" s="991" t="s">
        <v>695</v>
      </c>
      <c r="E49" s="1279" t="s">
        <v>780</v>
      </c>
      <c r="F49" s="996"/>
      <c r="H49" s="681"/>
      <c r="I49" s="1327" t="s">
        <v>823</v>
      </c>
      <c r="J49" s="1331">
        <f>'数据-取费表'!N19</f>
        <v>2002</v>
      </c>
      <c r="K49" s="1329" t="s">
        <v>824</v>
      </c>
      <c r="L49" s="1332"/>
      <c r="O49" s="1333" t="s">
        <v>405</v>
      </c>
      <c r="P49" s="1325" t="s">
        <v>825</v>
      </c>
      <c r="Q49" s="1326">
        <f ca="1">C29</f>
        <v>644704</v>
      </c>
      <c r="R49" s="1326" t="s">
        <v>818</v>
      </c>
    </row>
    <row r="50" spans="1:18" s="1291" customFormat="1" ht="13.8" thickBot="1">
      <c r="A50" s="921"/>
      <c r="B50" s="924"/>
      <c r="C50" s="925"/>
      <c r="D50" s="898"/>
      <c r="E50" s="992" t="s">
        <v>697</v>
      </c>
      <c r="F50" s="993">
        <f ca="1">F7</f>
        <v>156.33000000000001</v>
      </c>
      <c r="H50" s="681"/>
      <c r="I50" s="1327" t="s">
        <v>826</v>
      </c>
      <c r="J50" s="1334">
        <f>SUMPRODUCT((I63:I65=J47)*(J62:L62=J48)*(J63:L65))</f>
        <v>50</v>
      </c>
      <c r="K50" s="1329" t="s">
        <v>827</v>
      </c>
      <c r="L50" s="1332"/>
      <c r="M50" s="1335"/>
      <c r="O50" s="1333" t="s">
        <v>406</v>
      </c>
      <c r="P50" s="1325" t="s">
        <v>828</v>
      </c>
      <c r="Q50" s="1336">
        <f ca="1">J58</f>
        <v>0.4</v>
      </c>
      <c r="R50" s="1326"/>
    </row>
    <row r="51" spans="1:18" s="1291" customFormat="1" ht="13.8" thickBot="1">
      <c r="A51" s="922"/>
      <c r="B51" s="924"/>
      <c r="C51" s="925"/>
      <c r="D51" s="898"/>
      <c r="E51" s="926" t="s">
        <v>698</v>
      </c>
      <c r="F51" s="294">
        <f ca="1">F8</f>
        <v>365</v>
      </c>
      <c r="I51" s="1337" t="s">
        <v>829</v>
      </c>
      <c r="J51" s="1330">
        <f>IF(J49="",J50,J49+J50-YEAR('数据-取费表'!B2))</f>
        <v>28</v>
      </c>
      <c r="K51" s="1338" t="s">
        <v>830</v>
      </c>
      <c r="L51" s="1339">
        <f ca="1">ROUND(-PV(INDIRECT("'数据-取费表'!h"&amp;$G$1),J51,(C39-C13*C76),0),0)</f>
        <v>570248</v>
      </c>
      <c r="M51" s="1340"/>
      <c r="O51" s="1333" t="s">
        <v>407</v>
      </c>
      <c r="P51" s="1325" t="s">
        <v>831</v>
      </c>
      <c r="Q51" s="1336">
        <f>J52</f>
        <v>7.4999999999999997E-2</v>
      </c>
      <c r="R51" s="1326"/>
    </row>
    <row r="52" spans="1:18" s="1291" customFormat="1" ht="13.8" thickBot="1">
      <c r="A52" s="922"/>
      <c r="B52" s="924"/>
      <c r="C52" s="925"/>
      <c r="D52" s="898"/>
      <c r="E52" s="926" t="s">
        <v>699</v>
      </c>
      <c r="F52" s="990"/>
      <c r="I52" s="1341" t="s">
        <v>832</v>
      </c>
      <c r="J52" s="1342">
        <v>7.4999999999999997E-2</v>
      </c>
      <c r="K52" s="1341" t="s">
        <v>833</v>
      </c>
      <c r="L52" s="1342"/>
      <c r="O52" s="1333" t="s">
        <v>408</v>
      </c>
      <c r="P52" s="1325" t="s">
        <v>834</v>
      </c>
      <c r="Q52" s="1326">
        <f ca="1">J53</f>
        <v>17</v>
      </c>
      <c r="R52" s="1326" t="s">
        <v>835</v>
      </c>
    </row>
    <row r="53" spans="1:18" s="1291" customFormat="1" ht="30.75" customHeight="1" thickBot="1">
      <c r="A53" s="1047" t="s">
        <v>440</v>
      </c>
      <c r="B53" s="314" t="s">
        <v>700</v>
      </c>
      <c r="C53" s="307">
        <f ca="1">ROUND(IF(F53="押一",C49/12*F11,IF(F53="押二",C49/12*2*F11,IF(F53="押三",C49/12*3*F11,C54*F11))),0)</f>
        <v>0</v>
      </c>
      <c r="D53" s="149" t="s">
        <v>2119</v>
      </c>
      <c r="E53" s="304" t="s">
        <v>701</v>
      </c>
      <c r="F53" s="1052"/>
      <c r="I53" s="1343" t="s">
        <v>836</v>
      </c>
      <c r="J53" s="2005">
        <f ca="1">IF(M47="住宅",IF(D1="——",MAX(J51,L48),MAX(J51,L48-'数据-取费表'!B24)),IF(D1="——",MIN(J51,L48),MIN(J51,L48-'数据-取费表'!B24)))</f>
        <v>17</v>
      </c>
      <c r="K53" s="3284" t="s">
        <v>837</v>
      </c>
      <c r="L53" s="3285"/>
      <c r="O53" s="1324" t="s">
        <v>409</v>
      </c>
      <c r="P53" s="1325" t="s">
        <v>838</v>
      </c>
      <c r="Q53" s="1326">
        <f ca="1">Q47+Q48</f>
        <v>946715</v>
      </c>
      <c r="R53" s="1326" t="s">
        <v>410</v>
      </c>
    </row>
    <row r="54" spans="1:18" s="1291" customFormat="1" ht="13.8"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f ca="1">ROUND(IF(J47="钢混",J57/J50,1-(1-2%)*(J50-J57)/J50),3)</f>
        <v>0.23599999999999999</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451293</v>
      </c>
      <c r="D56" s="1351"/>
      <c r="E56" s="1352"/>
      <c r="F56" s="1344"/>
      <c r="I56" s="1353" t="s">
        <v>842</v>
      </c>
      <c r="J56" s="1354" t="s">
        <v>3419</v>
      </c>
      <c r="K56" s="1327" t="s">
        <v>843</v>
      </c>
      <c r="L56" s="1330" t="str">
        <f ca="1">IF(L48&lt;J51,"——",L48-J51)</f>
        <v>——</v>
      </c>
      <c r="O56" s="1324" t="s">
        <v>403</v>
      </c>
      <c r="P56" s="1325" t="s">
        <v>817</v>
      </c>
      <c r="Q56" s="1326">
        <f ca="1">C40+J29</f>
        <v>871297</v>
      </c>
      <c r="R56" s="1326" t="s">
        <v>818</v>
      </c>
    </row>
    <row r="57" spans="1:18" s="1291" customFormat="1" ht="24.6" thickBot="1">
      <c r="A57" s="1355"/>
      <c r="B57" s="895" t="s">
        <v>767</v>
      </c>
      <c r="C57" s="229">
        <f ca="1">C29</f>
        <v>644704</v>
      </c>
      <c r="D57" s="1356"/>
      <c r="E57" s="1357"/>
      <c r="F57" s="1358"/>
      <c r="I57" s="1359" t="s">
        <v>844</v>
      </c>
      <c r="J57" s="1360">
        <f ca="1">IF(OR(M47="住宅",J51&lt;L48,J56="是"),"——",J51-L48)</f>
        <v>11</v>
      </c>
      <c r="K57" s="1327" t="s">
        <v>892</v>
      </c>
      <c r="L57" s="1330" t="str">
        <f ca="1">IF(L48&lt;J51,"——",IF(L55="比较法",L49,IF(L55="基准地价",L50,L51)))</f>
        <v>——</v>
      </c>
      <c r="O57" s="1324" t="s">
        <v>404</v>
      </c>
      <c r="P57" s="1325" t="s">
        <v>846</v>
      </c>
      <c r="Q57" s="1326">
        <f ca="1">L60</f>
        <v>0</v>
      </c>
      <c r="R57" s="1326" t="s">
        <v>847</v>
      </c>
    </row>
    <row r="58" spans="1:18" s="1291" customFormat="1" ht="24.6" thickBot="1">
      <c r="A58" s="306" t="s">
        <v>393</v>
      </c>
      <c r="B58" s="903" t="s">
        <v>714</v>
      </c>
      <c r="C58" s="307">
        <f ca="1">ROUND(C59+C64+C65+C66,0)</f>
        <v>1740</v>
      </c>
      <c r="D58" s="905" t="s">
        <v>715</v>
      </c>
      <c r="E58" s="906"/>
      <c r="F58" s="907"/>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f ca="1">IF(OR(M47="住宅",J51&lt;L48,J56="是"),"——",ROUND(C29*J58,0))</f>
        <v>257882</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t="str">
        <f>IF(项目基本情况!B11="自然人","——",ROUND(C48*F60/(1+'数据-取费表'!C42),0))</f>
        <v>——</v>
      </c>
      <c r="D60" s="909" t="s">
        <v>724</v>
      </c>
      <c r="E60" s="895" t="s">
        <v>712</v>
      </c>
      <c r="F60" s="321">
        <f t="shared" ref="F60:F66" si="0">F32</f>
        <v>5.5000000000000007E-2</v>
      </c>
      <c r="I60" s="1362" t="s">
        <v>853</v>
      </c>
      <c r="J60" s="1363">
        <f ca="1">IF(OR(M47="住宅",J51&lt;L48,J56="是"),"0",ROUND(J59/(1+J52)^J53,0))</f>
        <v>75418</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727</v>
      </c>
      <c r="C61" s="21" t="str">
        <f ca="1">IF(项目基本情况!B11="自然人","——",IF(D61="按租金收入计税",ROUND(C49*F61/(1+'数据-取费表'!C42),0),IF(D61="按房产原值计税",ROUND(C57*F61*0.7,0),INDIRECT("'数据-取费表'!Aj"&amp;$G$1))))</f>
        <v>——</v>
      </c>
      <c r="D61" s="1277" t="s">
        <v>3334</v>
      </c>
      <c r="E61" s="895" t="s">
        <v>712</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730</v>
      </c>
      <c r="C62" s="22" t="str">
        <f>IF(项目基本情况!B11="自然人","——",ROUND(F62*F63,0))</f>
        <v>——</v>
      </c>
      <c r="D62" s="910" t="s">
        <v>731</v>
      </c>
      <c r="E62" s="895" t="s">
        <v>732</v>
      </c>
      <c r="F62" s="316">
        <f t="shared" si="0"/>
        <v>1.5</v>
      </c>
      <c r="I62" s="1366" t="s">
        <v>858</v>
      </c>
      <c r="J62" s="609" t="s">
        <v>859</v>
      </c>
      <c r="K62" s="609" t="s">
        <v>860</v>
      </c>
      <c r="L62" s="609" t="s">
        <v>861</v>
      </c>
      <c r="M62" s="1367" t="s">
        <v>862</v>
      </c>
      <c r="O62" s="1324" t="s">
        <v>409</v>
      </c>
      <c r="P62" s="1325" t="s">
        <v>838</v>
      </c>
      <c r="Q62" s="1326">
        <f ca="1">Q56+Q57</f>
        <v>871297</v>
      </c>
      <c r="R62" s="1326" t="s">
        <v>410</v>
      </c>
    </row>
    <row r="63" spans="1:18" s="1291" customFormat="1" ht="13.8" thickBot="1">
      <c r="A63" s="317"/>
      <c r="B63" s="901"/>
      <c r="C63" s="26"/>
      <c r="D63" s="911"/>
      <c r="E63" s="895" t="s">
        <v>736</v>
      </c>
      <c r="F63" s="294">
        <f t="shared" ca="1" si="0"/>
        <v>0</v>
      </c>
      <c r="I63" s="1366" t="s">
        <v>864</v>
      </c>
      <c r="J63" s="609">
        <v>70</v>
      </c>
      <c r="K63" s="609">
        <v>50</v>
      </c>
      <c r="L63" s="609">
        <v>80</v>
      </c>
      <c r="M63" s="1368">
        <v>0.02</v>
      </c>
      <c r="O63" s="1309" t="s">
        <v>865</v>
      </c>
      <c r="P63" s="1288"/>
      <c r="Q63" s="1288"/>
      <c r="R63" s="1288"/>
    </row>
    <row r="64" spans="1:18" s="1291" customFormat="1" ht="13.8" thickBot="1">
      <c r="A64" s="927" t="s">
        <v>402</v>
      </c>
      <c r="B64" s="895" t="s">
        <v>738</v>
      </c>
      <c r="C64" s="21">
        <f ca="1">ROUND(C57*F64,0)</f>
        <v>1289</v>
      </c>
      <c r="D64" s="909" t="s">
        <v>771</v>
      </c>
      <c r="E64" s="895" t="s">
        <v>712</v>
      </c>
      <c r="F64" s="319">
        <f t="shared" ca="1" si="0"/>
        <v>2E-3</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ROUND(C56*F65,0)</f>
        <v>451</v>
      </c>
      <c r="D65" s="909" t="s">
        <v>743</v>
      </c>
      <c r="E65" s="895" t="s">
        <v>712</v>
      </c>
      <c r="F65" s="320">
        <f t="shared" ca="1" si="0"/>
        <v>1E-3</v>
      </c>
      <c r="I65" s="1366" t="s">
        <v>867</v>
      </c>
      <c r="J65" s="609">
        <v>40</v>
      </c>
      <c r="K65" s="609">
        <v>30</v>
      </c>
      <c r="L65" s="609">
        <v>50</v>
      </c>
      <c r="M65" s="1368">
        <v>0.02</v>
      </c>
      <c r="O65" s="1324" t="s">
        <v>403</v>
      </c>
      <c r="P65" s="1325" t="s">
        <v>817</v>
      </c>
      <c r="Q65" s="1326">
        <f ca="1">C40+J29</f>
        <v>871297</v>
      </c>
      <c r="R65" s="1326" t="s">
        <v>818</v>
      </c>
    </row>
    <row r="66" spans="1:18" s="1291" customFormat="1" ht="16.2" thickBot="1">
      <c r="A66" s="927" t="s">
        <v>793</v>
      </c>
      <c r="B66" s="895" t="s">
        <v>728</v>
      </c>
      <c r="C66" s="21">
        <f ca="1">ROUND(C48*F66,0)</f>
        <v>0</v>
      </c>
      <c r="D66" s="909" t="s">
        <v>748</v>
      </c>
      <c r="E66" s="895" t="s">
        <v>712</v>
      </c>
      <c r="F66" s="303">
        <f t="shared" ca="1" si="0"/>
        <v>5.0000000000000001E-3</v>
      </c>
      <c r="O66" s="1324" t="s">
        <v>404</v>
      </c>
      <c r="P66" s="1325" t="s">
        <v>846</v>
      </c>
      <c r="Q66" s="1326">
        <f ca="1">L60</f>
        <v>0</v>
      </c>
      <c r="R66" s="1326" t="s">
        <v>869</v>
      </c>
    </row>
    <row r="67" spans="1:18" s="1291" customFormat="1" ht="24.6" thickBot="1">
      <c r="A67" s="902" t="s">
        <v>394</v>
      </c>
      <c r="B67" s="912" t="s">
        <v>752</v>
      </c>
      <c r="C67" s="307">
        <f ca="1">C48-C58</f>
        <v>-1740</v>
      </c>
      <c r="D67" s="908" t="s">
        <v>753</v>
      </c>
      <c r="E67" s="913"/>
      <c r="F67" s="914"/>
      <c r="O67" s="1333" t="s">
        <v>405</v>
      </c>
      <c r="P67" s="1325" t="s">
        <v>850</v>
      </c>
      <c r="Q67" s="1369">
        <f ca="1">L51</f>
        <v>570248</v>
      </c>
      <c r="R67" s="1326" t="s">
        <v>870</v>
      </c>
    </row>
    <row r="68" spans="1:18" s="1291" customFormat="1" ht="16.2" thickBot="1">
      <c r="A68" s="892" t="s">
        <v>395</v>
      </c>
      <c r="B68" s="893" t="s">
        <v>774</v>
      </c>
      <c r="C68" s="292">
        <f ca="1">ROUND(C67*(1-((1+F70)/(1+F68))^F69)/(F68-F70),0)</f>
        <v>-18904</v>
      </c>
      <c r="D68" s="910" t="s">
        <v>758</v>
      </c>
      <c r="E68" s="895" t="s">
        <v>759</v>
      </c>
      <c r="F68" s="303">
        <f ca="1">F40</f>
        <v>5.5E-2</v>
      </c>
      <c r="O68" s="1333" t="s">
        <v>406</v>
      </c>
      <c r="P68" s="1370" t="s">
        <v>871</v>
      </c>
      <c r="Q68" s="1326">
        <f ca="1">ROUND(Q69-Q70*Q71,0)</f>
        <v>38276</v>
      </c>
      <c r="R68" s="1326" t="s">
        <v>414</v>
      </c>
    </row>
    <row r="69" spans="1:18" s="1291" customFormat="1" ht="13.8" thickBot="1">
      <c r="A69" s="896"/>
      <c r="B69" s="897"/>
      <c r="C69" s="297"/>
      <c r="D69" s="915" t="s">
        <v>762</v>
      </c>
      <c r="E69" s="895" t="s">
        <v>763</v>
      </c>
      <c r="F69" s="323">
        <f ca="1">F41</f>
        <v>17</v>
      </c>
      <c r="O69" s="1333" t="s">
        <v>411</v>
      </c>
      <c r="P69" s="1370" t="s">
        <v>872</v>
      </c>
      <c r="Q69" s="1326">
        <f ca="1">C39</f>
        <v>69867</v>
      </c>
      <c r="R69" s="1326" t="s">
        <v>818</v>
      </c>
    </row>
    <row r="70" spans="1:18" s="1291" customFormat="1" ht="13.8" thickBot="1">
      <c r="A70" s="899"/>
      <c r="B70" s="900"/>
      <c r="C70" s="301"/>
      <c r="D70" s="911"/>
      <c r="E70" s="895" t="s">
        <v>766</v>
      </c>
      <c r="F70" s="990"/>
      <c r="O70" s="1333" t="s">
        <v>412</v>
      </c>
      <c r="P70" s="1370" t="s">
        <v>873</v>
      </c>
      <c r="Q70" s="1326">
        <f ca="1">C13</f>
        <v>451293</v>
      </c>
      <c r="R70" s="1326" t="s">
        <v>818</v>
      </c>
    </row>
    <row r="71" spans="1:18" s="1291" customFormat="1" ht="13.8" thickBot="1">
      <c r="A71" s="916" t="s">
        <v>396</v>
      </c>
      <c r="B71" s="917" t="s">
        <v>776</v>
      </c>
      <c r="C71" s="326">
        <f ca="1">ROUND(C68/F71,0)</f>
        <v>-121</v>
      </c>
      <c r="D71" s="918" t="s">
        <v>777</v>
      </c>
      <c r="E71" s="919" t="s">
        <v>778</v>
      </c>
      <c r="F71" s="329">
        <f ca="1">F43</f>
        <v>156.33000000000001</v>
      </c>
      <c r="O71" s="1333" t="s">
        <v>413</v>
      </c>
      <c r="P71" s="1370" t="s">
        <v>874</v>
      </c>
      <c r="Q71" s="1336">
        <f ca="1">C76</f>
        <v>7.0000000000000007E-2</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31591</v>
      </c>
      <c r="D75" s="1291"/>
      <c r="E75" s="1291"/>
      <c r="F75" s="1291"/>
      <c r="K75" s="1308"/>
      <c r="L75" s="1291"/>
      <c r="O75" s="1324" t="s">
        <v>409</v>
      </c>
      <c r="P75" s="1325" t="s">
        <v>838</v>
      </c>
      <c r="Q75" s="1326">
        <f ca="1">Q65+Q66</f>
        <v>871297</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0.54800000000000004</v>
      </c>
    </row>
    <row r="80" spans="1:18">
      <c r="B80" s="330" t="s">
        <v>800</v>
      </c>
      <c r="C80" s="265">
        <f ca="1">ROUND(C75/C39,3)</f>
        <v>0.45200000000000001</v>
      </c>
    </row>
    <row r="81" spans="2:3">
      <c r="B81" s="261" t="s">
        <v>801</v>
      </c>
      <c r="C81" s="229"/>
    </row>
    <row r="82" spans="2:3">
      <c r="B82" s="264" t="s">
        <v>802</v>
      </c>
      <c r="C82" s="266">
        <f ca="1">1-C83</f>
        <v>0.48199999999999998</v>
      </c>
    </row>
    <row r="83" spans="2:3">
      <c r="B83" s="264" t="s">
        <v>803</v>
      </c>
      <c r="C83" s="265">
        <f ca="1">ROUND(C13/C40,3)</f>
        <v>0.51800000000000002</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0" priority="3">
      <formula>$F$10="自定义"</formula>
    </cfRule>
  </conditionalFormatting>
  <conditionalFormatting sqref="C54">
    <cfRule type="expression" dxfId="9" priority="1">
      <formula>$F$53="自定义"</formula>
    </cfRule>
  </conditionalFormatting>
  <conditionalFormatting sqref="I55 I60">
    <cfRule type="expression" dxfId="8" priority="5">
      <formula>$J$51&gt;$L$48</formula>
    </cfRule>
  </conditionalFormatting>
  <conditionalFormatting sqref="J11">
    <cfRule type="expression" dxfId="7" priority="2">
      <formula>$M$10="自定义"</formula>
    </cfRule>
  </conditionalFormatting>
  <conditionalFormatting sqref="K55 K60">
    <cfRule type="expression" dxfId="6" priority="4">
      <formula>$L$48&gt;$J$51</formula>
    </cfRule>
  </conditionalFormatting>
  <dataValidations count="9">
    <dataValidation type="list" allowBlank="1" showInputMessage="1" showErrorMessage="1" sqref="D1" xr:uid="{D385324F-EED4-4499-BC01-808F0ED39E22}">
      <formula1>"在建（套用方法）,土地（套用方法）,——"</formula1>
    </dataValidation>
    <dataValidation type="list" allowBlank="1" showInputMessage="1" showErrorMessage="1" sqref="F10 F53 M10" xr:uid="{83332F31-C347-4DB8-AE44-C6BD73CC2E19}">
      <formula1>"押一,押二,押三,自定义"</formula1>
    </dataValidation>
    <dataValidation type="list" allowBlank="1" showInputMessage="1" showErrorMessage="1" sqref="K19" xr:uid="{E1408A37-3B07-47B7-BC99-1226B1009B73}">
      <formula1>"按租金收入计税,按房产原值计税"</formula1>
    </dataValidation>
    <dataValidation type="list" allowBlank="1" showInputMessage="1" showErrorMessage="1" sqref="D33 D61" xr:uid="{6FCDB651-214A-48EF-B08A-95BD0BEA7659}">
      <formula1>"按租金收入计税,按房产原值计税,按票据"</formula1>
    </dataValidation>
    <dataValidation type="list" allowBlank="1" showInputMessage="1" showErrorMessage="1" sqref="C1" xr:uid="{9B98C6D5-BD82-4847-8F3A-62BF7AB64F36}">
      <formula1>项目类型</formula1>
    </dataValidation>
    <dataValidation type="list" allowBlank="1" showInputMessage="1" showErrorMessage="1" sqref="J47" xr:uid="{C7EE2979-BF88-40DC-9C4D-4A63F86B9A3A}">
      <formula1>"钢,钢混,砖混"</formula1>
    </dataValidation>
    <dataValidation type="list" allowBlank="1" showInputMessage="1" showErrorMessage="1" sqref="J48" xr:uid="{C819FA28-5A89-4FDD-9694-23D76B15B7E2}">
      <formula1>"非生产用房,生产用房,受腐蚀的生产用房"</formula1>
    </dataValidation>
    <dataValidation type="list" allowBlank="1" showInputMessage="1" showErrorMessage="1" sqref="J56" xr:uid="{B5BB7F08-CA52-41B5-AFE8-36475DC6B2F2}">
      <formula1>估价范围判定</formula1>
    </dataValidation>
    <dataValidation type="list" allowBlank="1" showInputMessage="1" showErrorMessage="1" sqref="L55" xr:uid="{266F921E-D1DD-406B-AC7E-84BF8DAD523F}">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H57"/>
  <sheetViews>
    <sheetView view="pageBreakPreview" zoomScale="70" zoomScaleNormal="70" zoomScaleSheetLayoutView="70" workbookViewId="0">
      <selection activeCell="Q51" sqref="Q5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3" t="s">
        <v>3407</v>
      </c>
      <c r="C1" s="1716" t="s">
        <v>1563</v>
      </c>
      <c r="D1" s="189"/>
      <c r="E1" s="189"/>
      <c r="F1" s="189"/>
      <c r="G1" s="1061">
        <f>MATCH(B1,'数据-取费表'!A6:A16,0)+5</f>
        <v>6</v>
      </c>
      <c r="H1" s="997" t="str">
        <f>IF(ISERROR(FIND("住宅",B1)),"非住宅","住宅")</f>
        <v>非住宅</v>
      </c>
    </row>
    <row r="2" spans="1:8" s="191" customFormat="1" ht="18" customHeight="1">
      <c r="A2" s="192" t="s">
        <v>1462</v>
      </c>
      <c r="B2" s="3120">
        <f ca="1">ROUND(IF(D2="——",C52/10000,C52/10000-E2),4)</f>
        <v>150.4872</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9626</v>
      </c>
      <c r="C3" s="190" t="s">
        <v>1465</v>
      </c>
      <c r="D3" s="190"/>
      <c r="E3" s="190"/>
      <c r="F3" s="190"/>
      <c r="G3" s="190"/>
    </row>
    <row r="4" spans="1:8" s="199" customFormat="1" ht="16.2">
      <c r="A4" s="196" t="s">
        <v>1466</v>
      </c>
      <c r="B4" s="197"/>
      <c r="C4" s="197"/>
      <c r="D4" s="197"/>
      <c r="E4" s="197"/>
      <c r="F4" s="197"/>
      <c r="G4" s="198"/>
    </row>
    <row r="5" spans="1:8" s="205" customFormat="1" ht="13.5" customHeight="1">
      <c r="A5" s="246" t="s">
        <v>1467</v>
      </c>
      <c r="B5" s="201" t="s">
        <v>1468</v>
      </c>
      <c r="C5" s="202">
        <f ca="1">C6+C7+C8</f>
        <v>843439</v>
      </c>
      <c r="D5" s="202" t="s">
        <v>1469</v>
      </c>
      <c r="E5" s="203" t="s">
        <v>1470</v>
      </c>
      <c r="F5" s="203" t="s">
        <v>1471</v>
      </c>
      <c r="G5" s="204"/>
    </row>
    <row r="6" spans="1:8" s="205" customFormat="1" ht="13.5" customHeight="1">
      <c r="A6" s="731" t="s">
        <v>1472</v>
      </c>
      <c r="B6" s="206" t="s">
        <v>1473</v>
      </c>
      <c r="C6" s="207">
        <f>ROUND(基准地价修正!U2*基准地价修正!T2+基准地价修正!U3*基准地价修正!T3,0)</f>
        <v>795720</v>
      </c>
      <c r="D6" s="208"/>
      <c r="E6" s="209"/>
      <c r="F6" s="209"/>
      <c r="G6" s="210"/>
    </row>
    <row r="7" spans="1:8" s="205" customFormat="1" ht="13.5" customHeight="1">
      <c r="A7" s="731" t="s">
        <v>1474</v>
      </c>
      <c r="B7" s="206" t="s">
        <v>1475</v>
      </c>
      <c r="C7" s="211">
        <f>ROUND(C6*F7,0)</f>
        <v>24269</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23450</v>
      </c>
      <c r="D8" s="213"/>
      <c r="E8" s="211"/>
      <c r="F8" s="212"/>
      <c r="G8" s="1713" t="s">
        <v>3408</v>
      </c>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100</v>
      </c>
      <c r="F9" s="212"/>
      <c r="G9" s="217"/>
    </row>
    <row r="10" spans="1:8" s="205" customFormat="1" ht="13.5" customHeight="1">
      <c r="A10" s="732" t="s">
        <v>356</v>
      </c>
      <c r="B10" s="215" t="s">
        <v>1480</v>
      </c>
      <c r="C10" s="216">
        <f ca="1">ROUND(D10*E10,0)</f>
        <v>23450</v>
      </c>
      <c r="D10" s="794">
        <f ca="1">IF(B1="",'数据-汇总表'!E6,IF(INDIRECT("'数据-取费表'!c"&amp;$G$1)="住宅",INDIRECT("'数据-取费表'!s"&amp;$G$1),INDIRECT("'数据-取费表'!k"&amp;$G$1)+INDIRECT("'数据-取费表'!s"&amp;$G$1)))</f>
        <v>156.33000000000001</v>
      </c>
      <c r="E10" s="216">
        <f>'数据-取费表'!B28</f>
        <v>150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156.33000000000001</v>
      </c>
      <c r="E19" s="202">
        <f>'数据-取费表'!B31</f>
        <v>200</v>
      </c>
      <c r="F19" s="222"/>
      <c r="G19" s="1713" t="s">
        <v>3409</v>
      </c>
    </row>
    <row r="20" spans="1:7" s="205" customFormat="1" ht="13.5" customHeight="1">
      <c r="A20" s="246" t="s">
        <v>1574</v>
      </c>
      <c r="B20" s="201" t="s">
        <v>1575</v>
      </c>
      <c r="C20" s="223">
        <f ca="1">ROUND((C5+C19)*F20,0)</f>
        <v>16869</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28538</v>
      </c>
      <c r="D22" s="226">
        <f ca="1">C26</f>
        <v>2.9999999999999997E-4</v>
      </c>
      <c r="E22" s="227" t="s">
        <v>1579</v>
      </c>
      <c r="F22" s="228">
        <f ca="1">'数据-取费表'!B40</f>
        <v>3.3500000000000002E-2</v>
      </c>
      <c r="G22" s="225" t="str">
        <f>IF('数据-取费表'!B22&lt;=1,"单利计息","复利计息")</f>
        <v>单利计息</v>
      </c>
    </row>
    <row r="23" spans="1:7" s="205" customFormat="1" ht="13.5" customHeight="1">
      <c r="A23" s="733" t="s">
        <v>1472</v>
      </c>
      <c r="B23" s="206" t="s">
        <v>1583</v>
      </c>
      <c r="C23" s="229">
        <f ca="1">ROUND(IF('数据-取费表'!B22&lt;=1,C5*F22*'数据-取费表'!B22,C5*(POWER((1+F22),'数据-取费表'!B22)-1)),0)</f>
        <v>28255</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3" t="s">
        <v>1476</v>
      </c>
      <c r="B25" s="206" t="s">
        <v>1587</v>
      </c>
      <c r="C25" s="229">
        <f ca="1">ROUND(IF('数据-取费表'!B22&lt;=1,C20*F22*'数据-取费表'!B22/2,C20*(POWER((1+F22),'数据-取费表'!B22/2)-1)),0)</f>
        <v>283</v>
      </c>
      <c r="D25" s="229"/>
      <c r="E25" s="232"/>
      <c r="F25" s="230"/>
      <c r="G25" s="233" t="s">
        <v>1588</v>
      </c>
    </row>
    <row r="26" spans="1:7" s="205" customFormat="1">
      <c r="A26" s="733" t="s">
        <v>350</v>
      </c>
      <c r="B26" s="206" t="s">
        <v>1511</v>
      </c>
      <c r="C26" s="229">
        <f ca="1">ROUND(IF('数据-取费表'!B22&lt;=1,F21*F22*'数据-取费表'!B22/2,F21*(POWER((1+F22),'数据-取费表'!B22/2)-1)),4)</f>
        <v>2.9999999999999997E-4</v>
      </c>
      <c r="D26" s="229"/>
      <c r="E26" s="232"/>
      <c r="F26" s="230"/>
      <c r="G26" s="234"/>
    </row>
    <row r="27" spans="1:7" s="205" customFormat="1" ht="26.4">
      <c r="A27" s="246" t="s">
        <v>1512</v>
      </c>
      <c r="B27" s="235" t="s">
        <v>1513</v>
      </c>
      <c r="C27" s="236">
        <f ca="1">C28</f>
        <v>86031</v>
      </c>
      <c r="D27" s="226">
        <f ca="1">C29</f>
        <v>2E-3</v>
      </c>
      <c r="E27" s="227" t="s">
        <v>1514</v>
      </c>
      <c r="F27" s="237">
        <f ca="1">IF(B1="",'数据-取费表'!Q16,INDIRECT("'数据-取费表'!q"&amp;$G$1))</f>
        <v>0.1</v>
      </c>
      <c r="G27" s="238" t="s">
        <v>1515</v>
      </c>
    </row>
    <row r="28" spans="1:7" s="205" customFormat="1" ht="13.5" customHeight="1">
      <c r="A28" s="733" t="s">
        <v>346</v>
      </c>
      <c r="B28" s="239" t="s">
        <v>1516</v>
      </c>
      <c r="C28" s="240">
        <f ca="1">ROUND((C5+C19+C20)*F27,0)</f>
        <v>86031</v>
      </c>
      <c r="D28" s="226"/>
      <c r="E28" s="227"/>
      <c r="F28" s="237"/>
      <c r="G28" s="238"/>
    </row>
    <row r="29" spans="1:7" s="205" customFormat="1" ht="13.5" customHeight="1">
      <c r="A29" s="733" t="s">
        <v>347</v>
      </c>
      <c r="B29" s="239" t="s">
        <v>1517</v>
      </c>
      <c r="C29" s="229">
        <f ca="1">ROUND(C21*F27,4)</f>
        <v>2E-3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1053579</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f ca="1">SUM(C34:C38)</f>
        <v>523706</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468990</v>
      </c>
      <c r="D34" s="208"/>
      <c r="E34" s="211"/>
      <c r="F34" s="248"/>
      <c r="G34" s="210"/>
    </row>
    <row r="35" spans="1:7" ht="13.5" customHeight="1">
      <c r="A35" s="733" t="s">
        <v>351</v>
      </c>
      <c r="B35" s="206" t="s">
        <v>1527</v>
      </c>
      <c r="C35" s="211">
        <f ca="1">ROUND(C34*F35,0)</f>
        <v>14070</v>
      </c>
      <c r="D35" s="211"/>
      <c r="E35" s="211"/>
      <c r="F35" s="250">
        <f>'数据-取费表'!B33</f>
        <v>0.03</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31266</v>
      </c>
      <c r="D37" s="208">
        <f ca="1">D19</f>
        <v>156.33000000000001</v>
      </c>
      <c r="E37" s="240">
        <f>'数据-取费表'!B35</f>
        <v>200</v>
      </c>
      <c r="F37" s="250"/>
      <c r="G37" s="252"/>
    </row>
    <row r="38" spans="1:7" ht="13.5" customHeight="1">
      <c r="A38" s="733" t="s">
        <v>354</v>
      </c>
      <c r="B38" s="206" t="s">
        <v>1533</v>
      </c>
      <c r="C38" s="211">
        <f ca="1">ROUND(C34*F38,0)</f>
        <v>9380</v>
      </c>
      <c r="D38" s="211"/>
      <c r="E38" s="211"/>
      <c r="F38" s="250">
        <f>'数据-取费表'!B36</f>
        <v>0.02</v>
      </c>
      <c r="G38" s="210" t="s">
        <v>1528</v>
      </c>
    </row>
    <row r="39" spans="1:7" s="205" customFormat="1" ht="13.5" customHeight="1">
      <c r="A39" s="246" t="s">
        <v>1534</v>
      </c>
      <c r="B39" s="201" t="s">
        <v>1535</v>
      </c>
      <c r="C39" s="223">
        <f ca="1">ROUND(C33*F20,0)</f>
        <v>10474</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8947</v>
      </c>
      <c r="D41" s="226">
        <f ca="1">C44</f>
        <v>2.9999999999999997E-4</v>
      </c>
      <c r="E41" s="227" t="s">
        <v>1539</v>
      </c>
      <c r="F41" s="228">
        <f ca="1">F22</f>
        <v>3.3500000000000002E-2</v>
      </c>
      <c r="G41" s="225" t="str">
        <f>IF('数据-取费表'!B22&lt;=1,"单利计息","复利计息")</f>
        <v>单利计息</v>
      </c>
    </row>
    <row r="42" spans="1:7" ht="13.5" customHeight="1">
      <c r="A42" s="733" t="s">
        <v>346</v>
      </c>
      <c r="B42" s="206" t="s">
        <v>1543</v>
      </c>
      <c r="C42" s="229">
        <f ca="1">ROUND(IF('数据-取费表'!B22&lt;=1,C33*F22*'数据-取费表'!B20/2,C33*(POWER((1+F22),'数据-取费表'!B20/2)-1)),0)</f>
        <v>8772</v>
      </c>
      <c r="D42" s="229"/>
      <c r="E42" s="229"/>
      <c r="F42" s="230"/>
      <c r="G42" s="3281" t="s">
        <v>1591</v>
      </c>
    </row>
    <row r="43" spans="1:7" ht="13.5" customHeight="1">
      <c r="A43" s="733" t="s">
        <v>347</v>
      </c>
      <c r="B43" s="206" t="s">
        <v>1545</v>
      </c>
      <c r="C43" s="229">
        <f ca="1">ROUND(IF('数据-取费表'!B22&lt;=1,C39*F22*'数据-取费表'!B20/2,C39*(POWER((1+F22),'数据-取费表'!B20/2)-1)),0)</f>
        <v>175</v>
      </c>
      <c r="D43" s="229"/>
      <c r="E43" s="229"/>
      <c r="F43" s="230"/>
      <c r="G43" s="3282"/>
    </row>
    <row r="44" spans="1:7" ht="13.5" customHeight="1">
      <c r="A44" s="733" t="s">
        <v>348</v>
      </c>
      <c r="B44" s="206" t="s">
        <v>1546</v>
      </c>
      <c r="C44" s="229">
        <f ca="1">ROUND(IF('数据-取费表'!B22&lt;=1,C40*F22*'数据-取费表'!B20/2,C40*(POWER((1+F22),'数据-取费表'!B20/2)-1)),4)</f>
        <v>2.9999999999999997E-4</v>
      </c>
      <c r="D44" s="229"/>
      <c r="E44" s="229"/>
      <c r="F44" s="230"/>
      <c r="G44" s="3283"/>
    </row>
    <row r="45" spans="1:7" s="205" customFormat="1" ht="13.5" customHeight="1">
      <c r="A45" s="246" t="s">
        <v>1547</v>
      </c>
      <c r="B45" s="235" t="s">
        <v>1513</v>
      </c>
      <c r="C45" s="236">
        <f ca="1">C46</f>
        <v>53418</v>
      </c>
      <c r="D45" s="226">
        <f ca="1">C47</f>
        <v>2E-3</v>
      </c>
      <c r="E45" s="227" t="s">
        <v>1539</v>
      </c>
      <c r="F45" s="237">
        <f ca="1">F27</f>
        <v>0.1</v>
      </c>
      <c r="G45" s="238" t="s">
        <v>1548</v>
      </c>
    </row>
    <row r="46" spans="1:7" s="205" customFormat="1" ht="13.5" customHeight="1">
      <c r="A46" s="733" t="s">
        <v>346</v>
      </c>
      <c r="B46" s="239" t="s">
        <v>1549</v>
      </c>
      <c r="C46" s="240">
        <f ca="1">ROUND((C33+C39)*F27,0)</f>
        <v>53418</v>
      </c>
      <c r="D46" s="254"/>
      <c r="E46" s="227"/>
      <c r="F46" s="237"/>
      <c r="G46" s="238"/>
    </row>
    <row r="47" spans="1:7" s="205" customFormat="1" ht="13.5" customHeight="1">
      <c r="A47" s="733" t="s">
        <v>347</v>
      </c>
      <c r="B47" s="239" t="s">
        <v>1550</v>
      </c>
      <c r="C47" s="229">
        <f ca="1">ROUND(C40*F27,4)</f>
        <v>2E-3</v>
      </c>
      <c r="D47" s="254"/>
      <c r="E47" s="227"/>
      <c r="F47" s="237"/>
      <c r="G47" s="238"/>
    </row>
    <row r="48" spans="1:7" s="205" customFormat="1" ht="13.5" customHeight="1">
      <c r="A48" s="246" t="s">
        <v>1512</v>
      </c>
      <c r="B48" s="201" t="s">
        <v>1551</v>
      </c>
      <c r="C48" s="253">
        <f>ROUND(F30/(1+'数据-取费表'!C42),4)</f>
        <v>5.2400000000000002E-2</v>
      </c>
      <c r="D48" s="227" t="s">
        <v>1539</v>
      </c>
      <c r="E48" s="223"/>
      <c r="F48" s="228">
        <f>F30</f>
        <v>5.5000000000000007E-2</v>
      </c>
      <c r="G48" s="225" t="s">
        <v>1552</v>
      </c>
    </row>
    <row r="49" spans="1:7" ht="16.5" customHeight="1">
      <c r="A49" s="246" t="s">
        <v>1518</v>
      </c>
      <c r="B49" s="201" t="s">
        <v>1592</v>
      </c>
      <c r="C49" s="223">
        <f ca="1">ROUND((C33+C39+C41+C45)/(1-C40-D41-D45-C48),0)</f>
        <v>644704</v>
      </c>
      <c r="D49" s="223"/>
      <c r="E49" s="223"/>
      <c r="F49" s="255"/>
      <c r="G49" s="225" t="s">
        <v>1554</v>
      </c>
    </row>
    <row r="50" spans="1:7" s="249" customFormat="1">
      <c r="A50" s="246" t="s">
        <v>1555</v>
      </c>
      <c r="B50" s="201" t="s">
        <v>1556</v>
      </c>
      <c r="C50" s="223"/>
      <c r="D50" s="223"/>
      <c r="E50" s="223"/>
      <c r="F50" s="255">
        <f>IF('数据-取费表'!B24=0,'数据-取费表'!N16,1)</f>
        <v>0.7</v>
      </c>
      <c r="G50" s="238"/>
    </row>
    <row r="51" spans="1:7" ht="16.5" customHeight="1">
      <c r="A51" s="246" t="s">
        <v>1558</v>
      </c>
      <c r="B51" s="201" t="s">
        <v>1593</v>
      </c>
      <c r="C51" s="223">
        <f ca="1">ROUND(C49*F50,0)</f>
        <v>451293</v>
      </c>
      <c r="D51" s="223"/>
      <c r="E51" s="223"/>
      <c r="F51" s="255"/>
      <c r="G51" s="225" t="s">
        <v>1560</v>
      </c>
    </row>
    <row r="52" spans="1:7" s="199" customFormat="1" ht="16.8" thickBot="1">
      <c r="A52" s="256" t="s">
        <v>1561</v>
      </c>
      <c r="B52" s="257"/>
      <c r="C52" s="258">
        <f ca="1">C31+C51</f>
        <v>1504872</v>
      </c>
      <c r="D52" s="257"/>
      <c r="E52" s="257"/>
      <c r="F52" s="257"/>
      <c r="G52" s="259"/>
    </row>
    <row r="55" spans="1:7" ht="15">
      <c r="B55" s="261" t="s">
        <v>1562</v>
      </c>
      <c r="C55" s="262"/>
    </row>
    <row r="56" spans="1:7">
      <c r="B56" s="264" t="s">
        <v>802</v>
      </c>
      <c r="C56" s="266">
        <f ca="1">1-C57</f>
        <v>0.7</v>
      </c>
    </row>
    <row r="57" spans="1:7">
      <c r="B57" s="264" t="s">
        <v>803</v>
      </c>
      <c r="C57" s="265">
        <f ca="1">ROUND(C51/C52,3)</f>
        <v>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 type="list" allowBlank="1" showInputMessage="1" showErrorMessage="1" sqref="B1" xr:uid="{00000000-0002-0000-2600-000002000000}">
      <formula1>项目类型</formula1>
    </dataValidation>
    <dataValidation type="list" allowBlank="1" showInputMessage="1" showErrorMessage="1" sqref="G2" xr:uid="{00000000-0002-0000-2600-000003000000}">
      <formula1>估价方法</formula1>
    </dataValidation>
    <dataValidation type="list" allowBlank="1" showInputMessage="1" showErrorMessage="1" sqref="D2" xr:uid="{00000000-0002-0000-2600-000004000000}">
      <formula1>"需扣减承租人权益,——"</formula1>
    </dataValidation>
  </dataValidations>
  <pageMargins left="0.7" right="0.7" top="0.75" bottom="0.75" header="0.3" footer="0.3"/>
  <pageSetup paperSize="9" scale="78"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topLeftCell="A49" zoomScale="70" zoomScaleNormal="80" zoomScaleSheetLayoutView="70" workbookViewId="0">
      <selection activeCell="F56" sqref="F56"/>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7" customWidth="1"/>
    <col min="33" max="36" width="9.33203125" style="1894" customWidth="1"/>
    <col min="37" max="38" width="9.33203125" style="1844" customWidth="1"/>
    <col min="39" max="16384" width="12" style="1844"/>
  </cols>
  <sheetData>
    <row r="1" spans="1:36" ht="31.2">
      <c r="A1" s="187" t="s">
        <v>1926</v>
      </c>
      <c r="B1" s="188"/>
      <c r="C1" s="192" t="s">
        <v>1927</v>
      </c>
      <c r="D1" s="332">
        <f>SUM(D33:D34,D37:D42)</f>
        <v>0</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6">
      <c r="A2" s="192" t="s">
        <v>1934</v>
      </c>
      <c r="B2" s="195">
        <f>C30</f>
        <v>80</v>
      </c>
      <c r="C2" s="1845" t="s">
        <v>1935</v>
      </c>
      <c r="D2" s="161" t="s">
        <v>1936</v>
      </c>
      <c r="E2" s="3118" t="s">
        <v>673</v>
      </c>
      <c r="F2" s="161" t="s">
        <v>1937</v>
      </c>
      <c r="G2" s="162" t="str">
        <f>IF(E2="商业",项目基本情况!B37,IF(E2="办公",项目基本情况!C37,IF(E2="住宅",项目基本情况!D37,IF(E2="工业",项目基本情况!E37,项目基本情况!F37))))</f>
        <v>九级</v>
      </c>
      <c r="H2" s="161" t="s">
        <v>1938</v>
      </c>
      <c r="I2" s="162" t="str">
        <f>IF(E2="商业",项目基本情况!B38,IF(E2="办公",项目基本情况!C38,IF(E2="住宅",项目基本情况!D38,IF(E2="工业",项目基本情况!E38,项目基本情况!F38))))</f>
        <v>Ⅸ-延2</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1">
        <f>ROUND(SUMPRODUCT((B106:B110=R2)*(C105:N105=G2)*(C106:N110)),4)</f>
        <v>1.5418000000000001</v>
      </c>
      <c r="T2" s="3061">
        <f t="shared" ref="T2:T16" si="0">ROUND($C$5*$C$22*$C$23*$C$24*S2*$C$28,0)</f>
        <v>5749</v>
      </c>
      <c r="U2" s="1129">
        <f>'数据-汇总表'!E19/2</f>
        <v>78.165000000000006</v>
      </c>
      <c r="V2" s="3061">
        <f>ROUND(T2*U2/10000,0)</f>
        <v>45</v>
      </c>
      <c r="W2" s="1132"/>
      <c r="X2" s="1132"/>
      <c r="Y2" s="1132"/>
      <c r="Z2" s="1132"/>
      <c r="AA2" s="1132"/>
      <c r="AB2" s="1132"/>
      <c r="AC2" s="1133"/>
      <c r="AD2" s="1134"/>
      <c r="AE2" s="1134"/>
      <c r="AF2" s="1134"/>
      <c r="AG2" s="1134"/>
      <c r="AH2" s="1134"/>
      <c r="AI2" s="1134"/>
      <c r="AJ2" s="1135"/>
    </row>
    <row r="3" spans="1:36" ht="15.6">
      <c r="A3" s="194" t="s">
        <v>1940</v>
      </c>
      <c r="B3" s="195" t="e">
        <f>ROUND(B2*10000/D1,0)</f>
        <v>#DIV/0!</v>
      </c>
      <c r="C3" s="1845" t="s">
        <v>1941</v>
      </c>
      <c r="D3" s="161" t="s">
        <v>1942</v>
      </c>
      <c r="E3" s="3116" t="s">
        <v>2439</v>
      </c>
      <c r="F3" s="1847" t="s">
        <v>3420</v>
      </c>
      <c r="G3" s="707">
        <f>IF(F3="宗地容积率",'数据-汇总表'!I4,IF(F3="估价对象容积率",'数据-汇总表'!I6,'数据-汇总表'!I7))</f>
        <v>0</v>
      </c>
      <c r="H3" s="161" t="s">
        <v>1943</v>
      </c>
      <c r="I3" s="728">
        <v>2</v>
      </c>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1">
        <f>ROUND(SUMPRODUCT((B106:B110=R3)*(C105:N105=G2)*(C106:N110)),4)</f>
        <v>1.1883999999999999</v>
      </c>
      <c r="T3" s="3061">
        <f t="shared" si="0"/>
        <v>4431</v>
      </c>
      <c r="U3" s="1129">
        <f>'数据-汇总表'!E19/2</f>
        <v>78.165000000000006</v>
      </c>
      <c r="V3" s="3061">
        <f t="shared" ref="V3:V16" si="1">ROUND(T3*U3/10000,0)</f>
        <v>35</v>
      </c>
      <c r="W3" s="1132"/>
      <c r="X3" s="1132"/>
      <c r="Y3" s="1132"/>
      <c r="Z3" s="1132"/>
      <c r="AA3" s="1132"/>
      <c r="AB3" s="1132"/>
      <c r="AC3" s="1133"/>
      <c r="AD3" s="1134"/>
      <c r="AE3" s="1134"/>
      <c r="AF3" s="1134"/>
      <c r="AG3" s="1134"/>
      <c r="AH3" s="1134"/>
      <c r="AI3" s="1134"/>
      <c r="AJ3" s="1135"/>
    </row>
    <row r="4" spans="1:36" ht="15.6">
      <c r="A4" s="3487"/>
      <c r="B4" s="3488"/>
      <c r="C4" s="3488"/>
      <c r="D4" s="3489"/>
      <c r="E4" s="3489"/>
      <c r="F4" s="3489"/>
      <c r="G4" s="3489"/>
      <c r="H4" s="3489"/>
      <c r="I4" s="3489"/>
      <c r="J4" s="3490"/>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1">
        <f>ROUND(SUMPRODUCT((B106:B110=R4)*(C105:N105=G2)*(C106:N110)),4)</f>
        <v>0.96940000000000004</v>
      </c>
      <c r="T4" s="3061">
        <f t="shared" si="0"/>
        <v>3615</v>
      </c>
      <c r="U4" s="1129"/>
      <c r="V4" s="3061">
        <f t="shared" si="1"/>
        <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1947</v>
      </c>
      <c r="C5" s="708">
        <f>ROUND(IF(E2="商业",C6*C7*C17+C20,(IF(E2="住宅",C6*C13*C17+C20,IF(E2="办公",C6*C12*C17+C20,C6+C20)))),0)</f>
        <v>5185</v>
      </c>
      <c r="D5" s="1251">
        <f>ROUND(C6*C17+C20,0)</f>
        <v>5185</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1">
        <f>ROUND(SUMPRODUCT((B106:B110=R5)*(C105:N105=G2)*(C106:N110)),4)</f>
        <v>0.82299999999999995</v>
      </c>
      <c r="T5" s="3061">
        <f t="shared" si="0"/>
        <v>3069</v>
      </c>
      <c r="U5" s="1129"/>
      <c r="V5" s="3061">
        <f t="shared" si="1"/>
        <v>0</v>
      </c>
      <c r="W5" s="1132"/>
      <c r="X5" s="1132"/>
      <c r="Y5" s="1132"/>
      <c r="Z5" s="1132"/>
      <c r="AA5" s="1132"/>
      <c r="AB5" s="1132"/>
      <c r="AC5" s="1854"/>
      <c r="AD5" s="1855"/>
      <c r="AE5" s="1855"/>
      <c r="AF5" s="1855"/>
      <c r="AG5" s="1855"/>
      <c r="AH5" s="1855"/>
      <c r="AI5" s="1855"/>
      <c r="AJ5" s="1856"/>
    </row>
    <row r="6" spans="1:36" ht="15.6" thickBot="1">
      <c r="A6" s="1858" t="s">
        <v>1949</v>
      </c>
      <c r="B6" s="1859" t="s">
        <v>1950</v>
      </c>
      <c r="C6" s="709">
        <f>SUMIF(L1:L12,G2,M1:M12)</f>
        <v>5150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1">
        <f>ROUND(SUMPRODUCT((B106:B110=R6)*(C105:N105=G2)*(C106:N110)),4)</f>
        <v>0.74980000000000002</v>
      </c>
      <c r="T6" s="3061">
        <f t="shared" si="0"/>
        <v>2796</v>
      </c>
      <c r="U6" s="1129"/>
      <c r="V6" s="3061">
        <f t="shared" si="1"/>
        <v>0</v>
      </c>
      <c r="W6" s="1132"/>
      <c r="X6" s="1132"/>
      <c r="Y6" s="1132"/>
      <c r="Z6" s="1132"/>
      <c r="AA6" s="1132"/>
      <c r="AB6" s="1132"/>
      <c r="AC6" s="1854"/>
      <c r="AD6" s="1855"/>
      <c r="AE6" s="1855"/>
      <c r="AF6" s="1855"/>
      <c r="AG6" s="1855"/>
      <c r="AH6" s="1855"/>
      <c r="AI6" s="1855"/>
      <c r="AJ6" s="1856"/>
    </row>
    <row r="7" spans="1:36" ht="24.6" thickBot="1">
      <c r="A7" s="3010" t="s">
        <v>3237</v>
      </c>
      <c r="B7" s="1864" t="s">
        <v>1952</v>
      </c>
      <c r="C7" s="710">
        <f>IF(C8="不临65条商业街",1,ROUND(1+(1.6*E8+1.2*E9+0.8*E10+0.4*E11)*C9,4))</f>
        <v>1</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5"/>
      <c r="T7" s="3061">
        <f t="shared" si="0"/>
        <v>0</v>
      </c>
      <c r="U7" s="1129"/>
      <c r="V7" s="3061">
        <f t="shared" si="1"/>
        <v>0</v>
      </c>
      <c r="W7" s="1266" t="s">
        <v>1955</v>
      </c>
      <c r="X7" s="1130" t="str">
        <f>G2</f>
        <v>九级</v>
      </c>
      <c r="Y7" s="1130" t="s">
        <v>1956</v>
      </c>
      <c r="Z7" s="1131">
        <f>G3</f>
        <v>0</v>
      </c>
      <c r="AA7" s="1132"/>
      <c r="AB7" s="1132"/>
      <c r="AC7" s="1133"/>
      <c r="AD7" s="1134"/>
      <c r="AE7" s="1134"/>
      <c r="AF7" s="1134"/>
      <c r="AG7" s="1134"/>
      <c r="AH7" s="1134"/>
      <c r="AI7" s="1134"/>
      <c r="AJ7" s="1135"/>
    </row>
    <row r="8" spans="1:36" ht="26.4">
      <c r="A8" s="3007"/>
      <c r="B8" s="161" t="s">
        <v>1957</v>
      </c>
      <c r="C8" s="1869" t="s">
        <v>3421</v>
      </c>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1">
        <f t="shared" si="0"/>
        <v>0</v>
      </c>
      <c r="U8" s="1129"/>
      <c r="V8" s="3061">
        <f t="shared" si="1"/>
        <v>0</v>
      </c>
      <c r="W8" s="3484" t="s">
        <v>1960</v>
      </c>
      <c r="X8" s="3485"/>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7"/>
      <c r="B9" s="161" t="s">
        <v>1973</v>
      </c>
      <c r="C9" s="713">
        <f>SUMIF(修正!C71:C138,C8,修正!E71:E138)</f>
        <v>0</v>
      </c>
      <c r="D9" s="162" t="s">
        <v>113</v>
      </c>
      <c r="E9" s="162" t="e">
        <f>ROUND(C11/E7,4)</f>
        <v>#DIV/0!</v>
      </c>
      <c r="F9" s="1870" t="s">
        <v>1974</v>
      </c>
      <c r="G9" s="1871"/>
      <c r="H9" s="1871"/>
      <c r="I9" s="1871"/>
      <c r="J9" s="1872"/>
      <c r="K9" s="1055"/>
      <c r="L9" s="1846" t="s">
        <v>1975</v>
      </c>
      <c r="M9" s="810">
        <f>SUMPRODUCT((区片价!B277:B326=I2)*(区片价!C3:G3=E2)*(区片价!C277:G326))</f>
        <v>5150</v>
      </c>
      <c r="N9" s="812">
        <f>SUMPRODUCT((因素修正幅度!B277:B326=I2)*(因素修正幅度!C3:G3=E2)*(因素修正幅度!C277:G326))</f>
        <v>0.15</v>
      </c>
      <c r="O9" s="1055"/>
      <c r="P9" s="1055"/>
      <c r="Q9" s="1055"/>
      <c r="R9" s="1128">
        <v>8</v>
      </c>
      <c r="S9" s="1129"/>
      <c r="T9" s="3061">
        <f t="shared" si="0"/>
        <v>0</v>
      </c>
      <c r="U9" s="1129"/>
      <c r="V9" s="3061">
        <f t="shared" si="1"/>
        <v>0</v>
      </c>
      <c r="W9" s="3486"/>
      <c r="X9" s="3062" t="s">
        <v>3267</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1" t="s">
        <v>1976</v>
      </c>
      <c r="C10" s="162">
        <f>SUMIF(修正!C71:C138,C8,修正!F71:F138)</f>
        <v>0</v>
      </c>
      <c r="D10" s="162" t="s">
        <v>114</v>
      </c>
      <c r="E10" s="162"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1">
        <f t="shared" si="0"/>
        <v>0</v>
      </c>
      <c r="U10" s="1129"/>
      <c r="V10" s="3061">
        <f t="shared" si="1"/>
        <v>0</v>
      </c>
      <c r="W10" s="3486"/>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1">
        <f t="shared" si="0"/>
        <v>0</v>
      </c>
      <c r="U11" s="1129"/>
      <c r="V11" s="3061">
        <f t="shared" si="1"/>
        <v>0</v>
      </c>
      <c r="W11" s="1132"/>
      <c r="X11" s="1132"/>
      <c r="Y11" s="1132"/>
      <c r="Z11" s="1132"/>
      <c r="AA11" s="1132"/>
      <c r="AB11" s="1132"/>
      <c r="AC11" s="1133"/>
      <c r="AD11" s="2551"/>
      <c r="AE11" s="2551"/>
      <c r="AF11" s="2551"/>
      <c r="AG11" s="2551"/>
      <c r="AH11" s="2551"/>
      <c r="AI11" s="2551"/>
      <c r="AJ11" s="2552"/>
    </row>
    <row r="12" spans="1:36" ht="25.8" thickBot="1">
      <c r="A12" s="3010" t="s">
        <v>3238</v>
      </c>
      <c r="B12" s="3011" t="s">
        <v>3239</v>
      </c>
      <c r="C12" s="3012"/>
      <c r="D12" s="3013" t="s">
        <v>3240</v>
      </c>
      <c r="E12" s="3014" t="s">
        <v>3241</v>
      </c>
      <c r="F12" s="3015"/>
      <c r="G12" s="3016"/>
      <c r="H12" s="3016"/>
      <c r="I12" s="3016"/>
      <c r="J12" s="3017"/>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1">
        <f t="shared" si="0"/>
        <v>0</v>
      </c>
      <c r="U12" s="1129"/>
      <c r="V12" s="3061">
        <f t="shared" si="1"/>
        <v>0</v>
      </c>
      <c r="W12" s="1132"/>
      <c r="X12" s="1132"/>
      <c r="Y12" s="1132"/>
      <c r="Z12" s="1132"/>
      <c r="AA12" s="1132"/>
      <c r="AB12" s="1132"/>
      <c r="AC12" s="1133"/>
      <c r="AD12" s="2551"/>
      <c r="AE12" s="2551"/>
      <c r="AF12" s="2551"/>
      <c r="AG12" s="2551"/>
      <c r="AH12" s="2551"/>
      <c r="AI12" s="2551"/>
      <c r="AJ12" s="2552"/>
    </row>
    <row r="13" spans="1:36" ht="24.6" thickBot="1">
      <c r="A13" s="3010" t="s">
        <v>3242</v>
      </c>
      <c r="B13" s="1877" t="s">
        <v>1982</v>
      </c>
      <c r="C13" s="710">
        <f>ROUND(C16*D16*E16*F16*G16*H16*I16*J16,4)</f>
        <v>0</v>
      </c>
      <c r="D13" s="1878" t="s">
        <v>1983</v>
      </c>
      <c r="E13" s="1879"/>
      <c r="F13" s="1879"/>
      <c r="G13" s="1880"/>
      <c r="H13" s="1880"/>
      <c r="I13" s="1880"/>
      <c r="J13" s="1881"/>
      <c r="K13" s="1055"/>
      <c r="L13" s="3"/>
      <c r="M13" s="4"/>
      <c r="N13" s="3008"/>
      <c r="O13" s="1055"/>
      <c r="P13" s="1055"/>
      <c r="Q13" s="1055"/>
      <c r="R13" s="1128">
        <v>12</v>
      </c>
      <c r="S13" s="1129"/>
      <c r="T13" s="3061">
        <f t="shared" si="0"/>
        <v>0</v>
      </c>
      <c r="U13" s="1129"/>
      <c r="V13" s="3061">
        <f t="shared" si="1"/>
        <v>0</v>
      </c>
      <c r="W13" s="1132"/>
      <c r="X13" s="1132"/>
      <c r="Y13" s="1132"/>
      <c r="Z13" s="1132"/>
      <c r="AA13" s="1132"/>
      <c r="AB13" s="1132"/>
      <c r="AC13" s="1133"/>
      <c r="AD13" s="2551"/>
      <c r="AE13" s="2551"/>
      <c r="AF13" s="2551"/>
      <c r="AG13" s="2551"/>
      <c r="AH13" s="2551"/>
      <c r="AI13" s="2551"/>
      <c r="AJ13" s="2552"/>
    </row>
    <row r="14" spans="1:36" ht="24">
      <c r="A14" s="3006"/>
      <c r="B14" s="1882" t="s">
        <v>1985</v>
      </c>
      <c r="C14" s="1883" t="s">
        <v>1986</v>
      </c>
      <c r="D14" s="1260" t="s">
        <v>1987</v>
      </c>
      <c r="E14" s="27" t="s">
        <v>1988</v>
      </c>
      <c r="F14" s="3018" t="s">
        <v>3243</v>
      </c>
      <c r="G14" s="3018" t="s">
        <v>3243</v>
      </c>
      <c r="H14" s="3018" t="s">
        <v>3243</v>
      </c>
      <c r="I14" s="3018" t="s">
        <v>3243</v>
      </c>
      <c r="J14" s="3018" t="s">
        <v>3243</v>
      </c>
      <c r="K14" s="1055"/>
      <c r="L14" s="1055"/>
      <c r="M14" s="1055"/>
      <c r="N14" s="1055"/>
      <c r="O14" s="1055"/>
      <c r="P14" s="1055"/>
      <c r="Q14" s="1055"/>
      <c r="R14" s="1128">
        <v>13</v>
      </c>
      <c r="S14" s="1129"/>
      <c r="T14" s="3061">
        <f t="shared" si="0"/>
        <v>0</v>
      </c>
      <c r="U14" s="1129"/>
      <c r="V14" s="3061">
        <f t="shared" si="1"/>
        <v>0</v>
      </c>
      <c r="W14" s="1132"/>
      <c r="X14" s="1132"/>
      <c r="Y14" s="1132"/>
      <c r="Z14" s="1132"/>
      <c r="AA14" s="1132"/>
      <c r="AB14" s="1132"/>
      <c r="AC14" s="1133"/>
      <c r="AD14" s="2551"/>
      <c r="AE14" s="2551"/>
      <c r="AF14" s="2551"/>
      <c r="AG14" s="2551"/>
      <c r="AH14" s="2551"/>
      <c r="AI14" s="2551"/>
      <c r="AJ14" s="2552"/>
    </row>
    <row r="15" spans="1:36" ht="15">
      <c r="A15" s="3006"/>
      <c r="B15" s="1884"/>
      <c r="C15" s="1885"/>
      <c r="D15" s="1886"/>
      <c r="E15" s="1887"/>
      <c r="F15" s="1469" t="s">
        <v>3244</v>
      </c>
      <c r="G15" s="1927"/>
      <c r="H15" s="3019"/>
      <c r="I15" s="3020"/>
      <c r="J15" s="3021"/>
      <c r="K15" s="1055"/>
      <c r="L15" s="1055"/>
      <c r="M15" s="1055"/>
      <c r="N15" s="1055"/>
      <c r="O15" s="1055"/>
      <c r="P15" s="1055"/>
      <c r="Q15" s="1055"/>
      <c r="R15" s="1128">
        <v>14</v>
      </c>
      <c r="S15" s="1129"/>
      <c r="T15" s="3061">
        <f t="shared" si="0"/>
        <v>0</v>
      </c>
      <c r="U15" s="1129"/>
      <c r="V15" s="3061">
        <f t="shared" si="1"/>
        <v>0</v>
      </c>
      <c r="W15" s="1132"/>
      <c r="X15" s="1132"/>
      <c r="Y15" s="1132"/>
      <c r="Z15" s="1132"/>
      <c r="AA15" s="1132"/>
      <c r="AB15" s="1132"/>
      <c r="AC15" s="1133"/>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5"/>
      <c r="L16" s="1843"/>
      <c r="M16" s="1843"/>
      <c r="N16" s="1843"/>
      <c r="O16" s="1843"/>
      <c r="P16" s="1843"/>
      <c r="Q16" s="1055"/>
      <c r="R16" s="1128">
        <v>15</v>
      </c>
      <c r="S16" s="1129"/>
      <c r="T16" s="3061">
        <f t="shared" si="0"/>
        <v>0</v>
      </c>
      <c r="U16" s="1129"/>
      <c r="V16" s="3061">
        <f t="shared" si="1"/>
        <v>0</v>
      </c>
      <c r="W16" s="1132"/>
      <c r="X16" s="1132"/>
      <c r="Y16" s="1132"/>
      <c r="Z16" s="1132"/>
      <c r="AA16" s="1132"/>
      <c r="AB16" s="1132"/>
      <c r="AC16" s="1133"/>
      <c r="AD16" s="2551"/>
      <c r="AE16" s="2551"/>
      <c r="AF16" s="2551"/>
      <c r="AG16" s="2551"/>
      <c r="AH16" s="2551"/>
      <c r="AI16" s="2551"/>
      <c r="AJ16" s="2552"/>
    </row>
    <row r="17" spans="1:37" ht="24">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6"/>
      <c r="B18" s="2308"/>
      <c r="C18" s="3032"/>
      <c r="D18" s="3027" t="s">
        <v>3248</v>
      </c>
      <c r="E18" s="2355"/>
      <c r="F18" s="3028" t="s">
        <v>3251</v>
      </c>
      <c r="G18" s="3032">
        <f>ROUND(1-(1/(POWER(1+G24,E18))),4)</f>
        <v>0</v>
      </c>
      <c r="H18" s="3028" t="s">
        <v>3253</v>
      </c>
      <c r="I18" s="3032">
        <f>ROUND(1-(1/(POWER(1+G24,J24))),4)</f>
        <v>0.88249999999999995</v>
      </c>
      <c r="J18" s="3037"/>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0"/>
    </row>
    <row r="19" spans="1:37" s="1857" customFormat="1" ht="14.4" thickBot="1">
      <c r="A19" s="3038"/>
      <c r="B19" s="3039"/>
      <c r="C19" s="3040"/>
      <c r="D19" s="3040" t="s">
        <v>3249</v>
      </c>
      <c r="E19" s="3041"/>
      <c r="F19" s="3042" t="s">
        <v>3252</v>
      </c>
      <c r="G19" s="3041"/>
      <c r="H19" s="3040"/>
      <c r="I19" s="3040"/>
      <c r="J19" s="3043"/>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3"/>
      <c r="AH19" s="1979"/>
      <c r="AI19" s="560"/>
      <c r="AJ19" s="560"/>
      <c r="AK19" s="1898"/>
    </row>
    <row r="20" spans="1:37" s="1857" customFormat="1" ht="13.8">
      <c r="A20" s="3491" t="s">
        <v>3254</v>
      </c>
      <c r="B20" s="158" t="s">
        <v>1994</v>
      </c>
      <c r="C20" s="3029">
        <f>ROUND(IF(F21="与级别开发程度一致",0,(G21-E21)/C21),0)</f>
        <v>35</v>
      </c>
      <c r="D20" s="3044" t="s">
        <v>1998</v>
      </c>
      <c r="E20" s="3045"/>
      <c r="F20" s="3497" t="s">
        <v>1995</v>
      </c>
      <c r="G20" s="3498"/>
      <c r="H20" s="3030" t="s">
        <v>3531</v>
      </c>
      <c r="I20" s="3030" t="s">
        <v>3532</v>
      </c>
      <c r="J20" s="3031" t="s">
        <v>3533</v>
      </c>
      <c r="K20" s="1888" t="s">
        <v>3534</v>
      </c>
      <c r="L20" s="1888" t="s">
        <v>3535</v>
      </c>
      <c r="M20" s="1888" t="s">
        <v>3536</v>
      </c>
      <c r="N20" s="1888" t="s">
        <v>3537</v>
      </c>
      <c r="O20" s="1889" t="s">
        <v>3538</v>
      </c>
      <c r="P20" s="1843"/>
      <c r="Q20" s="1059"/>
      <c r="R20" s="1059"/>
      <c r="S20" s="1059"/>
      <c r="T20" s="1056"/>
      <c r="U20" s="1056"/>
      <c r="V20" s="1056"/>
      <c r="W20" s="1055"/>
      <c r="X20" s="1055"/>
      <c r="Y20" s="1055"/>
      <c r="Z20" s="1060"/>
      <c r="AA20" s="1060"/>
      <c r="AB20" s="1060"/>
      <c r="AC20" s="1060"/>
      <c r="AD20" s="1060"/>
      <c r="AE20" s="1060"/>
      <c r="AF20" s="1060"/>
      <c r="AG20" s="2550"/>
      <c r="AH20" s="2550"/>
      <c r="AI20" s="2550"/>
      <c r="AJ20" s="2550"/>
    </row>
    <row r="21" spans="1:37" s="1857" customFormat="1" ht="27" thickBot="1">
      <c r="A21" s="3492"/>
      <c r="B21" s="2001" t="s">
        <v>1997</v>
      </c>
      <c r="C21" s="2002">
        <f>IF(E3="M4科研用地",SUMPRODUCT((修正!A2:A7=E3)*(修正!B1:M1=G2)*(修正!B2:M7)),SUMPRODUCT((修正!A2:A7=E2)*(修正!B1:M1=G2)*(修正!B2:M7)))</f>
        <v>2</v>
      </c>
      <c r="D21" s="178" t="str">
        <f>IF(OR(G2="八级",G2="九级",G2="十级",G2="十一级",G2="十二级"),"五通一平","七通一平")</f>
        <v>五通一平</v>
      </c>
      <c r="E21" s="1992">
        <f>SUMPRODUCT((修正!B1:M1=G2)*(修正!B17:M17))</f>
        <v>185</v>
      </c>
      <c r="F21" s="1993" t="s">
        <v>3530</v>
      </c>
      <c r="G21" s="1994">
        <f>SUM(H21:O21)</f>
        <v>255</v>
      </c>
      <c r="H21" s="2002">
        <f>SUMPRODUCT((七通一平=H20)*(修正!B1:M1=G2)*(修正!B8:M16))</f>
        <v>60</v>
      </c>
      <c r="I21" s="2002">
        <f>SUMPRODUCT((七通一平=I20)*(修正!B1:M1=G2)*(修正!B8:M16))</f>
        <v>50</v>
      </c>
      <c r="J21" s="2003">
        <f>SUMPRODUCT((七通一平=J20)*(修正!B1:M1=G2)*(修正!B8:M16))</f>
        <v>10</v>
      </c>
      <c r="K21" s="2002">
        <f>SUMPRODUCT((七通一平=K20)*(修正!B1:M1=G2)*(修正!B8:M16))</f>
        <v>20</v>
      </c>
      <c r="L21" s="2002">
        <f>SUMPRODUCT((七通一平=L20)*(修正!B1:M1=G2)*(修正!B8:M16))</f>
        <v>35</v>
      </c>
      <c r="M21" s="2002">
        <f>SUMPRODUCT((七通一平=M20)*(修正!B1:M1=G2)*(修正!B8:M16))</f>
        <v>40</v>
      </c>
      <c r="N21" s="2002">
        <f>SUMPRODUCT((七通一平=N20)*(修正!B1:M1=G2)*(修正!B8:M16))</f>
        <v>30</v>
      </c>
      <c r="O21" s="2004">
        <f>SUMPRODUCT((七通一平=O20)*(修正!B1:M1=G2)*(修正!B8:M16))</f>
        <v>10</v>
      </c>
      <c r="P21" s="1843"/>
      <c r="Q21" s="2550"/>
      <c r="R21" s="1059"/>
      <c r="S21" s="1059"/>
      <c r="T21" s="1056"/>
      <c r="U21" s="1056"/>
      <c r="V21" s="1056"/>
      <c r="W21" s="1055"/>
      <c r="X21" s="1055"/>
      <c r="Y21" s="1055"/>
      <c r="Z21" s="1060"/>
      <c r="AA21" s="1060"/>
      <c r="AB21" s="1060"/>
      <c r="AC21" s="1060"/>
      <c r="AD21" s="1060"/>
      <c r="AE21" s="1060"/>
      <c r="AF21" s="1060"/>
      <c r="AG21" s="2550"/>
      <c r="AH21" s="2550"/>
      <c r="AI21" s="2550"/>
      <c r="AJ21" s="2550"/>
    </row>
    <row r="22" spans="1:37" s="1857" customFormat="1" ht="15" thickBot="1">
      <c r="A22" s="1995" t="s">
        <v>363</v>
      </c>
      <c r="B22" s="1996" t="s">
        <v>2000</v>
      </c>
      <c r="C22" s="1997">
        <f>SUMIF(修正!C20:C51,E3,修正!E20:E51)</f>
        <v>1</v>
      </c>
      <c r="D22" s="1998"/>
      <c r="E22" s="1999"/>
      <c r="F22" s="1999"/>
      <c r="G22" s="1999"/>
      <c r="H22" s="1999"/>
      <c r="I22" s="1999"/>
      <c r="J22" s="2000"/>
      <c r="K22" s="1060"/>
      <c r="L22" s="2550"/>
      <c r="M22" s="2550"/>
      <c r="N22" s="2550"/>
      <c r="O22" s="1058"/>
      <c r="P22" s="1058"/>
      <c r="Q22" s="2550"/>
      <c r="R22" s="1059"/>
      <c r="S22" s="1059"/>
      <c r="T22" s="1056"/>
      <c r="U22" s="1056"/>
      <c r="V22" s="1056"/>
      <c r="W22" s="1055"/>
      <c r="X22" s="1055"/>
      <c r="Y22" s="1055"/>
      <c r="Z22" s="1060"/>
      <c r="AA22" s="1060"/>
      <c r="AB22" s="1060"/>
      <c r="AC22" s="1060"/>
      <c r="AD22" s="1060"/>
      <c r="AE22" s="1060"/>
      <c r="AF22" s="1060"/>
      <c r="AG22" s="2550"/>
      <c r="AH22" s="2550"/>
      <c r="AI22" s="2550"/>
      <c r="AJ22" s="2550"/>
    </row>
    <row r="23" spans="1:37" ht="27" thickBot="1">
      <c r="A23" s="1891" t="s">
        <v>364</v>
      </c>
      <c r="B23" s="1892" t="s">
        <v>2001</v>
      </c>
      <c r="C23" s="71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1.0432999999999999</v>
      </c>
      <c r="D23" s="1895" t="s">
        <v>2002</v>
      </c>
      <c r="E23" s="716">
        <v>44197</v>
      </c>
      <c r="F23" s="1895" t="s">
        <v>2003</v>
      </c>
      <c r="G23" s="717">
        <f>'数据-取费表'!B2</f>
        <v>45562</v>
      </c>
      <c r="H23" s="3046" t="s">
        <v>3255</v>
      </c>
      <c r="I23" s="3047" t="str">
        <f>IF(H23="季度增幅（自定义）",SUMIF(N25:N28,E2,O25:O28),"")</f>
        <v/>
      </c>
      <c r="J23" s="3139" t="s">
        <v>3422</v>
      </c>
      <c r="K23" s="1060"/>
      <c r="L23" s="1896" t="s">
        <v>2004</v>
      </c>
      <c r="M23" s="1240">
        <f>ROUND(SUMIF(地价!B2:G2,E2,地价!B16:G16),0)</f>
        <v>350</v>
      </c>
      <c r="N23" s="1897" t="s">
        <v>2005</v>
      </c>
      <c r="O23" s="718">
        <f>ROUNDDOWN(DATEDIF(E23,G23,"M")/3,0)</f>
        <v>14</v>
      </c>
      <c r="P23" s="1056"/>
      <c r="Q23" s="2550"/>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6" thickBot="1">
      <c r="A24" s="1899" t="s">
        <v>365</v>
      </c>
      <c r="B24" s="1900" t="s">
        <v>2006</v>
      </c>
      <c r="C24" s="719">
        <f>ROUND(POWER(1+G24,J24-I24)*(POWER(1+G24,I24)-1)/(POWER(1+G24,J24)-1),4)</f>
        <v>0.67710000000000004</v>
      </c>
      <c r="D24" s="1901" t="s">
        <v>2007</v>
      </c>
      <c r="E24" s="1247">
        <f>存贷款利率!E26/100</f>
        <v>4.3499999999999997E-2</v>
      </c>
      <c r="F24" s="1901" t="s">
        <v>1999</v>
      </c>
      <c r="G24" s="723">
        <f>SUMIF(M30:Q30,E2,M33:Q33)</f>
        <v>5.5E-2</v>
      </c>
      <c r="H24" s="1901" t="s">
        <v>2008</v>
      </c>
      <c r="I24" s="724">
        <f>SUMIF('数据-取费表'!C6:C15,E2,'数据-取费表'!F6:F15)/COUNTIF('数据-取费表'!C6:C15,E2)</f>
        <v>17</v>
      </c>
      <c r="J24" s="725">
        <f>IF(E2="住宅",70,IF(E2="商业",40,50))</f>
        <v>40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0"/>
      <c r="AH24" s="2550"/>
      <c r="AI24" s="2550"/>
      <c r="AJ24" s="2550"/>
    </row>
    <row r="25" spans="1:37" ht="14.4">
      <c r="A25" s="1906" t="s">
        <v>366</v>
      </c>
      <c r="B25" s="1907" t="s">
        <v>3423</v>
      </c>
      <c r="C25" s="460">
        <f>IF(B25="容积率修正",IF(G3&lt;10,D26,J26),C27)</f>
        <v>1.1883999999999999</v>
      </c>
      <c r="D25" s="1908"/>
      <c r="E25" s="1908"/>
      <c r="F25" s="1908"/>
      <c r="G25" s="1908"/>
      <c r="H25" s="1908"/>
      <c r="I25" s="1908"/>
      <c r="J25" s="1909"/>
      <c r="K25" s="1060"/>
      <c r="L25" s="2550"/>
      <c r="M25" s="2550"/>
      <c r="N25" s="1910" t="s">
        <v>2013</v>
      </c>
      <c r="O25" s="1092"/>
      <c r="P25" s="1093">
        <f>SUMPRODUCT((地价!A3:A40=YEAR(G23)&amp;"-"&amp;ROUNDUP(MONTH(G23)/3,0))*(地价!AD2:AH2=N25)*(地价!AD3:AH40))</f>
        <v>0</v>
      </c>
      <c r="Q25" s="2550"/>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4">
      <c r="A26" s="1805" t="s">
        <v>2014</v>
      </c>
      <c r="B26" s="1911" t="s">
        <v>2015</v>
      </c>
      <c r="C26" s="1911" t="s">
        <v>3256</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3257</v>
      </c>
      <c r="J26" s="373" t="str">
        <f>IF(G3&gt;=10,D115,"——")</f>
        <v>——</v>
      </c>
      <c r="K26" s="1060"/>
      <c r="L26" s="2550"/>
      <c r="M26" s="2550"/>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2017</v>
      </c>
      <c r="B27" s="1912" t="s">
        <v>2018</v>
      </c>
      <c r="C27" s="790">
        <f>ROUND(IF(I3&lt;6,SUMPRODUCT((B106:B110=I3)*(C105:N105=G2)*(C106:N110)),SUMIF(C105:N105,G2,C112:N112)),4)</f>
        <v>1.1883999999999999</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 thickBot="1">
      <c r="A28" s="1899" t="s">
        <v>367</v>
      </c>
      <c r="B28" s="1892" t="s">
        <v>2020</v>
      </c>
      <c r="C28" s="715">
        <f>SUMIF(A47:A101,E2,B47:B101)</f>
        <v>1.018</v>
      </c>
      <c r="D28" s="1893"/>
      <c r="E28" s="1918"/>
      <c r="F28" s="1918"/>
      <c r="G28" s="1918"/>
      <c r="H28" s="1918"/>
      <c r="I28" s="1918"/>
      <c r="J28" s="1919"/>
      <c r="K28" s="1060"/>
      <c r="L28" s="2550"/>
      <c r="M28" s="2550"/>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 thickBot="1">
      <c r="A29" s="1899" t="s">
        <v>368</v>
      </c>
      <c r="B29" s="1921" t="s">
        <v>2022</v>
      </c>
      <c r="C29" s="720"/>
      <c r="D29" s="1867"/>
      <c r="E29" s="1867"/>
      <c r="F29" s="1922"/>
      <c r="G29" s="1867"/>
      <c r="H29" s="1867"/>
      <c r="I29" s="1867"/>
      <c r="J29" s="1868"/>
      <c r="K29" s="1055"/>
      <c r="L29" s="1843"/>
      <c r="M29" s="1843"/>
      <c r="N29" s="2547" t="s">
        <v>2023</v>
      </c>
      <c r="O29" s="2548"/>
      <c r="P29" s="2549">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3"/>
      <c r="B30" s="1911" t="s">
        <v>2024</v>
      </c>
      <c r="C30" s="2144">
        <f>IF(B25="容积率修正",E33+SUM(E37:E42),SUM(V2:V16)+SUM(E37:E42))</f>
        <v>80</v>
      </c>
      <c r="D30" s="1924"/>
      <c r="E30" s="1841"/>
      <c r="F30" s="1925"/>
      <c r="G30" s="1841"/>
      <c r="H30" s="1841"/>
      <c r="I30" s="1841"/>
      <c r="J30" s="1926"/>
      <c r="K30" s="1055"/>
      <c r="L30" s="3053" t="s">
        <v>1936</v>
      </c>
      <c r="M30" s="3054" t="s">
        <v>1990</v>
      </c>
      <c r="N30" s="3054" t="s">
        <v>1991</v>
      </c>
      <c r="O30" s="3054" t="s">
        <v>1992</v>
      </c>
      <c r="P30" s="3054" t="s">
        <v>1993</v>
      </c>
      <c r="Q30" s="3057" t="s">
        <v>3261</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3"/>
      <c r="B31" s="1927" t="s">
        <v>2025</v>
      </c>
      <c r="C31" s="721">
        <f>E34+SUM(I37:I42)</f>
        <v>0</v>
      </c>
      <c r="D31" s="1928"/>
      <c r="E31" s="1929"/>
      <c r="F31" s="1930"/>
      <c r="G31" s="1929"/>
      <c r="H31" s="1929"/>
      <c r="I31" s="1929"/>
      <c r="J31" s="1931"/>
      <c r="K31" s="1055"/>
      <c r="L31" s="3055" t="s">
        <v>1996</v>
      </c>
      <c r="M31" s="161">
        <v>0.25</v>
      </c>
      <c r="N31" s="161">
        <v>0.2</v>
      </c>
      <c r="O31" s="161">
        <v>0.15</v>
      </c>
      <c r="P31" s="161">
        <v>0.1</v>
      </c>
      <c r="Q31" s="3050">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5"/>
      <c r="L32" s="3056" t="s">
        <v>1999</v>
      </c>
      <c r="M32" s="2354">
        <f>ROUND($E$24*(1+M31),3)</f>
        <v>5.3999999999999999E-2</v>
      </c>
      <c r="N32" s="2354">
        <f>ROUND($E$24*(1+N31),3)</f>
        <v>5.1999999999999998E-2</v>
      </c>
      <c r="O32" s="2354">
        <f>ROUND($E$24*(1+O31),3)</f>
        <v>0.05</v>
      </c>
      <c r="P32" s="2354">
        <f>ROUND($E$24*(1+P31),3)</f>
        <v>4.8000000000000001E-2</v>
      </c>
      <c r="Q32" s="3058">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7"/>
      <c r="B33" s="1938" t="s">
        <v>2030</v>
      </c>
      <c r="C33" s="166">
        <f>ROUND(C5*C22*C23*C24*C25*C28,0)</f>
        <v>4431</v>
      </c>
      <c r="D33" s="1939"/>
      <c r="E33" s="726">
        <f>ROUND(C33*D33/10000,0)</f>
        <v>0</v>
      </c>
      <c r="F33" s="3048" t="s">
        <v>3259</v>
      </c>
      <c r="G33" s="1940"/>
      <c r="H33" s="1940"/>
      <c r="I33" s="1940"/>
      <c r="J33" s="1941"/>
      <c r="K33" s="1055"/>
      <c r="L33" s="3051" t="s">
        <v>3262</v>
      </c>
      <c r="M33" s="3052">
        <v>5.5E-2</v>
      </c>
      <c r="N33" s="3052">
        <v>5.5E-2</v>
      </c>
      <c r="O33" s="3052">
        <v>0.05</v>
      </c>
      <c r="P33" s="3052">
        <v>0.05</v>
      </c>
      <c r="Q33" s="3052">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8" thickBot="1">
      <c r="A34" s="1942"/>
      <c r="B34" s="1943" t="s">
        <v>2031</v>
      </c>
      <c r="C34" s="178" t="e">
        <f>ROUND(IF(E2="工业",C33*M42,IF(B25="楼层修正",SUM(V2:V16)*M41*10000/D34,C33*M41)),0)</f>
        <v>#DIV/0!</v>
      </c>
      <c r="D34" s="1944"/>
      <c r="E34" s="726">
        <f>ROUND(IF(B25="楼层修正",SUM(V2:V16)*M40,C34*D34/10000),0)</f>
        <v>0</v>
      </c>
      <c r="F34" s="1945" t="s">
        <v>2032</v>
      </c>
      <c r="G34" s="1946"/>
      <c r="H34" s="1946"/>
      <c r="I34" s="1946"/>
      <c r="J34" s="1947"/>
      <c r="K34" s="1055"/>
      <c r="L34" s="3051" t="s">
        <v>3263</v>
      </c>
      <c r="M34" s="3052">
        <v>6.5000000000000002E-2</v>
      </c>
      <c r="N34" s="3052">
        <v>6.5000000000000002E-2</v>
      </c>
      <c r="O34" s="3052">
        <v>0.06</v>
      </c>
      <c r="P34" s="3052">
        <v>0.06</v>
      </c>
      <c r="Q34" s="3052">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49" t="s">
        <v>3260</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36.6" thickBot="1">
      <c r="A36" s="1937"/>
      <c r="B36" s="1952"/>
      <c r="C36" s="435" t="s">
        <v>2027</v>
      </c>
      <c r="D36" s="432" t="s">
        <v>2028</v>
      </c>
      <c r="E36" s="432" t="s">
        <v>2029</v>
      </c>
      <c r="F36" s="332" t="s">
        <v>2035</v>
      </c>
      <c r="G36" s="1953" t="s">
        <v>2027</v>
      </c>
      <c r="H36" s="1953" t="s">
        <v>2028</v>
      </c>
      <c r="I36" s="1953" t="s">
        <v>2029</v>
      </c>
      <c r="J36" s="234"/>
      <c r="K36" s="1963" t="s">
        <v>3264</v>
      </c>
      <c r="L36" s="3140">
        <f ca="1">'数据-取费表'!B40</f>
        <v>3.3500000000000002E-2</v>
      </c>
      <c r="M36" s="2364">
        <f ca="1">ROUND($L$36*(1+M31),3)</f>
        <v>4.2000000000000003E-2</v>
      </c>
      <c r="N36" s="2364">
        <f ca="1">ROUND($L$36*(1+N31),3)</f>
        <v>0.04</v>
      </c>
      <c r="O36" s="2364">
        <f ca="1">ROUND($L$36*(1+O31),3)</f>
        <v>3.9E-2</v>
      </c>
      <c r="P36" s="2364">
        <f ca="1">ROUND($L$36*(1+P31),3)</f>
        <v>3.6999999999999998E-2</v>
      </c>
      <c r="Q36" s="2364">
        <f ca="1">ROUND($L$36*(1+Q31),3)</f>
        <v>3.9E-2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6" thickBot="1">
      <c r="A37" s="3495"/>
      <c r="B37" s="1954" t="s">
        <v>2036</v>
      </c>
      <c r="C37" s="166">
        <f>ROUND(D5*C22*C23*C24*C28*F37,0)</f>
        <v>1864</v>
      </c>
      <c r="D37" s="1939"/>
      <c r="E37" s="162">
        <f>ROUND(C37*D37/10000,0)</f>
        <v>0</v>
      </c>
      <c r="F37" s="162">
        <f>SUMIF(修正!A57:A68,G2,修正!B57:B68)</f>
        <v>0.5</v>
      </c>
      <c r="G37" s="162">
        <f>ROUND(IF(E2="工业",C37*$M$42,C37*$M$41),0)</f>
        <v>466</v>
      </c>
      <c r="H37" s="162">
        <f>D37</f>
        <v>0</v>
      </c>
      <c r="I37" s="162">
        <f>ROUND(G37*H37/10000,0)</f>
        <v>0</v>
      </c>
      <c r="J37" s="2752"/>
      <c r="K37" s="3059" t="s">
        <v>3265</v>
      </c>
      <c r="L37" s="1963">
        <f ca="1">L36+K38</f>
        <v>3.85E-2</v>
      </c>
      <c r="M37" s="2364">
        <f ca="1">ROUND($L$37*(1+M31),3)</f>
        <v>4.8000000000000001E-2</v>
      </c>
      <c r="N37" s="2364">
        <f t="shared" ref="N37:Q37" ca="1" si="3">ROUND($L$37*(1+N31),3)</f>
        <v>4.5999999999999999E-2</v>
      </c>
      <c r="O37" s="2364">
        <f t="shared" ca="1" si="3"/>
        <v>4.3999999999999997E-2</v>
      </c>
      <c r="P37" s="2364">
        <f t="shared" ca="1" si="3"/>
        <v>4.2000000000000003E-2</v>
      </c>
      <c r="Q37" s="2364">
        <f t="shared" ca="1" si="3"/>
        <v>4.3999999999999997E-2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96"/>
      <c r="B38" s="1883" t="s">
        <v>2037</v>
      </c>
      <c r="C38" s="166">
        <f>ROUND(D5*C22*C23*C24*C28*F38,0)</f>
        <v>746</v>
      </c>
      <c r="D38" s="1939"/>
      <c r="E38" s="162">
        <f t="shared" ref="E38:E42" si="4">ROUND(C38*D38/10000,0)</f>
        <v>0</v>
      </c>
      <c r="F38" s="162">
        <f>SUMIF(修正!A57:A68,G2,修正!C57:C68)</f>
        <v>0.2</v>
      </c>
      <c r="G38" s="162">
        <f>ROUND(IF(E2="工业",C38*$M$42,C38*$M$41),0)</f>
        <v>187</v>
      </c>
      <c r="H38" s="162">
        <f t="shared" ref="H38:H42" si="5">D38</f>
        <v>0</v>
      </c>
      <c r="I38" s="162">
        <f t="shared" ref="I38:I42" si="6">ROUND(G38*H38/10000,0)</f>
        <v>0</v>
      </c>
      <c r="J38" s="2751"/>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8" thickBot="1">
      <c r="A39" s="3496"/>
      <c r="B39" s="1883" t="s">
        <v>3258</v>
      </c>
      <c r="C39" s="166">
        <f>ROUND(D5*C22*C23*C24*C28*F39,0)</f>
        <v>746</v>
      </c>
      <c r="D39" s="1939"/>
      <c r="E39" s="162">
        <f t="shared" si="4"/>
        <v>0</v>
      </c>
      <c r="F39" s="162">
        <f>SUMIF(修正!A57:A68,G2,修正!D57:D68)</f>
        <v>0.2</v>
      </c>
      <c r="G39" s="162">
        <f>ROUND(IF(E2="工业",C39*$M$42,C39*$M$41),0)</f>
        <v>187</v>
      </c>
      <c r="H39" s="162">
        <f t="shared" si="5"/>
        <v>0</v>
      </c>
      <c r="I39" s="162">
        <f t="shared" si="6"/>
        <v>0</v>
      </c>
      <c r="J39" s="2751"/>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2">
        <f>ROUND(D5*C22*C23*C24*C28*F40,0)</f>
        <v>746</v>
      </c>
      <c r="D40" s="1939"/>
      <c r="E40" s="162">
        <f t="shared" si="4"/>
        <v>0</v>
      </c>
      <c r="F40" s="166">
        <f>SUMIF(修正!A57:A68,G2,修正!E57:E68)</f>
        <v>0.2</v>
      </c>
      <c r="G40" s="162">
        <f>ROUND(IF(E2="工业",C40*$M$42,C40*$M$41),0)</f>
        <v>187</v>
      </c>
      <c r="H40" s="162">
        <f t="shared" si="5"/>
        <v>0</v>
      </c>
      <c r="I40" s="162">
        <f t="shared" si="6"/>
        <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2">
        <f>ROUND(D5*C22*C23*C44*C28*F41,0)</f>
        <v>707</v>
      </c>
      <c r="D41" s="1939"/>
      <c r="E41" s="162">
        <f t="shared" si="4"/>
        <v>0</v>
      </c>
      <c r="F41" s="166">
        <f>SUMIF(修正!A57:A68,G2,修正!F57:F68)</f>
        <v>0.2</v>
      </c>
      <c r="G41" s="162">
        <f>ROUND(IF(E2="工业",C41*$M$42,C41*$M$41),0)</f>
        <v>177</v>
      </c>
      <c r="H41" s="162">
        <f t="shared" si="5"/>
        <v>0</v>
      </c>
      <c r="I41" s="162">
        <f t="shared" si="6"/>
        <v>0</v>
      </c>
      <c r="J41" s="938"/>
      <c r="L41" s="3060" t="s">
        <v>3266</v>
      </c>
      <c r="M41" s="1958">
        <v>0.25</v>
      </c>
      <c r="Z41" s="1056"/>
      <c r="AA41" s="1056"/>
      <c r="AB41" s="1056"/>
      <c r="AC41" s="1056"/>
      <c r="AD41" s="1056"/>
      <c r="AE41" s="1056"/>
      <c r="AF41" s="1056"/>
      <c r="AG41" s="1056"/>
      <c r="AH41" s="1056"/>
      <c r="AI41" s="1056"/>
      <c r="AJ41" s="1056"/>
    </row>
    <row r="42" spans="1:37" s="1055" customFormat="1" ht="13.8" thickBot="1">
      <c r="A42" s="1942"/>
      <c r="B42" s="1959" t="s">
        <v>2041</v>
      </c>
      <c r="C42" s="178">
        <f>ROUND(D5*C22*C23*C44*C28*F42,0)</f>
        <v>353</v>
      </c>
      <c r="D42" s="1944"/>
      <c r="E42" s="178">
        <f t="shared" si="4"/>
        <v>0</v>
      </c>
      <c r="F42" s="722">
        <f>SUMIF(修正!A57:A68,G2,修正!G57:G68)</f>
        <v>0.1</v>
      </c>
      <c r="G42" s="178">
        <f>ROUND(IF(E2="工业",C42*$M$42,C42*$M$41),0)</f>
        <v>88</v>
      </c>
      <c r="H42" s="178">
        <f t="shared" si="5"/>
        <v>0</v>
      </c>
      <c r="I42" s="178">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1" t="s">
        <v>2122</v>
      </c>
      <c r="C44" s="332">
        <f>ROUND(POWER(1+E44,H44-G44)*(POWER(1+E44,G44)-1)/(POWER(1+E44,H44)-1),4)</f>
        <v>0.64170000000000005</v>
      </c>
      <c r="D44" s="162" t="s">
        <v>1999</v>
      </c>
      <c r="E44" s="1990">
        <f>G24</f>
        <v>5.5E-2</v>
      </c>
      <c r="F44" s="162" t="s">
        <v>2008</v>
      </c>
      <c r="G44" s="174">
        <f>项目基本情况!D15</f>
        <v>17</v>
      </c>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c r="A48" s="1966" t="s">
        <v>2043</v>
      </c>
      <c r="B48" s="1967">
        <f>1+E50</f>
        <v>1.018</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c r="A49" s="1969" t="s">
        <v>2044</v>
      </c>
      <c r="B49" s="1261" t="s">
        <v>2045</v>
      </c>
      <c r="C49" s="1261" t="s">
        <v>2046</v>
      </c>
      <c r="D49" s="1261" t="s">
        <v>2047</v>
      </c>
      <c r="E49" s="700" t="s">
        <v>2048</v>
      </c>
      <c r="F49" s="1970" t="s">
        <v>2049</v>
      </c>
      <c r="G49" s="1261" t="s">
        <v>310</v>
      </c>
      <c r="H49" s="1971" t="s">
        <v>2050</v>
      </c>
      <c r="I49" s="1261" t="s">
        <v>2051</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52.8">
      <c r="A50" s="1969" t="s">
        <v>2052</v>
      </c>
      <c r="B50" s="1972" t="str">
        <f>估价对象房地状况!C4</f>
        <v>估价对象2公里范围内有百品尚购物中心，周边商业氛围一般，人流量一般，商业繁华一般</v>
      </c>
      <c r="C50" s="1886" t="s">
        <v>3424</v>
      </c>
      <c r="D50" s="1001">
        <f t="shared" ref="D50:D58" si="7">SUMIF($J$49:$N$49,C50,J50:N50)</f>
        <v>0</v>
      </c>
      <c r="E50" s="701">
        <f>ROUND(SUM(D50:D58),4)</f>
        <v>1.7999999999999999E-2</v>
      </c>
      <c r="F50" s="1674">
        <f>IF(E2="商业",SUMIF(L1:L12,G2,N1:N12),"——")</f>
        <v>0.15</v>
      </c>
      <c r="G50" s="999">
        <v>2.2499999999999999E-2</v>
      </c>
      <c r="H50" s="1002">
        <f t="shared" ref="H50:H58" si="8">IFERROR(ROUNDDOWN($F$50*I50/2,4),"——")</f>
        <v>2.2499999999999999E-2</v>
      </c>
      <c r="I50" s="3066">
        <v>0.3</v>
      </c>
      <c r="J50" s="1000">
        <f t="shared" ref="J50:J58" si="9">K50+$G50</f>
        <v>4.4999999999999998E-2</v>
      </c>
      <c r="K50" s="1000">
        <f t="shared" ref="K50:K58" si="10">$L50+$G50</f>
        <v>2.2499999999999999E-2</v>
      </c>
      <c r="L50" s="1000">
        <v>0</v>
      </c>
      <c r="M50" s="1000">
        <f t="shared" ref="M50:N58" si="11">L50-$G50</f>
        <v>-2.2499999999999999E-2</v>
      </c>
      <c r="N50" s="1000">
        <f t="shared" si="11"/>
        <v>-4.4999999999999998E-2</v>
      </c>
      <c r="AA50" s="1056"/>
      <c r="AB50" s="1056"/>
      <c r="AC50" s="1056"/>
      <c r="AD50" s="1056"/>
      <c r="AE50" s="1056"/>
      <c r="AF50" s="1056"/>
      <c r="AG50" s="1056"/>
      <c r="AH50" s="1056"/>
      <c r="AI50" s="1056"/>
      <c r="AJ50" s="1056"/>
      <c r="AK50" s="1056"/>
    </row>
    <row r="51" spans="1:37" s="1055" customFormat="1" ht="79.2">
      <c r="A51" s="1969" t="s">
        <v>2053</v>
      </c>
      <c r="B51" s="1261" t="str">
        <f>估价对象房地状况!C18</f>
        <v>估价对象临城市主干道--妫川路，周边有Y9路、919路、920路公交车，门口可停车，停车便捷程度较好，综合评价交通便捷度一般</v>
      </c>
      <c r="C51" s="1886" t="s">
        <v>3424</v>
      </c>
      <c r="D51" s="1001">
        <f t="shared" si="7"/>
        <v>0</v>
      </c>
      <c r="E51" s="702"/>
      <c r="F51" s="1674"/>
      <c r="G51" s="999">
        <v>1.6500000000000001E-2</v>
      </c>
      <c r="H51" s="1002">
        <f t="shared" si="8"/>
        <v>1.6500000000000001E-2</v>
      </c>
      <c r="I51" s="3066">
        <v>0.22</v>
      </c>
      <c r="J51" s="1000">
        <f t="shared" si="9"/>
        <v>3.3000000000000002E-2</v>
      </c>
      <c r="K51" s="1000">
        <f t="shared" si="10"/>
        <v>1.6500000000000001E-2</v>
      </c>
      <c r="L51" s="1000">
        <v>0</v>
      </c>
      <c r="M51" s="1000">
        <f t="shared" si="11"/>
        <v>-1.6500000000000001E-2</v>
      </c>
      <c r="N51" s="1000">
        <f t="shared" si="11"/>
        <v>-3.3000000000000002E-2</v>
      </c>
      <c r="AA51" s="1056"/>
      <c r="AB51" s="1056"/>
      <c r="AC51" s="1056"/>
      <c r="AD51" s="1056"/>
      <c r="AE51" s="1056"/>
      <c r="AF51" s="1056"/>
      <c r="AG51" s="1056"/>
      <c r="AH51" s="1056"/>
      <c r="AI51" s="1056"/>
      <c r="AJ51" s="1056"/>
      <c r="AK51" s="1056"/>
    </row>
    <row r="52" spans="1:37" s="1055" customFormat="1" ht="48">
      <c r="A52" s="3068" t="s">
        <v>3268</v>
      </c>
      <c r="B52" s="1261">
        <f>估价对象房地状况!C19</f>
        <v>0</v>
      </c>
      <c r="C52" s="1886" t="s">
        <v>3424</v>
      </c>
      <c r="D52" s="1001">
        <f t="shared" si="7"/>
        <v>0</v>
      </c>
      <c r="E52" s="702"/>
      <c r="F52" s="1674"/>
      <c r="G52" s="999">
        <v>8.9999999999999993E-3</v>
      </c>
      <c r="H52" s="1002">
        <f t="shared" si="8"/>
        <v>8.9999999999999993E-3</v>
      </c>
      <c r="I52" s="3066">
        <v>0.12</v>
      </c>
      <c r="J52" s="1000">
        <f t="shared" si="9"/>
        <v>1.7999999999999999E-2</v>
      </c>
      <c r="K52" s="1000">
        <f t="shared" si="10"/>
        <v>8.9999999999999993E-3</v>
      </c>
      <c r="L52" s="1000">
        <v>0</v>
      </c>
      <c r="M52" s="1000">
        <f t="shared" si="11"/>
        <v>-8.9999999999999993E-3</v>
      </c>
      <c r="N52" s="1000">
        <f t="shared" si="11"/>
        <v>-1.7999999999999999E-2</v>
      </c>
      <c r="AA52" s="1056"/>
      <c r="AB52" s="1056"/>
      <c r="AC52" s="1056"/>
      <c r="AD52" s="1056"/>
      <c r="AE52" s="1056"/>
      <c r="AF52" s="1056"/>
      <c r="AG52" s="1056"/>
      <c r="AH52" s="1056"/>
      <c r="AI52" s="1056"/>
      <c r="AJ52" s="1056"/>
      <c r="AK52" s="1056"/>
    </row>
    <row r="53" spans="1:37" s="1055" customFormat="1" ht="37.200000000000003">
      <c r="A53" s="1969" t="s">
        <v>2054</v>
      </c>
      <c r="B53" s="1973" t="s">
        <v>2055</v>
      </c>
      <c r="C53" s="1886" t="s">
        <v>3430</v>
      </c>
      <c r="D53" s="1001">
        <f t="shared" si="7"/>
        <v>-3.7000000000000002E-3</v>
      </c>
      <c r="E53" s="702"/>
      <c r="F53" s="1674"/>
      <c r="G53" s="999">
        <v>3.7000000000000002E-3</v>
      </c>
      <c r="H53" s="1002">
        <f t="shared" si="8"/>
        <v>3.7000000000000002E-3</v>
      </c>
      <c r="I53" s="3066">
        <v>0.05</v>
      </c>
      <c r="J53" s="1000">
        <f t="shared" si="9"/>
        <v>7.4000000000000003E-3</v>
      </c>
      <c r="K53" s="1000">
        <f t="shared" si="10"/>
        <v>3.7000000000000002E-3</v>
      </c>
      <c r="L53" s="1000">
        <v>0</v>
      </c>
      <c r="M53" s="1000">
        <f t="shared" si="11"/>
        <v>-3.7000000000000002E-3</v>
      </c>
      <c r="N53" s="1000">
        <f t="shared" si="11"/>
        <v>-7.4000000000000003E-3</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t="s">
        <v>3425</v>
      </c>
      <c r="D54" s="1001">
        <f t="shared" si="7"/>
        <v>6.0000000000000001E-3</v>
      </c>
      <c r="E54" s="702"/>
      <c r="F54" s="1674"/>
      <c r="G54" s="999">
        <v>6.0000000000000001E-3</v>
      </c>
      <c r="H54" s="1002">
        <f t="shared" si="8"/>
        <v>6.0000000000000001E-3</v>
      </c>
      <c r="I54" s="3066">
        <v>0.08</v>
      </c>
      <c r="J54" s="1000">
        <f t="shared" si="9"/>
        <v>1.2E-2</v>
      </c>
      <c r="K54" s="1000">
        <f t="shared" si="10"/>
        <v>6.0000000000000001E-3</v>
      </c>
      <c r="L54" s="1000">
        <v>0</v>
      </c>
      <c r="M54" s="1000">
        <f t="shared" si="11"/>
        <v>-6.0000000000000001E-3</v>
      </c>
      <c r="N54" s="1000">
        <f t="shared" si="11"/>
        <v>-1.2E-2</v>
      </c>
      <c r="AA54" s="1056"/>
      <c r="AB54" s="1056"/>
      <c r="AC54" s="1056"/>
      <c r="AD54" s="1056"/>
      <c r="AE54" s="1056"/>
      <c r="AF54" s="1056"/>
      <c r="AG54" s="1056"/>
      <c r="AH54" s="1056"/>
      <c r="AI54" s="1056"/>
      <c r="AJ54" s="1056"/>
      <c r="AK54" s="1056"/>
    </row>
    <row r="55" spans="1:37" s="1055" customFormat="1" ht="36">
      <c r="A55" s="1969" t="s">
        <v>2057</v>
      </c>
      <c r="B55" s="1974" t="s">
        <v>2058</v>
      </c>
      <c r="C55" s="1886" t="s">
        <v>3424</v>
      </c>
      <c r="D55" s="1001">
        <f t="shared" si="7"/>
        <v>0</v>
      </c>
      <c r="E55" s="702"/>
      <c r="F55" s="1674"/>
      <c r="G55" s="999">
        <v>3.7000000000000002E-3</v>
      </c>
      <c r="H55" s="1002">
        <f t="shared" si="8"/>
        <v>3.7000000000000002E-3</v>
      </c>
      <c r="I55" s="3066">
        <v>0.05</v>
      </c>
      <c r="J55" s="1000">
        <f t="shared" si="9"/>
        <v>7.4000000000000003E-3</v>
      </c>
      <c r="K55" s="1000">
        <f t="shared" si="10"/>
        <v>3.7000000000000002E-3</v>
      </c>
      <c r="L55" s="1000">
        <v>0</v>
      </c>
      <c r="M55" s="1000">
        <f t="shared" si="11"/>
        <v>-3.7000000000000002E-3</v>
      </c>
      <c r="N55" s="1000">
        <f t="shared" si="11"/>
        <v>-7.4000000000000003E-3</v>
      </c>
      <c r="AA55" s="1056"/>
      <c r="AB55" s="1056"/>
      <c r="AC55" s="1056"/>
      <c r="AD55" s="1056"/>
      <c r="AE55" s="1056"/>
      <c r="AF55" s="1056"/>
      <c r="AG55" s="1056"/>
      <c r="AH55" s="1056"/>
      <c r="AI55" s="1056"/>
      <c r="AJ55" s="1056"/>
      <c r="AK55" s="1056"/>
    </row>
    <row r="56" spans="1:37" s="1055" customFormat="1" ht="105.6">
      <c r="A56" s="1975" t="s">
        <v>2059</v>
      </c>
      <c r="B56" s="1239" t="str">
        <f>估价对象房地状况!C21</f>
        <v>估价对象所在区域公共配套设施齐备情况：农业银行、农业发展银行、中国银行，司家营小学、北京市延庆区第二中学，国润家园社区卫生服务站、北京中医医院延庆医院，百尚购物中心</v>
      </c>
      <c r="C56" s="1886" t="s">
        <v>3424</v>
      </c>
      <c r="D56" s="1001">
        <f t="shared" si="7"/>
        <v>0</v>
      </c>
      <c r="E56" s="702"/>
      <c r="F56" s="1674"/>
      <c r="G56" s="999">
        <v>3.7000000000000002E-3</v>
      </c>
      <c r="H56" s="1002">
        <f t="shared" si="8"/>
        <v>3.7000000000000002E-3</v>
      </c>
      <c r="I56" s="3066">
        <v>0.05</v>
      </c>
      <c r="J56" s="1000">
        <f t="shared" si="9"/>
        <v>7.4000000000000003E-3</v>
      </c>
      <c r="K56" s="1000">
        <f t="shared" si="10"/>
        <v>3.7000000000000002E-3</v>
      </c>
      <c r="L56" s="1000">
        <v>0</v>
      </c>
      <c r="M56" s="1000">
        <f t="shared" si="11"/>
        <v>-3.7000000000000002E-3</v>
      </c>
      <c r="N56" s="1000">
        <f t="shared" si="11"/>
        <v>-7.4000000000000003E-3</v>
      </c>
      <c r="AA56" s="1056"/>
      <c r="AB56" s="1056"/>
      <c r="AC56" s="1056"/>
      <c r="AD56" s="1056"/>
      <c r="AE56" s="1056"/>
      <c r="AF56" s="1056"/>
      <c r="AG56" s="1056"/>
      <c r="AH56" s="1056"/>
      <c r="AI56" s="1056"/>
      <c r="AJ56" s="1056"/>
      <c r="AK56" s="1056"/>
    </row>
    <row r="57" spans="1:37" s="1055" customFormat="1" ht="26.4">
      <c r="A57" s="1975" t="s">
        <v>2060</v>
      </c>
      <c r="B57" s="1261" t="str">
        <f>估价对象房地状况!C22</f>
        <v>估价对象所在区域基础设施水平</v>
      </c>
      <c r="C57" s="1886" t="s">
        <v>3539</v>
      </c>
      <c r="D57" s="1001">
        <f t="shared" si="7"/>
        <v>1.2E-2</v>
      </c>
      <c r="E57" s="702"/>
      <c r="F57" s="1674"/>
      <c r="G57" s="999">
        <v>6.0000000000000001E-3</v>
      </c>
      <c r="H57" s="1002">
        <f t="shared" si="8"/>
        <v>6.0000000000000001E-3</v>
      </c>
      <c r="I57" s="3066">
        <v>0.08</v>
      </c>
      <c r="J57" s="1000">
        <f t="shared" si="9"/>
        <v>1.2E-2</v>
      </c>
      <c r="K57" s="1000">
        <f t="shared" si="10"/>
        <v>6.0000000000000001E-3</v>
      </c>
      <c r="L57" s="1000">
        <v>0</v>
      </c>
      <c r="M57" s="1000">
        <f t="shared" si="11"/>
        <v>-6.0000000000000001E-3</v>
      </c>
      <c r="N57" s="1000">
        <f t="shared" si="11"/>
        <v>-1.2E-2</v>
      </c>
      <c r="AA57" s="1056"/>
      <c r="AB57" s="1056"/>
      <c r="AC57" s="1056"/>
      <c r="AD57" s="1056"/>
      <c r="AE57" s="1056"/>
      <c r="AF57" s="1056"/>
      <c r="AG57" s="1056"/>
      <c r="AH57" s="1056"/>
      <c r="AI57" s="1056"/>
      <c r="AJ57" s="1056"/>
      <c r="AK57" s="1056"/>
    </row>
    <row r="58" spans="1:37" s="1055" customFormat="1" ht="106.2" thickBot="1">
      <c r="A58" s="1976" t="s">
        <v>2061</v>
      </c>
      <c r="B58" s="1977" t="str">
        <f>估价对象房地状况!C20</f>
        <v>区域自然环境：迎宾公园、百泉公园、夏都公园、北京延庆世界地质公园；人文环境：延庆区职业学院、妫川宝塔、延庆地质博物馆、水生野生博物馆；综合评价环境状况较好</v>
      </c>
      <c r="C58" s="1886" t="s">
        <v>3425</v>
      </c>
      <c r="D58" s="1001">
        <f t="shared" si="7"/>
        <v>3.7000000000000002E-3</v>
      </c>
      <c r="E58" s="703"/>
      <c r="F58" s="1674"/>
      <c r="G58" s="999">
        <v>3.7000000000000002E-3</v>
      </c>
      <c r="H58" s="1002">
        <f t="shared" si="8"/>
        <v>3.7000000000000002E-3</v>
      </c>
      <c r="I58" s="3067">
        <v>0.05</v>
      </c>
      <c r="J58" s="1000">
        <f t="shared" si="9"/>
        <v>7.4000000000000003E-3</v>
      </c>
      <c r="K58" s="1000">
        <f t="shared" si="10"/>
        <v>3.7000000000000002E-3</v>
      </c>
      <c r="L58" s="1000">
        <v>0</v>
      </c>
      <c r="M58" s="1000">
        <f t="shared" si="11"/>
        <v>-3.7000000000000002E-3</v>
      </c>
      <c r="N58" s="1000">
        <f t="shared" si="11"/>
        <v>-7.4000000000000003E-3</v>
      </c>
      <c r="AA58" s="1056"/>
      <c r="AB58" s="1056"/>
      <c r="AC58" s="1056"/>
      <c r="AD58" s="1056"/>
      <c r="AE58" s="1056"/>
      <c r="AF58" s="1056"/>
      <c r="AG58" s="1056"/>
      <c r="AH58" s="1056"/>
      <c r="AI58" s="1056"/>
      <c r="AJ58" s="1056"/>
      <c r="AK58" s="1056"/>
    </row>
    <row r="59" spans="1:37" s="1055" customFormat="1" ht="14.4">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9" t="s">
        <v>2044</v>
      </c>
      <c r="B60" s="1261"/>
      <c r="C60" s="1261" t="s">
        <v>2046</v>
      </c>
      <c r="D60" s="1261" t="s">
        <v>2047</v>
      </c>
      <c r="E60" s="700" t="s">
        <v>2048</v>
      </c>
      <c r="F60" s="1970" t="s">
        <v>2063</v>
      </c>
      <c r="G60" s="1261" t="s">
        <v>310</v>
      </c>
      <c r="H60" s="1971" t="s">
        <v>2050</v>
      </c>
      <c r="I60" s="1261" t="s">
        <v>2051</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39.6">
      <c r="A61" s="1969" t="s">
        <v>2064</v>
      </c>
      <c r="B61" s="1972" t="str">
        <f>估价对象房地状况!C17</f>
        <v>估价对象位于XX商圈，周边办公楼项目较多，入驻率高，办公集聚程度较好</v>
      </c>
      <c r="C61" s="1886"/>
      <c r="D61" s="1001">
        <f t="shared" ref="D61:D69" si="12">SUMIF($J$60:$N$60,C61,J61:N61)</f>
        <v>0</v>
      </c>
      <c r="E61" s="701">
        <f>ROUND(SUM(D61:D69),4)</f>
        <v>0</v>
      </c>
      <c r="F61" s="1674" t="str">
        <f>IF(E2="办公",SUMIF(L1:L12,G2,N1:N12),"——")</f>
        <v>——</v>
      </c>
      <c r="G61" s="999"/>
      <c r="H61" s="1002" t="str">
        <f t="shared" ref="H61:H69" si="13">IFERROR(ROUNDDOWN($F$61*I61/2,4),"——")</f>
        <v>——</v>
      </c>
      <c r="I61" s="3066">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79.2">
      <c r="A62" s="1969" t="s">
        <v>2053</v>
      </c>
      <c r="B62" s="1261" t="str">
        <f>估价对象房地状况!C18</f>
        <v>估价对象临城市主干道--妫川路，周边有Y9路、919路、920路公交车，门口可停车，停车便捷程度较好，综合评价交通便捷度一般</v>
      </c>
      <c r="C62" s="1886"/>
      <c r="D62" s="1001">
        <f t="shared" si="12"/>
        <v>0</v>
      </c>
      <c r="E62" s="702"/>
      <c r="F62" s="1674"/>
      <c r="G62" s="999"/>
      <c r="H62" s="1002" t="str">
        <f t="shared" si="13"/>
        <v>——</v>
      </c>
      <c r="I62" s="3066">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48">
      <c r="A63" s="3068" t="s">
        <v>3268</v>
      </c>
      <c r="B63" s="1261">
        <f>估价对象房地状况!C19</f>
        <v>0</v>
      </c>
      <c r="C63" s="1886"/>
      <c r="D63" s="1001">
        <f t="shared" si="12"/>
        <v>0</v>
      </c>
      <c r="E63" s="702"/>
      <c r="F63" s="1674"/>
      <c r="G63" s="999"/>
      <c r="H63" s="1002" t="str">
        <f t="shared" si="13"/>
        <v>——</v>
      </c>
      <c r="I63" s="3066">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7.200000000000003">
      <c r="A64" s="1969" t="s">
        <v>2054</v>
      </c>
      <c r="B64" s="1973" t="s">
        <v>2055</v>
      </c>
      <c r="C64" s="1886"/>
      <c r="D64" s="1001">
        <f t="shared" si="12"/>
        <v>0</v>
      </c>
      <c r="E64" s="702"/>
      <c r="F64" s="1674"/>
      <c r="G64" s="999"/>
      <c r="H64" s="1002" t="str">
        <f t="shared" si="13"/>
        <v>——</v>
      </c>
      <c r="I64" s="3066">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2"/>
        <v>0</v>
      </c>
      <c r="E65" s="702"/>
      <c r="F65" s="1674"/>
      <c r="G65" s="999"/>
      <c r="H65" s="1002" t="str">
        <f t="shared" si="13"/>
        <v>——</v>
      </c>
      <c r="I65" s="3066">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36">
      <c r="A66" s="1969" t="s">
        <v>2057</v>
      </c>
      <c r="B66" s="1974" t="s">
        <v>2058</v>
      </c>
      <c r="C66" s="1886"/>
      <c r="D66" s="1001">
        <f t="shared" si="12"/>
        <v>0</v>
      </c>
      <c r="E66" s="702"/>
      <c r="F66" s="1674"/>
      <c r="G66" s="999"/>
      <c r="H66" s="1002" t="str">
        <f t="shared" si="13"/>
        <v>——</v>
      </c>
      <c r="I66" s="3066">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105.6">
      <c r="A67" s="1969" t="s">
        <v>2059</v>
      </c>
      <c r="B67" s="1239" t="str">
        <f>估价对象房地状况!C21</f>
        <v>估价对象所在区域公共配套设施齐备情况：农业银行、农业发展银行、中国银行，司家营小学、北京市延庆区第二中学，国润家园社区卫生服务站、北京中医医院延庆医院，百尚购物中心</v>
      </c>
      <c r="C67" s="1886"/>
      <c r="D67" s="1001">
        <f t="shared" si="12"/>
        <v>0</v>
      </c>
      <c r="E67" s="702"/>
      <c r="F67" s="1674"/>
      <c r="G67" s="999"/>
      <c r="H67" s="1002" t="str">
        <f t="shared" si="13"/>
        <v>——</v>
      </c>
      <c r="I67" s="3066">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6.4">
      <c r="A68" s="1969" t="s">
        <v>2060</v>
      </c>
      <c r="B68" s="1239" t="str">
        <f>估价对象房地状况!C22</f>
        <v>估价对象所在区域基础设施水平</v>
      </c>
      <c r="C68" s="1886"/>
      <c r="D68" s="1001">
        <f t="shared" si="12"/>
        <v>0</v>
      </c>
      <c r="E68" s="702"/>
      <c r="F68" s="1674"/>
      <c r="G68" s="999"/>
      <c r="H68" s="1002" t="str">
        <f t="shared" si="13"/>
        <v>——</v>
      </c>
      <c r="I68" s="3066">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106.2" thickBot="1">
      <c r="A69" s="1976" t="s">
        <v>2061</v>
      </c>
      <c r="B69" s="1978" t="str">
        <f>估价对象房地状况!C20</f>
        <v>区域自然环境：迎宾公园、百泉公园、夏都公园、北京延庆世界地质公园；人文环境：延庆区职业学院、妫川宝塔、延庆地质博物馆、水生野生博物馆；综合评价环境状况较好</v>
      </c>
      <c r="C69" s="1886"/>
      <c r="D69" s="1001">
        <f t="shared" si="12"/>
        <v>0</v>
      </c>
      <c r="E69" s="703"/>
      <c r="F69" s="1674"/>
      <c r="G69" s="999"/>
      <c r="H69" s="1002" t="str">
        <f t="shared" si="13"/>
        <v>——</v>
      </c>
      <c r="I69" s="3067">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4.4">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9" t="s">
        <v>2044</v>
      </c>
      <c r="B71" s="1261"/>
      <c r="C71" s="1261" t="s">
        <v>2046</v>
      </c>
      <c r="D71" s="1261" t="s">
        <v>2047</v>
      </c>
      <c r="E71" s="700" t="s">
        <v>2048</v>
      </c>
      <c r="F71" s="1970" t="s">
        <v>2063</v>
      </c>
      <c r="G71" s="1261" t="s">
        <v>310</v>
      </c>
      <c r="H71" s="1971" t="s">
        <v>2050</v>
      </c>
      <c r="I71" s="1261" t="s">
        <v>2051</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52.8">
      <c r="A72" s="1969" t="s">
        <v>2066</v>
      </c>
      <c r="B72" s="1972" t="str">
        <f>估价对象房地状况!C15</f>
        <v>估价对象周边居住用地比例、居住小区规模和社区发展完善程度，综合评价居住社区成熟度一般</v>
      </c>
      <c r="C72" s="1886"/>
      <c r="D72" s="1001">
        <f t="shared" ref="D72:D80" si="17">SUMIF($J$71:$N$71,C72,J72:N72)</f>
        <v>0</v>
      </c>
      <c r="E72" s="701">
        <f>ROUND(SUM(D72:D80),4)</f>
        <v>0</v>
      </c>
      <c r="F72" s="1674" t="str">
        <f>IF(E2="住宅",SUMIF(L1:L12,G2,N1:N12),"——")</f>
        <v>——</v>
      </c>
      <c r="G72" s="999"/>
      <c r="H72" s="1002" t="str">
        <f t="shared" ref="H72:H80" si="18">IFERROR(ROUNDDOWN($F$72*I72/2,4),"——")</f>
        <v>——</v>
      </c>
      <c r="I72" s="3066">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79.2">
      <c r="A73" s="1969" t="s">
        <v>2053</v>
      </c>
      <c r="B73" s="1261" t="str">
        <f>估价对象房地状况!C18</f>
        <v>估价对象临城市主干道--妫川路，周边有Y9路、919路、920路公交车，门口可停车，停车便捷程度较好，综合评价交通便捷度一般</v>
      </c>
      <c r="C73" s="1886"/>
      <c r="D73" s="1001">
        <f t="shared" si="17"/>
        <v>0</v>
      </c>
      <c r="E73" s="704"/>
      <c r="F73" s="1674"/>
      <c r="G73" s="999"/>
      <c r="H73" s="1002" t="str">
        <f t="shared" si="18"/>
        <v>——</v>
      </c>
      <c r="I73" s="3066">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48">
      <c r="A74" s="3068" t="s">
        <v>3268</v>
      </c>
      <c r="B74" s="1261">
        <f>估价对象房地状况!C19</f>
        <v>0</v>
      </c>
      <c r="C74" s="1886"/>
      <c r="D74" s="1001">
        <f t="shared" si="17"/>
        <v>0</v>
      </c>
      <c r="E74" s="704"/>
      <c r="F74" s="1674"/>
      <c r="G74" s="999"/>
      <c r="H74" s="1002" t="str">
        <f t="shared" si="18"/>
        <v>——</v>
      </c>
      <c r="I74" s="3066">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3.8">
      <c r="A75" s="1969" t="s">
        <v>2067</v>
      </c>
      <c r="B75" s="1261">
        <f>估价对象房地状况!C24</f>
        <v>0</v>
      </c>
      <c r="C75" s="1886"/>
      <c r="D75" s="1001">
        <f t="shared" si="17"/>
        <v>0</v>
      </c>
      <c r="E75" s="704"/>
      <c r="F75" s="1674"/>
      <c r="G75" s="999"/>
      <c r="H75" s="1002" t="str">
        <f t="shared" si="18"/>
        <v>——</v>
      </c>
      <c r="I75" s="3066">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105.6">
      <c r="A76" s="1969" t="s">
        <v>2059</v>
      </c>
      <c r="B76" s="1239" t="str">
        <f>估价对象房地状况!C21</f>
        <v>估价对象所在区域公共配套设施齐备情况：农业银行、农业发展银行、中国银行，司家营小学、北京市延庆区第二中学，国润家园社区卫生服务站、北京中医医院延庆医院，百尚购物中心</v>
      </c>
      <c r="C76" s="1886"/>
      <c r="D76" s="1001">
        <f t="shared" si="17"/>
        <v>0</v>
      </c>
      <c r="E76" s="704"/>
      <c r="F76" s="1674"/>
      <c r="G76" s="999"/>
      <c r="H76" s="1002" t="str">
        <f t="shared" si="18"/>
        <v>——</v>
      </c>
      <c r="I76" s="3066">
        <v>0.08</v>
      </c>
      <c r="J76" s="1000">
        <f t="shared" si="19"/>
        <v>0</v>
      </c>
      <c r="K76" s="1000">
        <f t="shared" si="20"/>
        <v>0</v>
      </c>
      <c r="L76" s="1000">
        <v>0</v>
      </c>
      <c r="M76" s="1000">
        <f t="shared" si="21"/>
        <v>0</v>
      </c>
      <c r="N76" s="1000">
        <f t="shared" si="21"/>
        <v>0</v>
      </c>
      <c r="O76" s="1055"/>
      <c r="P76" s="1055"/>
      <c r="Z76" s="1844"/>
      <c r="AA76" s="1894"/>
      <c r="AG76" s="1057"/>
      <c r="AK76" s="1894"/>
    </row>
    <row r="77" spans="1:37" ht="26.4">
      <c r="A77" s="1969" t="s">
        <v>2060</v>
      </c>
      <c r="B77" s="1239" t="str">
        <f>估价对象房地状况!C22</f>
        <v>估价对象所在区域基础设施水平</v>
      </c>
      <c r="C77" s="1886"/>
      <c r="D77" s="1001">
        <f t="shared" si="17"/>
        <v>0</v>
      </c>
      <c r="E77" s="704"/>
      <c r="F77" s="1674"/>
      <c r="G77" s="999"/>
      <c r="H77" s="1002" t="str">
        <f t="shared" si="18"/>
        <v>——</v>
      </c>
      <c r="I77" s="3066">
        <v>0.09</v>
      </c>
      <c r="J77" s="1000">
        <f t="shared" si="19"/>
        <v>0</v>
      </c>
      <c r="K77" s="1000">
        <f t="shared" si="20"/>
        <v>0</v>
      </c>
      <c r="L77" s="1000">
        <v>0</v>
      </c>
      <c r="M77" s="1000">
        <f t="shared" si="21"/>
        <v>0</v>
      </c>
      <c r="N77" s="1000">
        <f t="shared" si="21"/>
        <v>0</v>
      </c>
      <c r="O77" s="1055"/>
      <c r="P77" s="1055"/>
      <c r="Z77" s="1844"/>
      <c r="AA77" s="1894"/>
      <c r="AG77" s="1057"/>
      <c r="AK77" s="1894"/>
    </row>
    <row r="78" spans="1:37" ht="36">
      <c r="A78" s="1969" t="s">
        <v>2057</v>
      </c>
      <c r="B78" s="1974" t="s">
        <v>2058</v>
      </c>
      <c r="C78" s="1886"/>
      <c r="D78" s="1001">
        <f t="shared" si="17"/>
        <v>0</v>
      </c>
      <c r="E78" s="704"/>
      <c r="F78" s="1674"/>
      <c r="G78" s="999"/>
      <c r="H78" s="1002" t="str">
        <f t="shared" si="18"/>
        <v>——</v>
      </c>
      <c r="I78" s="3066">
        <v>0.05</v>
      </c>
      <c r="J78" s="1000">
        <f t="shared" si="19"/>
        <v>0</v>
      </c>
      <c r="K78" s="1000">
        <f t="shared" si="20"/>
        <v>0</v>
      </c>
      <c r="L78" s="1000">
        <v>0</v>
      </c>
      <c r="M78" s="1000">
        <f t="shared" si="21"/>
        <v>0</v>
      </c>
      <c r="N78" s="1000">
        <f t="shared" si="21"/>
        <v>0</v>
      </c>
      <c r="O78" s="1843"/>
      <c r="P78" s="1843"/>
      <c r="Z78" s="1844"/>
      <c r="AA78" s="1894"/>
      <c r="AG78" s="1057"/>
      <c r="AK78" s="1894"/>
    </row>
    <row r="79" spans="1:37" ht="105.6">
      <c r="A79" s="1969" t="s">
        <v>2061</v>
      </c>
      <c r="B79" s="1972" t="str">
        <f>估价对象房地状况!C20</f>
        <v>区域自然环境：迎宾公园、百泉公园、夏都公园、北京延庆世界地质公园；人文环境：延庆区职业学院、妫川宝塔、延庆地质博物馆、水生野生博物馆；综合评价环境状况较好</v>
      </c>
      <c r="C79" s="1886"/>
      <c r="D79" s="1001">
        <f t="shared" si="17"/>
        <v>0</v>
      </c>
      <c r="E79" s="704"/>
      <c r="F79" s="1674"/>
      <c r="G79" s="999"/>
      <c r="H79" s="1002" t="str">
        <f t="shared" si="18"/>
        <v>——</v>
      </c>
      <c r="I79" s="3066">
        <v>0.12</v>
      </c>
      <c r="J79" s="1000">
        <f t="shared" si="19"/>
        <v>0</v>
      </c>
      <c r="K79" s="1000">
        <f t="shared" si="20"/>
        <v>0</v>
      </c>
      <c r="L79" s="1000">
        <v>0</v>
      </c>
      <c r="M79" s="1000">
        <f t="shared" si="21"/>
        <v>0</v>
      </c>
      <c r="N79" s="1000">
        <f t="shared" si="21"/>
        <v>0</v>
      </c>
      <c r="Z79" s="1844"/>
      <c r="AA79" s="1894"/>
      <c r="AG79" s="1057"/>
      <c r="AK79" s="1894"/>
    </row>
    <row r="80" spans="1:37" ht="36.6" thickBot="1">
      <c r="A80" s="1976" t="s">
        <v>2068</v>
      </c>
      <c r="B80" s="1980"/>
      <c r="C80" s="1886"/>
      <c r="D80" s="1001">
        <f t="shared" si="17"/>
        <v>0</v>
      </c>
      <c r="E80" s="705"/>
      <c r="F80" s="1674"/>
      <c r="G80" s="999"/>
      <c r="H80" s="1002" t="str">
        <f t="shared" si="18"/>
        <v>——</v>
      </c>
      <c r="I80" s="3067">
        <v>0.05</v>
      </c>
      <c r="J80" s="1000">
        <f t="shared" si="19"/>
        <v>0</v>
      </c>
      <c r="K80" s="1000">
        <f t="shared" si="20"/>
        <v>0</v>
      </c>
      <c r="L80" s="1000">
        <v>0</v>
      </c>
      <c r="M80" s="1000">
        <f t="shared" si="21"/>
        <v>0</v>
      </c>
      <c r="N80" s="1000">
        <f t="shared" si="21"/>
        <v>0</v>
      </c>
      <c r="Z80" s="1844"/>
      <c r="AA80" s="1894"/>
      <c r="AG80" s="1057"/>
      <c r="AK80" s="1894"/>
    </row>
    <row r="81" spans="1:37" ht="14.4">
      <c r="A81" s="1966" t="s">
        <v>2069</v>
      </c>
      <c r="B81" s="1967">
        <f>1+E83</f>
        <v>1</v>
      </c>
      <c r="C81" s="698"/>
      <c r="D81" s="698"/>
      <c r="E81" s="699"/>
      <c r="F81" s="1968"/>
      <c r="G81" s="3"/>
      <c r="H81" s="3"/>
      <c r="I81" s="3"/>
      <c r="J81" s="4"/>
      <c r="K81" s="4"/>
      <c r="L81" s="4"/>
      <c r="M81" s="4"/>
      <c r="N81" s="4"/>
      <c r="Z81" s="1844"/>
      <c r="AA81" s="1894"/>
      <c r="AG81" s="1057"/>
      <c r="AK81" s="1894"/>
    </row>
    <row r="82" spans="1:37" ht="25.2">
      <c r="A82" s="1969" t="s">
        <v>2044</v>
      </c>
      <c r="B82" s="1261"/>
      <c r="C82" s="1261" t="s">
        <v>2046</v>
      </c>
      <c r="D82" s="1261" t="s">
        <v>2047</v>
      </c>
      <c r="E82" s="700" t="s">
        <v>2048</v>
      </c>
      <c r="F82" s="1970" t="s">
        <v>2063</v>
      </c>
      <c r="G82" s="1261" t="s">
        <v>310</v>
      </c>
      <c r="H82" s="1971" t="s">
        <v>2050</v>
      </c>
      <c r="I82" s="1261" t="s">
        <v>2051</v>
      </c>
      <c r="J82" s="529" t="s">
        <v>1721</v>
      </c>
      <c r="K82" s="529" t="s">
        <v>1722</v>
      </c>
      <c r="L82" s="529" t="s">
        <v>1723</v>
      </c>
      <c r="M82" s="529" t="s">
        <v>1724</v>
      </c>
      <c r="N82" s="529" t="s">
        <v>1725</v>
      </c>
      <c r="Z82" s="1844"/>
      <c r="AA82" s="1894"/>
      <c r="AG82" s="1057"/>
      <c r="AK82" s="1894"/>
    </row>
    <row r="83" spans="1:37" ht="39.6">
      <c r="A83" s="1969" t="s">
        <v>2070</v>
      </c>
      <c r="B83" s="1261" t="str">
        <f>估价对象房地状况!G15</f>
        <v>估价对象位于XX开发区，园区建设成熟度XX，产业集聚程度XX</v>
      </c>
      <c r="C83" s="1886"/>
      <c r="D83" s="1001">
        <f t="shared" ref="D83:D90" si="22">SUMIF($J$82:$N$82,C83,J83:N83)</f>
        <v>0</v>
      </c>
      <c r="E83" s="701">
        <f>ROUND(SUM(D83:D90),4)</f>
        <v>0</v>
      </c>
      <c r="F83" s="1674" t="str">
        <f>IF(E2="工业",SUMIF(L1:L12,G2,N1:N12),"——")</f>
        <v>——</v>
      </c>
      <c r="G83" s="999"/>
      <c r="H83" s="1002" t="str">
        <f t="shared" ref="H83:H90" si="23">IFERROR(ROUNDDOWN($F$83*I83/2,4),"——")</f>
        <v>——</v>
      </c>
      <c r="I83" s="3066">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52.8">
      <c r="A84" s="1969" t="s">
        <v>2053</v>
      </c>
      <c r="B84" s="1261" t="str">
        <f>估价对象房地状况!G16</f>
        <v>估价对象周边道路状况、公共交通通达情况、停车便捷程度，综合评价交通便捷度较好</v>
      </c>
      <c r="C84" s="1886"/>
      <c r="D84" s="1001">
        <f t="shared" si="22"/>
        <v>0</v>
      </c>
      <c r="E84" s="704"/>
      <c r="F84" s="1674"/>
      <c r="G84" s="999"/>
      <c r="H84" s="1002" t="str">
        <f t="shared" si="23"/>
        <v>——</v>
      </c>
      <c r="I84" s="3066">
        <v>0.3</v>
      </c>
      <c r="J84" s="1000">
        <f t="shared" si="24"/>
        <v>0</v>
      </c>
      <c r="K84" s="1000">
        <f t="shared" si="25"/>
        <v>0</v>
      </c>
      <c r="L84" s="1000">
        <v>0</v>
      </c>
      <c r="M84" s="1000">
        <f t="shared" si="26"/>
        <v>0</v>
      </c>
      <c r="N84" s="1000">
        <f t="shared" si="26"/>
        <v>0</v>
      </c>
      <c r="Z84" s="1844"/>
      <c r="AA84" s="1894"/>
      <c r="AG84" s="1057"/>
      <c r="AK84" s="1894"/>
    </row>
    <row r="85" spans="1:37" ht="48">
      <c r="A85" s="3068" t="s">
        <v>3269</v>
      </c>
      <c r="B85" s="1261">
        <f>估价对象房地状况!G17</f>
        <v>0</v>
      </c>
      <c r="C85" s="1886"/>
      <c r="D85" s="1001">
        <f t="shared" si="22"/>
        <v>0</v>
      </c>
      <c r="E85" s="704"/>
      <c r="F85" s="1674"/>
      <c r="G85" s="999"/>
      <c r="H85" s="1002" t="str">
        <f t="shared" si="23"/>
        <v>——</v>
      </c>
      <c r="I85" s="3066">
        <v>0.1</v>
      </c>
      <c r="J85" s="1000">
        <f t="shared" si="24"/>
        <v>0</v>
      </c>
      <c r="K85" s="1000">
        <f t="shared" si="25"/>
        <v>0</v>
      </c>
      <c r="L85" s="1000">
        <v>0</v>
      </c>
      <c r="M85" s="1000">
        <f t="shared" si="26"/>
        <v>0</v>
      </c>
      <c r="N85" s="1000">
        <f t="shared" si="26"/>
        <v>0</v>
      </c>
      <c r="Z85" s="1844"/>
      <c r="AA85" s="1894"/>
      <c r="AG85" s="1057"/>
      <c r="AK85" s="1894"/>
    </row>
    <row r="86" spans="1:37" ht="13.8">
      <c r="A86" s="1969" t="s">
        <v>2067</v>
      </c>
      <c r="B86" s="1261">
        <f>估价对象房地状况!G22</f>
        <v>0</v>
      </c>
      <c r="C86" s="1886"/>
      <c r="D86" s="1001">
        <f t="shared" si="22"/>
        <v>0</v>
      </c>
      <c r="E86" s="704"/>
      <c r="F86" s="1674"/>
      <c r="G86" s="999"/>
      <c r="H86" s="1002" t="str">
        <f t="shared" si="23"/>
        <v>——</v>
      </c>
      <c r="I86" s="3066">
        <v>0.05</v>
      </c>
      <c r="J86" s="1000">
        <f t="shared" si="24"/>
        <v>0</v>
      </c>
      <c r="K86" s="1000">
        <f t="shared" si="25"/>
        <v>0</v>
      </c>
      <c r="L86" s="1000">
        <v>0</v>
      </c>
      <c r="M86" s="1000">
        <f t="shared" si="26"/>
        <v>0</v>
      </c>
      <c r="N86" s="1000">
        <f t="shared" si="26"/>
        <v>0</v>
      </c>
      <c r="Z86" s="1844"/>
      <c r="AA86" s="1894"/>
      <c r="AG86" s="1057"/>
      <c r="AK86" s="1894"/>
    </row>
    <row r="87" spans="1:37" ht="26.4">
      <c r="A87" s="1969" t="s">
        <v>2059</v>
      </c>
      <c r="B87" s="1239" t="str">
        <f>估价对象房地状况!G19</f>
        <v>估价对象所在区域公共配套设施齐备情况</v>
      </c>
      <c r="C87" s="1886"/>
      <c r="D87" s="1001">
        <f t="shared" si="22"/>
        <v>0</v>
      </c>
      <c r="E87" s="704"/>
      <c r="F87" s="1674"/>
      <c r="G87" s="999"/>
      <c r="H87" s="1002" t="str">
        <f t="shared" si="23"/>
        <v>——</v>
      </c>
      <c r="I87" s="3066">
        <v>0.06</v>
      </c>
      <c r="J87" s="1000">
        <f t="shared" si="24"/>
        <v>0</v>
      </c>
      <c r="K87" s="1000">
        <f t="shared" si="25"/>
        <v>0</v>
      </c>
      <c r="L87" s="1000">
        <v>0</v>
      </c>
      <c r="M87" s="1000">
        <f t="shared" si="26"/>
        <v>0</v>
      </c>
      <c r="N87" s="1000">
        <f t="shared" si="26"/>
        <v>0</v>
      </c>
    </row>
    <row r="88" spans="1:37" ht="26.4">
      <c r="A88" s="1969" t="s">
        <v>2060</v>
      </c>
      <c r="B88" s="1239" t="str">
        <f>估价对象房地状况!G20</f>
        <v>估价对象所在区域基础设施水平</v>
      </c>
      <c r="C88" s="1886"/>
      <c r="D88" s="1001">
        <f t="shared" si="22"/>
        <v>0</v>
      </c>
      <c r="E88" s="704"/>
      <c r="F88" s="1674"/>
      <c r="G88" s="999"/>
      <c r="H88" s="1002" t="str">
        <f t="shared" si="23"/>
        <v>——</v>
      </c>
      <c r="I88" s="3066">
        <v>0.12</v>
      </c>
      <c r="J88" s="1000">
        <f t="shared" si="24"/>
        <v>0</v>
      </c>
      <c r="K88" s="1000">
        <f t="shared" si="25"/>
        <v>0</v>
      </c>
      <c r="L88" s="1000">
        <v>0</v>
      </c>
      <c r="M88" s="1000">
        <f t="shared" si="26"/>
        <v>0</v>
      </c>
      <c r="N88" s="1000">
        <f t="shared" si="26"/>
        <v>0</v>
      </c>
    </row>
    <row r="89" spans="1:37" ht="36">
      <c r="A89" s="1969" t="s">
        <v>2057</v>
      </c>
      <c r="B89" s="1974" t="s">
        <v>2071</v>
      </c>
      <c r="C89" s="1886"/>
      <c r="D89" s="1001">
        <f t="shared" si="22"/>
        <v>0</v>
      </c>
      <c r="E89" s="704"/>
      <c r="F89" s="1674"/>
      <c r="G89" s="999"/>
      <c r="H89" s="1002" t="str">
        <f t="shared" si="23"/>
        <v>——</v>
      </c>
      <c r="I89" s="3066">
        <v>0.06</v>
      </c>
      <c r="J89" s="1000">
        <f t="shared" si="24"/>
        <v>0</v>
      </c>
      <c r="K89" s="1000">
        <f t="shared" si="25"/>
        <v>0</v>
      </c>
      <c r="L89" s="1000">
        <v>0</v>
      </c>
      <c r="M89" s="1000">
        <f t="shared" si="26"/>
        <v>0</v>
      </c>
      <c r="N89" s="1000">
        <f t="shared" si="26"/>
        <v>0</v>
      </c>
    </row>
    <row r="90" spans="1:37" ht="40.200000000000003" thickBot="1">
      <c r="A90" s="1976" t="s">
        <v>2072</v>
      </c>
      <c r="B90" s="1981" t="str">
        <f>估价对象房地状况!G18</f>
        <v>该园区内是否有污染型企业，绿化情况，卫生条件，整体环境状况判断</v>
      </c>
      <c r="C90" s="1886"/>
      <c r="D90" s="1001">
        <f t="shared" si="22"/>
        <v>0</v>
      </c>
      <c r="E90" s="705"/>
      <c r="F90" s="1674"/>
      <c r="G90" s="999"/>
      <c r="H90" s="1002" t="str">
        <f t="shared" si="23"/>
        <v>——</v>
      </c>
      <c r="I90" s="3067">
        <v>0.05</v>
      </c>
      <c r="J90" s="1000">
        <f t="shared" si="24"/>
        <v>0</v>
      </c>
      <c r="K90" s="1000">
        <f t="shared" si="25"/>
        <v>0</v>
      </c>
      <c r="L90" s="1000">
        <v>0</v>
      </c>
      <c r="M90" s="1000">
        <f t="shared" si="26"/>
        <v>0</v>
      </c>
      <c r="N90" s="1000">
        <f t="shared" si="26"/>
        <v>0</v>
      </c>
    </row>
    <row r="91" spans="1:37" ht="13.8">
      <c r="A91" s="3076" t="s">
        <v>2612</v>
      </c>
      <c r="B91" s="3077">
        <f>1+E93</f>
        <v>1</v>
      </c>
      <c r="C91" s="3070"/>
      <c r="D91" s="3071"/>
      <c r="E91" s="1674"/>
      <c r="F91" s="1674"/>
      <c r="G91" s="3072"/>
      <c r="H91" s="3073"/>
      <c r="I91" s="3074"/>
      <c r="J91" s="3075"/>
      <c r="K91" s="3075"/>
      <c r="L91" s="3075"/>
      <c r="M91" s="3075"/>
      <c r="N91" s="3075"/>
    </row>
    <row r="92" spans="1:37" ht="25.2">
      <c r="A92" s="3078" t="s">
        <v>3270</v>
      </c>
      <c r="B92" s="2308"/>
      <c r="C92" s="2308" t="s">
        <v>3279</v>
      </c>
      <c r="D92" s="2308" t="s">
        <v>3280</v>
      </c>
      <c r="E92" s="3050" t="s">
        <v>3281</v>
      </c>
      <c r="F92" s="3080" t="s">
        <v>3282</v>
      </c>
      <c r="G92" s="2308" t="s">
        <v>3283</v>
      </c>
      <c r="H92" s="3087" t="s">
        <v>3286</v>
      </c>
      <c r="I92" s="2308" t="s">
        <v>3287</v>
      </c>
      <c r="J92" s="2149" t="s">
        <v>3288</v>
      </c>
      <c r="K92" s="2149" t="s">
        <v>3289</v>
      </c>
      <c r="L92" s="2149" t="s">
        <v>3290</v>
      </c>
      <c r="M92" s="2149" t="s">
        <v>3291</v>
      </c>
      <c r="N92" s="2149" t="s">
        <v>3292</v>
      </c>
    </row>
    <row r="93" spans="1:37" ht="24">
      <c r="A93" s="3068" t="s">
        <v>3271</v>
      </c>
      <c r="B93" s="1220"/>
      <c r="C93" s="1886"/>
      <c r="D93" s="2308">
        <f>SUMIF($J$92:$N$92,C93,J93:N93)</f>
        <v>0</v>
      </c>
      <c r="E93" s="3081">
        <f>ROUND(SUM(D93:D101),4)</f>
        <v>0</v>
      </c>
      <c r="F93" s="1674" t="str">
        <f>IF(E2="公共服务",SUMIF(L1:L12,G2,N1:N12),"——")</f>
        <v>——</v>
      </c>
      <c r="G93" s="3072"/>
      <c r="H93" s="3117" t="str">
        <f>IFERROR(ROUNDDOWN($F$93*I93/2,4),"——")</f>
        <v>——</v>
      </c>
      <c r="I93" s="3066">
        <v>0.25</v>
      </c>
      <c r="J93" s="1911">
        <f t="shared" ref="J93:J101" si="27">K93+$G93</f>
        <v>0</v>
      </c>
      <c r="K93" s="1911">
        <f t="shared" ref="K93:K101" si="28">$L93+$G93</f>
        <v>0</v>
      </c>
      <c r="L93" s="1911">
        <v>0</v>
      </c>
      <c r="M93" s="1911">
        <f t="shared" ref="M93:N101" si="29">L93-$G93</f>
        <v>0</v>
      </c>
      <c r="N93" s="1911">
        <f t="shared" si="29"/>
        <v>0</v>
      </c>
    </row>
    <row r="94" spans="1:37" ht="79.2">
      <c r="A94" s="3078" t="s">
        <v>3272</v>
      </c>
      <c r="B94" s="3069" t="str">
        <f>估价对象房地状况!C18</f>
        <v>估价对象临城市主干道--妫川路，周边有Y9路、919路、920路公交车，门口可停车，停车便捷程度较好，综合评价交通便捷度一般</v>
      </c>
      <c r="C94" s="1886"/>
      <c r="D94" s="2308">
        <f t="shared" ref="D94:D101" si="30">SUMIF($J$60:$N$60,C94,J94:N94)</f>
        <v>0</v>
      </c>
      <c r="E94" s="3082"/>
      <c r="F94" s="1674"/>
      <c r="G94" s="3072"/>
      <c r="H94" s="3117" t="str">
        <f>IFERROR(ROUNDDOWN($F$93*I94/2,4),"——")</f>
        <v>——</v>
      </c>
      <c r="I94" s="3066">
        <v>0.26</v>
      </c>
      <c r="J94" s="1911">
        <f t="shared" si="27"/>
        <v>0</v>
      </c>
      <c r="K94" s="1911">
        <f t="shared" si="28"/>
        <v>0</v>
      </c>
      <c r="L94" s="1911">
        <v>0</v>
      </c>
      <c r="M94" s="1911">
        <f t="shared" si="29"/>
        <v>0</v>
      </c>
      <c r="N94" s="1911">
        <f t="shared" si="29"/>
        <v>0</v>
      </c>
    </row>
    <row r="95" spans="1:37" ht="48">
      <c r="A95" s="3068" t="s">
        <v>3268</v>
      </c>
      <c r="B95" s="3069">
        <f>估价对象房地状况!C19</f>
        <v>0</v>
      </c>
      <c r="C95" s="1886"/>
      <c r="D95" s="2308">
        <f t="shared" si="30"/>
        <v>0</v>
      </c>
      <c r="E95" s="3082"/>
      <c r="F95" s="1674"/>
      <c r="G95" s="3072"/>
      <c r="H95" s="3117" t="str">
        <f t="shared" ref="H95:H101" si="31">IFERROR(ROUNDDOWN($F$93*I95/2,4),"——")</f>
        <v>——</v>
      </c>
      <c r="I95" s="3066">
        <v>0.11</v>
      </c>
      <c r="J95" s="1911">
        <f t="shared" si="27"/>
        <v>0</v>
      </c>
      <c r="K95" s="1911">
        <f t="shared" si="28"/>
        <v>0</v>
      </c>
      <c r="L95" s="1911">
        <v>0</v>
      </c>
      <c r="M95" s="1911">
        <f t="shared" si="29"/>
        <v>0</v>
      </c>
      <c r="N95" s="1911">
        <f t="shared" si="29"/>
        <v>0</v>
      </c>
    </row>
    <row r="96" spans="1:37" ht="37.200000000000003">
      <c r="A96" s="3078" t="s">
        <v>3273</v>
      </c>
      <c r="B96" s="3084" t="s">
        <v>3284</v>
      </c>
      <c r="C96" s="1886"/>
      <c r="D96" s="2308">
        <f t="shared" si="30"/>
        <v>0</v>
      </c>
      <c r="E96" s="3082"/>
      <c r="F96" s="1674"/>
      <c r="G96" s="3072"/>
      <c r="H96" s="3117" t="str">
        <f t="shared" si="31"/>
        <v>——</v>
      </c>
      <c r="I96" s="3066">
        <v>0.05</v>
      </c>
      <c r="J96" s="1911">
        <f t="shared" si="27"/>
        <v>0</v>
      </c>
      <c r="K96" s="1911">
        <f t="shared" si="28"/>
        <v>0</v>
      </c>
      <c r="L96" s="1911">
        <v>0</v>
      </c>
      <c r="M96" s="1911">
        <f t="shared" si="29"/>
        <v>0</v>
      </c>
      <c r="N96" s="1911">
        <f t="shared" si="29"/>
        <v>0</v>
      </c>
    </row>
    <row r="97" spans="1:14" ht="24">
      <c r="A97" s="3078" t="s">
        <v>3274</v>
      </c>
      <c r="B97" s="3069">
        <f>估价对象房地状况!C24</f>
        <v>0</v>
      </c>
      <c r="C97" s="1886"/>
      <c r="D97" s="2308">
        <f t="shared" si="30"/>
        <v>0</v>
      </c>
      <c r="E97" s="3082"/>
      <c r="F97" s="1674"/>
      <c r="G97" s="3072"/>
      <c r="H97" s="3117" t="str">
        <f t="shared" si="31"/>
        <v>——</v>
      </c>
      <c r="I97" s="3066">
        <v>0.05</v>
      </c>
      <c r="J97" s="1911">
        <f t="shared" si="27"/>
        <v>0</v>
      </c>
      <c r="K97" s="1911">
        <f t="shared" si="28"/>
        <v>0</v>
      </c>
      <c r="L97" s="1911">
        <v>0</v>
      </c>
      <c r="M97" s="1911">
        <f t="shared" si="29"/>
        <v>0</v>
      </c>
      <c r="N97" s="1911">
        <f t="shared" si="29"/>
        <v>0</v>
      </c>
    </row>
    <row r="98" spans="1:14" ht="36">
      <c r="A98" s="3078" t="s">
        <v>3275</v>
      </c>
      <c r="B98" s="3085" t="s">
        <v>3285</v>
      </c>
      <c r="C98" s="1886"/>
      <c r="D98" s="2308">
        <f t="shared" si="30"/>
        <v>0</v>
      </c>
      <c r="E98" s="3082"/>
      <c r="F98" s="1674"/>
      <c r="G98" s="3072"/>
      <c r="H98" s="3117" t="str">
        <f t="shared" si="31"/>
        <v>——</v>
      </c>
      <c r="I98" s="3066">
        <v>0.06</v>
      </c>
      <c r="J98" s="1911">
        <f t="shared" si="27"/>
        <v>0</v>
      </c>
      <c r="K98" s="1911">
        <f t="shared" si="28"/>
        <v>0</v>
      </c>
      <c r="L98" s="1911">
        <v>0</v>
      </c>
      <c r="M98" s="1911">
        <f t="shared" si="29"/>
        <v>0</v>
      </c>
      <c r="N98" s="1911">
        <f t="shared" si="29"/>
        <v>0</v>
      </c>
    </row>
    <row r="99" spans="1:14" ht="105.6">
      <c r="A99" s="3078" t="s">
        <v>3276</v>
      </c>
      <c r="B99" s="3069" t="str">
        <f>估价对象房地状况!C21</f>
        <v>估价对象所在区域公共配套设施齐备情况：农业银行、农业发展银行、中国银行，司家营小学、北京市延庆区第二中学，国润家园社区卫生服务站、北京中医医院延庆医院，百尚购物中心</v>
      </c>
      <c r="C99" s="1886"/>
      <c r="D99" s="2308">
        <f t="shared" si="30"/>
        <v>0</v>
      </c>
      <c r="E99" s="3082"/>
      <c r="F99" s="1674"/>
      <c r="G99" s="3072"/>
      <c r="H99" s="3117" t="str">
        <f t="shared" si="31"/>
        <v>——</v>
      </c>
      <c r="I99" s="3066">
        <v>0.06</v>
      </c>
      <c r="J99" s="1911">
        <f t="shared" si="27"/>
        <v>0</v>
      </c>
      <c r="K99" s="1911">
        <f t="shared" si="28"/>
        <v>0</v>
      </c>
      <c r="L99" s="1911">
        <v>0</v>
      </c>
      <c r="M99" s="1911">
        <f t="shared" si="29"/>
        <v>0</v>
      </c>
      <c r="N99" s="1911">
        <f t="shared" si="29"/>
        <v>0</v>
      </c>
    </row>
    <row r="100" spans="1:14" ht="26.4">
      <c r="A100" s="3078" t="s">
        <v>3277</v>
      </c>
      <c r="B100" s="3069" t="str">
        <f>估价对象房地状况!C22</f>
        <v>估价对象所在区域基础设施水平</v>
      </c>
      <c r="C100" s="1886"/>
      <c r="D100" s="2308">
        <f t="shared" si="30"/>
        <v>0</v>
      </c>
      <c r="E100" s="3082"/>
      <c r="F100" s="1674"/>
      <c r="G100" s="3072"/>
      <c r="H100" s="3117" t="str">
        <f t="shared" si="31"/>
        <v>——</v>
      </c>
      <c r="I100" s="3066">
        <v>0.09</v>
      </c>
      <c r="J100" s="1911">
        <f t="shared" si="27"/>
        <v>0</v>
      </c>
      <c r="K100" s="1911">
        <f t="shared" si="28"/>
        <v>0</v>
      </c>
      <c r="L100" s="1911">
        <v>0</v>
      </c>
      <c r="M100" s="1911">
        <f t="shared" si="29"/>
        <v>0</v>
      </c>
      <c r="N100" s="1911">
        <f t="shared" si="29"/>
        <v>0</v>
      </c>
    </row>
    <row r="101" spans="1:14" ht="106.2" thickBot="1">
      <c r="A101" s="3079" t="s">
        <v>3278</v>
      </c>
      <c r="B101" s="3086" t="str">
        <f>估价对象房地状况!C20</f>
        <v>区域自然环境：迎宾公园、百泉公园、夏都公园、北京延庆世界地质公园；人文环境：延庆区职业学院、妫川宝塔、延庆地质博物馆、水生野生博物馆；综合评价环境状况较好</v>
      </c>
      <c r="C101" s="1886"/>
      <c r="D101" s="2308">
        <f t="shared" si="30"/>
        <v>0</v>
      </c>
      <c r="E101" s="3083"/>
      <c r="F101" s="1674"/>
      <c r="G101" s="3072"/>
      <c r="H101" s="3117" t="str">
        <f t="shared" si="31"/>
        <v>——</v>
      </c>
      <c r="I101" s="3067">
        <v>7.0000000000000007E-2</v>
      </c>
      <c r="J101" s="1911">
        <f t="shared" si="27"/>
        <v>0</v>
      </c>
      <c r="K101" s="1911">
        <f t="shared" si="28"/>
        <v>0</v>
      </c>
      <c r="L101" s="1911">
        <v>0</v>
      </c>
      <c r="M101" s="1911">
        <f t="shared" si="29"/>
        <v>0</v>
      </c>
      <c r="N101" s="1911">
        <f t="shared" si="29"/>
        <v>0</v>
      </c>
    </row>
    <row r="103" spans="1:14">
      <c r="A103" s="3493" t="s">
        <v>3293</v>
      </c>
      <c r="B103" s="3493"/>
      <c r="C103" s="3493"/>
      <c r="D103" s="3493"/>
      <c r="E103" s="3493"/>
      <c r="F103" s="3493"/>
      <c r="G103" s="3493"/>
      <c r="H103" s="3493"/>
      <c r="I103" s="3493"/>
      <c r="J103" s="3493"/>
      <c r="K103" s="1666"/>
      <c r="L103" s="1666"/>
      <c r="M103" s="1666"/>
      <c r="N103" s="1666"/>
    </row>
    <row r="104" spans="1:14">
      <c r="A104" s="3494" t="s">
        <v>3294</v>
      </c>
      <c r="B104" s="3494" t="s">
        <v>3295</v>
      </c>
      <c r="C104" s="3088" t="s">
        <v>3296</v>
      </c>
      <c r="D104" s="3089"/>
      <c r="E104" s="3089"/>
      <c r="F104" s="3089"/>
      <c r="G104" s="3089"/>
      <c r="H104" s="3089"/>
      <c r="I104" s="3089"/>
      <c r="J104" s="3090"/>
      <c r="K104" s="3091"/>
      <c r="L104" s="3091"/>
      <c r="M104" s="3091"/>
      <c r="N104" s="3091"/>
    </row>
    <row r="105" spans="1:14">
      <c r="A105" s="3494"/>
      <c r="B105" s="3494"/>
      <c r="C105" s="3092" t="s">
        <v>3297</v>
      </c>
      <c r="D105" s="3092" t="s">
        <v>3298</v>
      </c>
      <c r="E105" s="3092" t="s">
        <v>3299</v>
      </c>
      <c r="F105" s="3092" t="s">
        <v>3300</v>
      </c>
      <c r="G105" s="3092" t="s">
        <v>3301</v>
      </c>
      <c r="H105" s="3092" t="s">
        <v>3302</v>
      </c>
      <c r="I105" s="3092" t="s">
        <v>3303</v>
      </c>
      <c r="J105" s="3092" t="s">
        <v>3304</v>
      </c>
      <c r="K105" s="3092" t="s">
        <v>3305</v>
      </c>
      <c r="L105" s="3092" t="s">
        <v>3306</v>
      </c>
      <c r="M105" s="3092" t="s">
        <v>3307</v>
      </c>
      <c r="N105" s="3092" t="s">
        <v>3308</v>
      </c>
    </row>
    <row r="106" spans="1:14">
      <c r="A106" s="3480" t="s">
        <v>3309</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81"/>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81"/>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81"/>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81"/>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81"/>
      <c r="B111" s="3092" t="s">
        <v>3267</v>
      </c>
      <c r="C111" s="3093">
        <f>$I$3</f>
        <v>2</v>
      </c>
      <c r="D111" s="3093">
        <f t="shared" ref="D111:M111" si="32">$I$3</f>
        <v>2</v>
      </c>
      <c r="E111" s="3093">
        <f t="shared" si="32"/>
        <v>2</v>
      </c>
      <c r="F111" s="3093">
        <f t="shared" si="32"/>
        <v>2</v>
      </c>
      <c r="G111" s="3093">
        <f t="shared" si="32"/>
        <v>2</v>
      </c>
      <c r="H111" s="3093">
        <f t="shared" si="32"/>
        <v>2</v>
      </c>
      <c r="I111" s="3093">
        <f t="shared" si="32"/>
        <v>2</v>
      </c>
      <c r="J111" s="3093">
        <f t="shared" si="32"/>
        <v>2</v>
      </c>
      <c r="K111" s="3093">
        <f t="shared" si="32"/>
        <v>2</v>
      </c>
      <c r="L111" s="3093">
        <f t="shared" si="32"/>
        <v>2</v>
      </c>
      <c r="M111" s="3093">
        <f t="shared" si="32"/>
        <v>2</v>
      </c>
      <c r="N111" s="3093">
        <f>$I$3</f>
        <v>2</v>
      </c>
    </row>
    <row r="112" spans="1:14">
      <c r="A112" s="3482"/>
      <c r="B112" s="3092">
        <v>6</v>
      </c>
      <c r="C112" s="3087">
        <f>(-0.5556*(C111^2)-0.2719*C111+8944)*(10^(-4))</f>
        <v>0.89412338000000002</v>
      </c>
      <c r="D112" s="3087">
        <f>(-0.5556*(D111^2)-0.2719*D111+8944)*(10^(-4))</f>
        <v>0.89412338000000002</v>
      </c>
      <c r="E112" s="3087">
        <f>(-0.7912*(E111^2)-11.3794*E111+8482)*(10^(-4))</f>
        <v>0.84560763999999999</v>
      </c>
      <c r="F112" s="3087">
        <f t="shared" ref="F112:I112" si="33">(-0.7912*(F111^2)-11.3794*F111+8482)*(10^(-4))</f>
        <v>0.84560763999999999</v>
      </c>
      <c r="G112" s="3087">
        <f t="shared" si="33"/>
        <v>0.84560763999999999</v>
      </c>
      <c r="H112" s="3087">
        <f t="shared" si="33"/>
        <v>0.84560763999999999</v>
      </c>
      <c r="I112" s="3087">
        <f t="shared" si="33"/>
        <v>0.84560763999999999</v>
      </c>
      <c r="J112" s="3087">
        <f>(-0.989*(J111^2)-63.78*J111+7771)*(10^(-4))</f>
        <v>0.76394840000000008</v>
      </c>
      <c r="K112" s="3087">
        <f t="shared" ref="K112:N112" si="34">(-0.989*(K111^2)-63.78*K111+7771)*(10^(-4))</f>
        <v>0.76394840000000008</v>
      </c>
      <c r="L112" s="3087">
        <f t="shared" si="34"/>
        <v>0.76394840000000008</v>
      </c>
      <c r="M112" s="3087">
        <f t="shared" si="34"/>
        <v>0.76394840000000008</v>
      </c>
      <c r="N112" s="3087">
        <f t="shared" si="34"/>
        <v>0.76394840000000008</v>
      </c>
    </row>
    <row r="113" spans="1:14">
      <c r="A113" s="3483" t="s">
        <v>3310</v>
      </c>
      <c r="B113" s="3483"/>
      <c r="C113" s="3483"/>
      <c r="D113" s="3483"/>
      <c r="E113" s="3483"/>
      <c r="F113" s="3483"/>
      <c r="G113" s="3483"/>
      <c r="H113" s="3483"/>
      <c r="I113" s="3483"/>
      <c r="J113" s="3483"/>
      <c r="K113" s="3094"/>
      <c r="L113" s="3094"/>
      <c r="M113" s="3094"/>
      <c r="N113" s="3094"/>
    </row>
    <row r="114" spans="1:14">
      <c r="A114" s="3095"/>
      <c r="B114" s="3095"/>
      <c r="C114" s="3095"/>
      <c r="D114" s="3095"/>
      <c r="E114" s="3095"/>
      <c r="F114" s="3095"/>
      <c r="G114" s="3095"/>
      <c r="H114" s="3095"/>
      <c r="I114" s="3095"/>
      <c r="J114" s="3095"/>
      <c r="K114" s="1963"/>
      <c r="L114" s="3095"/>
      <c r="M114" s="3095"/>
      <c r="N114" s="3095"/>
    </row>
    <row r="115" spans="1:14" ht="13.8" thickBot="1">
      <c r="A115" s="3095"/>
      <c r="B115" s="3095"/>
      <c r="C115" s="3095"/>
      <c r="D115" s="3095"/>
      <c r="E115" s="3095"/>
      <c r="F115" s="3095"/>
      <c r="G115" s="3095"/>
      <c r="H115" s="3095"/>
      <c r="I115" s="3095"/>
      <c r="J115" s="3095"/>
      <c r="K115" s="1963"/>
      <c r="L115" s="3095"/>
      <c r="M115" s="3095"/>
      <c r="N115" s="3095"/>
    </row>
    <row r="116" spans="1:14" ht="25.8" thickBot="1">
      <c r="A116" s="3096" t="s">
        <v>3311</v>
      </c>
      <c r="B116" s="3112">
        <f>G3</f>
        <v>0</v>
      </c>
      <c r="C116" s="3097" t="s">
        <v>3312</v>
      </c>
      <c r="D116" s="3098">
        <f>SUMPRODUCT((A118:A122=F116)*(B117:M117=H116)*B118:M122)</f>
        <v>0.84860000000000002</v>
      </c>
      <c r="E116" s="161" t="s">
        <v>3313</v>
      </c>
      <c r="F116" s="3099" t="str">
        <f>E2</f>
        <v>商业</v>
      </c>
      <c r="G116" s="161" t="s">
        <v>3314</v>
      </c>
      <c r="H116" s="3099" t="str">
        <f>G2</f>
        <v>九级</v>
      </c>
      <c r="I116" s="161"/>
      <c r="J116" s="3100"/>
      <c r="K116" s="3100"/>
      <c r="L116" s="3100"/>
      <c r="M116" s="3100"/>
      <c r="N116" s="3095"/>
    </row>
    <row r="117" spans="1:14">
      <c r="A117" s="3101"/>
      <c r="B117" s="3102" t="s">
        <v>3315</v>
      </c>
      <c r="C117" s="3102" t="s">
        <v>3316</v>
      </c>
      <c r="D117" s="3102" t="s">
        <v>3317</v>
      </c>
      <c r="E117" s="3103" t="s">
        <v>3318</v>
      </c>
      <c r="F117" s="3103" t="s">
        <v>3319</v>
      </c>
      <c r="G117" s="3103" t="s">
        <v>3320</v>
      </c>
      <c r="H117" s="3104" t="s">
        <v>3321</v>
      </c>
      <c r="I117" s="3104" t="s">
        <v>3322</v>
      </c>
      <c r="J117" s="3105" t="s">
        <v>3323</v>
      </c>
      <c r="K117" s="3105" t="s">
        <v>3324</v>
      </c>
      <c r="L117" s="3105" t="s">
        <v>3325</v>
      </c>
      <c r="M117" s="3106" t="s">
        <v>3326</v>
      </c>
      <c r="N117" s="3095"/>
    </row>
    <row r="118" spans="1:14">
      <c r="A118" s="3055" t="s">
        <v>3327</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3328</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3329</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8" thickBot="1">
      <c r="A121" s="3108" t="s">
        <v>3330</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2612</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700-000000000000}">
      <formula1>"500米范围内,500-1000米,1000米以外"</formula1>
    </dataValidation>
    <dataValidation type="list" allowBlank="1" showInputMessage="1" showErrorMessage="1" sqref="C15:D15" xr:uid="{00000000-0002-0000-2700-000001000000}">
      <formula1>"有,无"</formula1>
    </dataValidation>
    <dataValidation type="list" allowBlank="1" showInputMessage="1" showErrorMessage="1" sqref="B25" xr:uid="{00000000-0002-0000-2700-000002000000}">
      <formula1>"容积率修正,楼层修正"</formula1>
    </dataValidation>
    <dataValidation type="list" allowBlank="1" showInputMessage="1" showErrorMessage="1" sqref="F21" xr:uid="{00000000-0002-0000-2700-000003000000}">
      <formula1>"与级别开发程度一致,与级别开发程度不一致"</formula1>
    </dataValidation>
    <dataValidation type="list" allowBlank="1" showInputMessage="1" showErrorMessage="1" sqref="E2" xr:uid="{00000000-0002-0000-2700-000004000000}">
      <formula1>"商业,办公,住宅,工业,公共服务"</formula1>
    </dataValidation>
    <dataValidation type="list" allowBlank="1" showInputMessage="1" showErrorMessage="1" sqref="F3" xr:uid="{00000000-0002-0000-2700-000005000000}">
      <formula1>"宗地容积率,估价对象容积率,自定义容积率"</formula1>
    </dataValidation>
    <dataValidation type="list" allowBlank="1" showInputMessage="1" showErrorMessage="1" sqref="C8" xr:uid="{00000000-0002-0000-2700-000006000000}">
      <formula1>商业街名称</formula1>
    </dataValidation>
    <dataValidation type="list" allowBlank="1" showInputMessage="1" showErrorMessage="1" sqref="E3" xr:uid="{00000000-0002-0000-2700-000007000000}">
      <formula1>二级分类</formula1>
    </dataValidation>
    <dataValidation type="list" allowBlank="1" showInputMessage="1" showErrorMessage="1" sqref="C61:C69 C72:C80 C50:C58 C83:C91 C93:C101" xr:uid="{00000000-0002-0000-2700-000008000000}">
      <formula1>五等判定</formula1>
    </dataValidation>
    <dataValidation type="list" allowBlank="1" showInputMessage="1" showErrorMessage="1" sqref="H23" xr:uid="{00000000-0002-0000-2700-000009000000}">
      <formula1>"地价指数,季度增幅（自定义）,按公示增长率计算"</formula1>
    </dataValidation>
    <dataValidation type="list" allowBlank="1" showInputMessage="1" showErrorMessage="1" sqref="H20:O20" xr:uid="{00000000-0002-0000-2700-00000A000000}">
      <formula1>七通一平</formula1>
    </dataValidation>
    <dataValidation type="list" allowBlank="1" showInputMessage="1" showErrorMessage="1" sqref="J23" xr:uid="{00000000-0002-0000-27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508" t="s">
        <v>2607</v>
      </c>
      <c r="B20" s="3503" t="s">
        <v>2628</v>
      </c>
      <c r="C20" s="2840" t="s">
        <v>2439</v>
      </c>
      <c r="D20" s="2841"/>
      <c r="E20" s="2842">
        <v>1</v>
      </c>
      <c r="F20" s="2843" t="s">
        <v>2440</v>
      </c>
      <c r="G20" s="2843"/>
    </row>
    <row r="21" spans="1:13" ht="19.5" customHeight="1">
      <c r="A21" s="3509"/>
      <c r="B21" s="3502"/>
      <c r="C21" s="2844" t="s">
        <v>2441</v>
      </c>
      <c r="D21" s="2845"/>
      <c r="E21" s="2846">
        <v>1</v>
      </c>
      <c r="F21" s="2843" t="s">
        <v>2442</v>
      </c>
      <c r="G21" s="2843"/>
    </row>
    <row r="22" spans="1:13" ht="19.5" customHeight="1">
      <c r="A22" s="3509"/>
      <c r="B22" s="3502"/>
      <c r="C22" s="2844" t="s">
        <v>2443</v>
      </c>
      <c r="D22" s="2845"/>
      <c r="E22" s="2846">
        <v>0.9</v>
      </c>
      <c r="F22" s="2843" t="s">
        <v>2444</v>
      </c>
      <c r="G22" s="2843"/>
    </row>
    <row r="23" spans="1:13" ht="19.5" customHeight="1">
      <c r="A23" s="3509"/>
      <c r="B23" s="3502"/>
      <c r="C23" s="2844" t="s">
        <v>2445</v>
      </c>
      <c r="D23" s="2845"/>
      <c r="E23" s="2846">
        <v>0.9</v>
      </c>
      <c r="F23" s="2843" t="s">
        <v>2446</v>
      </c>
      <c r="G23" s="2843"/>
    </row>
    <row r="24" spans="1:13" ht="19.5" customHeight="1">
      <c r="A24" s="3509"/>
      <c r="B24" s="3502"/>
      <c r="C24" s="2844" t="s">
        <v>2447</v>
      </c>
      <c r="D24" s="2845"/>
      <c r="E24" s="2846">
        <v>0.8</v>
      </c>
      <c r="F24" s="2843" t="s">
        <v>2448</v>
      </c>
      <c r="G24" s="2843"/>
    </row>
    <row r="25" spans="1:13" ht="19.5" customHeight="1" thickBot="1">
      <c r="A25" s="3510"/>
      <c r="B25" s="3504"/>
      <c r="C25" s="2847" t="s">
        <v>2449</v>
      </c>
      <c r="D25" s="2848"/>
      <c r="E25" s="2849">
        <v>0.8</v>
      </c>
      <c r="F25" s="2843" t="s">
        <v>2450</v>
      </c>
      <c r="G25" s="2843"/>
    </row>
    <row r="26" spans="1:13" ht="19.5" customHeight="1" thickBot="1">
      <c r="A26" s="2850" t="s">
        <v>2629</v>
      </c>
      <c r="B26" s="2851" t="s">
        <v>2628</v>
      </c>
      <c r="C26" s="2852" t="s">
        <v>2630</v>
      </c>
      <c r="D26" s="2853"/>
      <c r="E26" s="2854">
        <v>1</v>
      </c>
      <c r="F26" s="2843" t="s">
        <v>2451</v>
      </c>
      <c r="G26" s="2843"/>
    </row>
    <row r="27" spans="1:13" ht="19.5" customHeight="1">
      <c r="A27" s="3505" t="s">
        <v>2631</v>
      </c>
      <c r="B27" s="3503" t="s">
        <v>2612</v>
      </c>
      <c r="C27" s="2840" t="s">
        <v>2452</v>
      </c>
      <c r="D27" s="2841"/>
      <c r="E27" s="2842">
        <v>1</v>
      </c>
      <c r="F27" s="2843" t="s">
        <v>2453</v>
      </c>
      <c r="G27" s="2843"/>
    </row>
    <row r="28" spans="1:13" ht="19.5" customHeight="1">
      <c r="A28" s="3506"/>
      <c r="B28" s="3502"/>
      <c r="C28" s="2844" t="s">
        <v>2454</v>
      </c>
      <c r="D28" s="2845"/>
      <c r="E28" s="2846">
        <v>1</v>
      </c>
      <c r="F28" s="2843" t="s">
        <v>2455</v>
      </c>
      <c r="G28" s="2843"/>
    </row>
    <row r="29" spans="1:13" ht="19.5" customHeight="1">
      <c r="A29" s="3506"/>
      <c r="B29" s="3502"/>
      <c r="C29" s="2844" t="s">
        <v>2456</v>
      </c>
      <c r="D29" s="2845"/>
      <c r="E29" s="2846">
        <v>0.8</v>
      </c>
      <c r="F29" s="2843" t="s">
        <v>2457</v>
      </c>
      <c r="G29" s="2843"/>
    </row>
    <row r="30" spans="1:13" ht="19.5" customHeight="1">
      <c r="A30" s="3506"/>
      <c r="B30" s="3502"/>
      <c r="C30" s="2844" t="s">
        <v>2458</v>
      </c>
      <c r="D30" s="2845"/>
      <c r="E30" s="2846">
        <v>0.8</v>
      </c>
      <c r="F30" s="2843" t="s">
        <v>2459</v>
      </c>
      <c r="G30" s="2843"/>
    </row>
    <row r="31" spans="1:13" ht="19.5" customHeight="1">
      <c r="A31" s="3506"/>
      <c r="B31" s="3502"/>
      <c r="C31" s="2844" t="s">
        <v>2460</v>
      </c>
      <c r="D31" s="2845"/>
      <c r="E31" s="2846">
        <v>0.8</v>
      </c>
      <c r="F31" s="2843" t="s">
        <v>2461</v>
      </c>
      <c r="G31" s="2843"/>
    </row>
    <row r="32" spans="1:13" ht="19.5" customHeight="1">
      <c r="A32" s="3506"/>
      <c r="B32" s="3502"/>
      <c r="C32" s="2844" t="s">
        <v>2462</v>
      </c>
      <c r="D32" s="2845"/>
      <c r="E32" s="2846">
        <v>0.7</v>
      </c>
      <c r="F32" s="2843" t="s">
        <v>2463</v>
      </c>
      <c r="G32" s="2843"/>
    </row>
    <row r="33" spans="1:7" ht="19.5" customHeight="1">
      <c r="A33" s="3506"/>
      <c r="B33" s="3502"/>
      <c r="C33" s="2844" t="s">
        <v>2464</v>
      </c>
      <c r="D33" s="2845"/>
      <c r="E33" s="2846">
        <v>0.8</v>
      </c>
      <c r="F33" s="2843" t="s">
        <v>2465</v>
      </c>
      <c r="G33" s="2843"/>
    </row>
    <row r="34" spans="1:7" ht="19.5" customHeight="1">
      <c r="A34" s="3506"/>
      <c r="B34" s="3502"/>
      <c r="C34" s="2844" t="s">
        <v>2466</v>
      </c>
      <c r="D34" s="2845"/>
      <c r="E34" s="2846">
        <v>0.6</v>
      </c>
      <c r="F34" s="2843" t="s">
        <v>2467</v>
      </c>
      <c r="G34" s="2843"/>
    </row>
    <row r="35" spans="1:7" ht="19.5" customHeight="1">
      <c r="A35" s="3506"/>
      <c r="B35" s="3502"/>
      <c r="C35" s="2844" t="s">
        <v>2468</v>
      </c>
      <c r="D35" s="2845"/>
      <c r="E35" s="2846">
        <v>0.2</v>
      </c>
      <c r="F35" s="2843" t="s">
        <v>2469</v>
      </c>
      <c r="G35" s="2843"/>
    </row>
    <row r="36" spans="1:7" ht="19.5" customHeight="1">
      <c r="A36" s="3506"/>
      <c r="B36" s="3502"/>
      <c r="C36" s="2844" t="s">
        <v>2470</v>
      </c>
      <c r="D36" s="2845"/>
      <c r="E36" s="2846">
        <v>0.2</v>
      </c>
      <c r="F36" s="2843" t="s">
        <v>2471</v>
      </c>
      <c r="G36" s="2843"/>
    </row>
    <row r="37" spans="1:7" ht="19.5" customHeight="1">
      <c r="A37" s="3506"/>
      <c r="B37" s="3500" t="s">
        <v>2632</v>
      </c>
      <c r="C37" s="2844" t="s">
        <v>2472</v>
      </c>
      <c r="D37" s="2845"/>
      <c r="E37" s="2846">
        <v>0.6</v>
      </c>
      <c r="F37" s="2843" t="s">
        <v>2473</v>
      </c>
      <c r="G37" s="2843"/>
    </row>
    <row r="38" spans="1:7" ht="19.5" customHeight="1">
      <c r="A38" s="3506"/>
      <c r="B38" s="3502"/>
      <c r="C38" s="2844" t="s">
        <v>2474</v>
      </c>
      <c r="D38" s="2845"/>
      <c r="E38" s="2846">
        <v>0.6</v>
      </c>
      <c r="F38" s="2843" t="s">
        <v>2475</v>
      </c>
      <c r="G38" s="2843"/>
    </row>
    <row r="39" spans="1:7" ht="19.5" customHeight="1" thickBot="1">
      <c r="A39" s="3507"/>
      <c r="B39" s="3504"/>
      <c r="C39" s="2847" t="s">
        <v>2476</v>
      </c>
      <c r="D39" s="2848"/>
      <c r="E39" s="2849">
        <v>0.6</v>
      </c>
      <c r="F39" s="2843" t="s">
        <v>2477</v>
      </c>
      <c r="G39" s="2843"/>
    </row>
    <row r="40" spans="1:7" ht="19.5" customHeight="1" thickBot="1">
      <c r="A40" s="2850" t="s">
        <v>2609</v>
      </c>
      <c r="B40" s="2851" t="s">
        <v>2609</v>
      </c>
      <c r="C40" s="2852" t="s">
        <v>2633</v>
      </c>
      <c r="D40" s="2853"/>
      <c r="E40" s="2854">
        <v>1</v>
      </c>
      <c r="F40" s="2843" t="s">
        <v>2478</v>
      </c>
      <c r="G40" s="2843"/>
    </row>
    <row r="41" spans="1:7" ht="19.5" customHeight="1">
      <c r="A41" s="3508" t="s">
        <v>2610</v>
      </c>
      <c r="B41" s="3503" t="s">
        <v>2634</v>
      </c>
      <c r="C41" s="2840" t="s">
        <v>2479</v>
      </c>
      <c r="D41" s="2841"/>
      <c r="E41" s="2842">
        <v>1</v>
      </c>
      <c r="F41" s="2843" t="s">
        <v>2480</v>
      </c>
      <c r="G41" s="2843"/>
    </row>
    <row r="42" spans="1:7" ht="19.5" customHeight="1">
      <c r="A42" s="3509"/>
      <c r="B42" s="3502"/>
      <c r="C42" s="2844" t="s">
        <v>2481</v>
      </c>
      <c r="D42" s="2845"/>
      <c r="E42" s="2846">
        <v>1</v>
      </c>
      <c r="F42" s="2843" t="s">
        <v>2482</v>
      </c>
      <c r="G42" s="2843"/>
    </row>
    <row r="43" spans="1:7" ht="19.5" customHeight="1">
      <c r="A43" s="3509"/>
      <c r="B43" s="3501"/>
      <c r="C43" s="2844" t="s">
        <v>2483</v>
      </c>
      <c r="D43" s="2845"/>
      <c r="E43" s="2846">
        <v>1.5</v>
      </c>
      <c r="F43" s="2843" t="s">
        <v>2484</v>
      </c>
      <c r="G43" s="2843"/>
    </row>
    <row r="44" spans="1:7" ht="19.5" customHeight="1">
      <c r="A44" s="3509"/>
      <c r="B44" s="2855" t="s">
        <v>2635</v>
      </c>
      <c r="C44" s="2844" t="s">
        <v>2636</v>
      </c>
      <c r="D44" s="2845"/>
      <c r="E44" s="2846">
        <v>2</v>
      </c>
      <c r="F44" s="2843" t="s">
        <v>2485</v>
      </c>
      <c r="G44" s="2843"/>
    </row>
    <row r="45" spans="1:7" ht="19.5" customHeight="1">
      <c r="A45" s="3509"/>
      <c r="B45" s="3500" t="s">
        <v>2637</v>
      </c>
      <c r="C45" s="2844" t="s">
        <v>2486</v>
      </c>
      <c r="D45" s="2845"/>
      <c r="E45" s="2846">
        <v>1</v>
      </c>
      <c r="F45" s="2843" t="s">
        <v>2487</v>
      </c>
      <c r="G45" s="2843"/>
    </row>
    <row r="46" spans="1:7" ht="19.5" customHeight="1">
      <c r="A46" s="3509"/>
      <c r="B46" s="3502"/>
      <c r="C46" s="2844" t="s">
        <v>2488</v>
      </c>
      <c r="D46" s="2845"/>
      <c r="E46" s="2846">
        <v>1</v>
      </c>
      <c r="F46" s="2843" t="s">
        <v>2489</v>
      </c>
      <c r="G46" s="2843"/>
    </row>
    <row r="47" spans="1:7" ht="19.5" customHeight="1">
      <c r="A47" s="3509"/>
      <c r="B47" s="3502"/>
      <c r="C47" s="2844" t="s">
        <v>2490</v>
      </c>
      <c r="D47" s="2845"/>
      <c r="E47" s="2846">
        <v>1</v>
      </c>
      <c r="F47" s="2843" t="s">
        <v>2491</v>
      </c>
      <c r="G47" s="2843"/>
    </row>
    <row r="48" spans="1:7" ht="19.5" customHeight="1">
      <c r="A48" s="3509"/>
      <c r="B48" s="3502"/>
      <c r="C48" s="2844" t="s">
        <v>2492</v>
      </c>
      <c r="D48" s="2845"/>
      <c r="E48" s="2846">
        <v>1</v>
      </c>
      <c r="F48" s="2843" t="s">
        <v>2493</v>
      </c>
      <c r="G48" s="2843"/>
    </row>
    <row r="49" spans="1:7" ht="19.5" customHeight="1">
      <c r="A49" s="3509"/>
      <c r="B49" s="3502"/>
      <c r="C49" s="2844" t="s">
        <v>2494</v>
      </c>
      <c r="D49" s="2845"/>
      <c r="E49" s="2846">
        <v>1</v>
      </c>
      <c r="F49" s="2843" t="s">
        <v>2495</v>
      </c>
      <c r="G49" s="2843"/>
    </row>
    <row r="50" spans="1:7" ht="19.5" customHeight="1">
      <c r="A50" s="3509"/>
      <c r="B50" s="3502"/>
      <c r="C50" s="2844" t="s">
        <v>2496</v>
      </c>
      <c r="D50" s="2845"/>
      <c r="E50" s="2846">
        <v>1</v>
      </c>
      <c r="F50" s="2843" t="s">
        <v>2497</v>
      </c>
      <c r="G50" s="2843"/>
    </row>
    <row r="51" spans="1:7" ht="19.5" customHeight="1" thickBot="1">
      <c r="A51" s="3510"/>
      <c r="B51" s="3504"/>
      <c r="C51" s="2847" t="s">
        <v>2498</v>
      </c>
      <c r="D51" s="2848"/>
      <c r="E51" s="2849">
        <v>1</v>
      </c>
      <c r="F51" s="2843" t="s">
        <v>2499</v>
      </c>
      <c r="G51" s="2843"/>
    </row>
    <row r="52" spans="1:7" ht="19.5" customHeight="1">
      <c r="A52" s="2856"/>
      <c r="B52" s="2856"/>
      <c r="C52" s="2856"/>
      <c r="D52" s="2856"/>
      <c r="E52" s="2856"/>
      <c r="F52" s="2856"/>
      <c r="G52" s="2856"/>
    </row>
    <row r="54" spans="1:7" ht="19.5" customHeight="1">
      <c r="A54" s="2857"/>
      <c r="B54" s="2829" t="s">
        <v>2638</v>
      </c>
      <c r="C54" s="2829" t="s">
        <v>2638</v>
      </c>
      <c r="D54" s="2829" t="s">
        <v>2638</v>
      </c>
      <c r="E54" s="2832" t="s">
        <v>2638</v>
      </c>
      <c r="F54" s="2832" t="s">
        <v>2639</v>
      </c>
      <c r="G54" s="2832" t="s">
        <v>2640</v>
      </c>
    </row>
    <row r="55" spans="1:7" ht="19.5" customHeight="1">
      <c r="A55" s="2858"/>
      <c r="B55" s="2832" t="s">
        <v>2607</v>
      </c>
      <c r="C55" s="2832" t="s">
        <v>2607</v>
      </c>
      <c r="D55" s="2832" t="s">
        <v>2607</v>
      </c>
      <c r="E55" s="2829" t="s">
        <v>2608</v>
      </c>
      <c r="F55" s="2829" t="s">
        <v>2610</v>
      </c>
      <c r="G55" s="2829" t="s">
        <v>2641</v>
      </c>
    </row>
    <row r="56" spans="1:7" ht="19.5" customHeight="1">
      <c r="A56" s="2859"/>
      <c r="B56" s="2829">
        <v>1</v>
      </c>
      <c r="C56" s="2829">
        <v>2</v>
      </c>
      <c r="D56" s="2829">
        <v>3</v>
      </c>
      <c r="E56" s="2860" t="s">
        <v>2642</v>
      </c>
      <c r="F56" s="2860" t="s">
        <v>2642</v>
      </c>
      <c r="G56" s="2860" t="s">
        <v>2642</v>
      </c>
    </row>
    <row r="57" spans="1:7" ht="19.5" customHeight="1">
      <c r="A57" s="2861" t="s">
        <v>2595</v>
      </c>
      <c r="B57" s="2829">
        <v>0.7</v>
      </c>
      <c r="C57" s="2829">
        <v>0.4</v>
      </c>
      <c r="D57" s="2829">
        <v>0.3</v>
      </c>
      <c r="E57" s="2860">
        <v>0.3</v>
      </c>
      <c r="F57" s="2829">
        <v>0.3</v>
      </c>
      <c r="G57" s="2829">
        <v>0.2</v>
      </c>
    </row>
    <row r="58" spans="1:7" ht="19.5" customHeight="1">
      <c r="A58" s="2861" t="s">
        <v>2596</v>
      </c>
      <c r="B58" s="2829">
        <v>0.7</v>
      </c>
      <c r="C58" s="2829">
        <v>0.4</v>
      </c>
      <c r="D58" s="2829">
        <v>0.3</v>
      </c>
      <c r="E58" s="2829">
        <v>0.3</v>
      </c>
      <c r="F58" s="2829">
        <v>0.3</v>
      </c>
      <c r="G58" s="2829">
        <v>0.2</v>
      </c>
    </row>
    <row r="59" spans="1:7" ht="19.5" customHeight="1">
      <c r="A59" s="2861" t="s">
        <v>2597</v>
      </c>
      <c r="B59" s="2829">
        <v>0.6</v>
      </c>
      <c r="C59" s="2829">
        <v>0.3</v>
      </c>
      <c r="D59" s="2829">
        <v>0.25</v>
      </c>
      <c r="E59" s="2829">
        <v>0.25</v>
      </c>
      <c r="F59" s="2829">
        <v>0.25</v>
      </c>
      <c r="G59" s="2829">
        <v>0.15</v>
      </c>
    </row>
    <row r="60" spans="1:7" ht="19.5" customHeight="1">
      <c r="A60" s="2861" t="s">
        <v>2598</v>
      </c>
      <c r="B60" s="2829">
        <v>0.6</v>
      </c>
      <c r="C60" s="2829">
        <v>0.3</v>
      </c>
      <c r="D60" s="2829">
        <v>0.25</v>
      </c>
      <c r="E60" s="2829">
        <v>0.25</v>
      </c>
      <c r="F60" s="2829">
        <v>0.25</v>
      </c>
      <c r="G60" s="2829">
        <v>0.15</v>
      </c>
    </row>
    <row r="61" spans="1:7" ht="19.5" customHeight="1">
      <c r="A61" s="2861" t="s">
        <v>2599</v>
      </c>
      <c r="B61" s="2829">
        <v>0.6</v>
      </c>
      <c r="C61" s="2829">
        <v>0.3</v>
      </c>
      <c r="D61" s="2829">
        <v>0.25</v>
      </c>
      <c r="E61" s="2829">
        <v>0.25</v>
      </c>
      <c r="F61" s="2829">
        <v>0.25</v>
      </c>
      <c r="G61" s="2829">
        <v>0.15</v>
      </c>
    </row>
    <row r="62" spans="1:7" ht="19.5" customHeight="1">
      <c r="A62" s="2861" t="s">
        <v>2600</v>
      </c>
      <c r="B62" s="2829">
        <v>0.6</v>
      </c>
      <c r="C62" s="2829">
        <v>0.3</v>
      </c>
      <c r="D62" s="2829">
        <v>0.25</v>
      </c>
      <c r="E62" s="2829">
        <v>0.25</v>
      </c>
      <c r="F62" s="2829">
        <v>0.25</v>
      </c>
      <c r="G62" s="2829">
        <v>0.15</v>
      </c>
    </row>
    <row r="63" spans="1:7" ht="19.5" customHeight="1">
      <c r="A63" s="2861" t="s">
        <v>2601</v>
      </c>
      <c r="B63" s="2829">
        <v>0.6</v>
      </c>
      <c r="C63" s="2829">
        <v>0.3</v>
      </c>
      <c r="D63" s="2829">
        <v>0.25</v>
      </c>
      <c r="E63" s="2829">
        <v>0.25</v>
      </c>
      <c r="F63" s="2829">
        <v>0.25</v>
      </c>
      <c r="G63" s="2829">
        <v>0.15</v>
      </c>
    </row>
    <row r="64" spans="1:7" ht="19.5" customHeight="1">
      <c r="A64" s="2861" t="s">
        <v>2602</v>
      </c>
      <c r="B64" s="2829">
        <v>0.5</v>
      </c>
      <c r="C64" s="2829">
        <v>0.2</v>
      </c>
      <c r="D64" s="2829">
        <v>0.2</v>
      </c>
      <c r="E64" s="2829">
        <v>0.2</v>
      </c>
      <c r="F64" s="2829">
        <v>0.2</v>
      </c>
      <c r="G64" s="2829">
        <v>0.1</v>
      </c>
    </row>
    <row r="65" spans="1:7" ht="19.5" customHeight="1">
      <c r="A65" s="2861" t="s">
        <v>2603</v>
      </c>
      <c r="B65" s="2829">
        <v>0.5</v>
      </c>
      <c r="C65" s="2829">
        <v>0.2</v>
      </c>
      <c r="D65" s="2829">
        <v>0.2</v>
      </c>
      <c r="E65" s="2829">
        <v>0.2</v>
      </c>
      <c r="F65" s="2829">
        <v>0.2</v>
      </c>
      <c r="G65" s="2829">
        <v>0.1</v>
      </c>
    </row>
    <row r="66" spans="1:7" ht="19.5" customHeight="1">
      <c r="A66" s="2861" t="s">
        <v>2604</v>
      </c>
      <c r="B66" s="2829">
        <v>0.5</v>
      </c>
      <c r="C66" s="2829">
        <v>0.2</v>
      </c>
      <c r="D66" s="2829">
        <v>0.2</v>
      </c>
      <c r="E66" s="2829">
        <v>0.2</v>
      </c>
      <c r="F66" s="2829">
        <v>0.2</v>
      </c>
      <c r="G66" s="2829">
        <v>0.1</v>
      </c>
    </row>
    <row r="67" spans="1:7" ht="19.5" customHeight="1">
      <c r="A67" s="2861" t="s">
        <v>2605</v>
      </c>
      <c r="B67" s="2829">
        <v>0.5</v>
      </c>
      <c r="C67" s="2829">
        <v>0.2</v>
      </c>
      <c r="D67" s="2829">
        <v>0.2</v>
      </c>
      <c r="E67" s="2829">
        <v>0.2</v>
      </c>
      <c r="F67" s="2829">
        <v>0.2</v>
      </c>
      <c r="G67" s="2829">
        <v>0.1</v>
      </c>
    </row>
    <row r="68" spans="1:7" ht="19.5" customHeight="1">
      <c r="A68" s="2861" t="s">
        <v>2606</v>
      </c>
      <c r="B68" s="2829">
        <v>0.5</v>
      </c>
      <c r="C68" s="2829">
        <v>0.2</v>
      </c>
      <c r="D68" s="2829">
        <v>0.2</v>
      </c>
      <c r="E68" s="2829">
        <v>0.2</v>
      </c>
      <c r="F68" s="2829">
        <v>0.2</v>
      </c>
      <c r="G68" s="2829">
        <v>0.1</v>
      </c>
    </row>
    <row r="70" spans="1:7" ht="19.5" customHeight="1">
      <c r="A70" s="2843"/>
      <c r="B70" s="2862"/>
      <c r="C70" s="2862"/>
      <c r="D70" s="2862" t="s">
        <v>2643</v>
      </c>
      <c r="E70" s="2862"/>
      <c r="F70" s="2862"/>
    </row>
    <row r="71" spans="1:7" ht="19.5" customHeight="1">
      <c r="A71" s="2855" t="s">
        <v>2644</v>
      </c>
      <c r="B71" s="2855" t="s">
        <v>2645</v>
      </c>
      <c r="C71" s="2855" t="s">
        <v>2646</v>
      </c>
      <c r="D71" s="2855" t="s">
        <v>2647</v>
      </c>
      <c r="E71" s="2855" t="s">
        <v>2648</v>
      </c>
      <c r="F71" s="2855" t="s">
        <v>2649</v>
      </c>
    </row>
    <row r="72" spans="1:7" ht="14.4">
      <c r="A72" s="2855"/>
      <c r="B72" s="2855"/>
      <c r="C72" s="2855" t="s">
        <v>2650</v>
      </c>
      <c r="D72" s="2855"/>
      <c r="E72" s="2855" t="s">
        <v>2621</v>
      </c>
      <c r="F72" s="2855" t="s">
        <v>2621</v>
      </c>
    </row>
    <row r="73" spans="1:7" ht="14.4">
      <c r="A73" s="2855">
        <v>1</v>
      </c>
      <c r="B73" s="3500" t="s">
        <v>2651</v>
      </c>
      <c r="C73" s="2829" t="s">
        <v>2652</v>
      </c>
      <c r="D73" s="2829" t="s">
        <v>2653</v>
      </c>
      <c r="E73" s="2855">
        <v>0.2</v>
      </c>
      <c r="F73" s="2855">
        <v>25</v>
      </c>
    </row>
    <row r="74" spans="1:7" ht="24">
      <c r="A74" s="2855">
        <v>2</v>
      </c>
      <c r="B74" s="3502"/>
      <c r="C74" s="2829" t="s">
        <v>2654</v>
      </c>
      <c r="D74" s="2829" t="s">
        <v>2655</v>
      </c>
      <c r="E74" s="2855">
        <v>0.2</v>
      </c>
      <c r="F74" s="2855">
        <v>25</v>
      </c>
    </row>
    <row r="75" spans="1:7" ht="24">
      <c r="A75" s="2855">
        <v>3</v>
      </c>
      <c r="B75" s="3502"/>
      <c r="C75" s="2829" t="s">
        <v>2656</v>
      </c>
      <c r="D75" s="2829" t="s">
        <v>2657</v>
      </c>
      <c r="E75" s="2855">
        <v>0.2</v>
      </c>
      <c r="F75" s="2855">
        <v>25</v>
      </c>
    </row>
    <row r="76" spans="1:7" ht="14.4">
      <c r="A76" s="2855">
        <v>4</v>
      </c>
      <c r="B76" s="3502"/>
      <c r="C76" s="2829" t="s">
        <v>2658</v>
      </c>
      <c r="D76" s="2829" t="s">
        <v>2659</v>
      </c>
      <c r="E76" s="2855">
        <v>0.15</v>
      </c>
      <c r="F76" s="2855">
        <v>20</v>
      </c>
    </row>
    <row r="77" spans="1:7" ht="24">
      <c r="A77" s="2855">
        <v>5</v>
      </c>
      <c r="B77" s="3502"/>
      <c r="C77" s="2829" t="s">
        <v>2660</v>
      </c>
      <c r="D77" s="2829" t="s">
        <v>2661</v>
      </c>
      <c r="E77" s="2855">
        <v>0.15</v>
      </c>
      <c r="F77" s="2855">
        <v>20</v>
      </c>
    </row>
    <row r="78" spans="1:7" ht="24">
      <c r="A78" s="2855">
        <v>6</v>
      </c>
      <c r="B78" s="3502"/>
      <c r="C78" s="2829" t="s">
        <v>2662</v>
      </c>
      <c r="D78" s="2829" t="s">
        <v>2663</v>
      </c>
      <c r="E78" s="2855">
        <v>0.15</v>
      </c>
      <c r="F78" s="2855">
        <v>20</v>
      </c>
    </row>
    <row r="79" spans="1:7" ht="24">
      <c r="A79" s="2855">
        <v>7</v>
      </c>
      <c r="B79" s="3502"/>
      <c r="C79" s="2829" t="s">
        <v>2664</v>
      </c>
      <c r="D79" s="2829" t="s">
        <v>2665</v>
      </c>
      <c r="E79" s="2855">
        <v>0.15</v>
      </c>
      <c r="F79" s="2855">
        <v>20</v>
      </c>
    </row>
    <row r="80" spans="1:7" ht="24">
      <c r="A80" s="2855">
        <v>8</v>
      </c>
      <c r="B80" s="3502"/>
      <c r="C80" s="2829" t="s">
        <v>2666</v>
      </c>
      <c r="D80" s="2829" t="s">
        <v>2667</v>
      </c>
      <c r="E80" s="2855">
        <v>0.1</v>
      </c>
      <c r="F80" s="2855">
        <v>15</v>
      </c>
    </row>
    <row r="81" spans="1:6" ht="24">
      <c r="A81" s="2855">
        <v>9</v>
      </c>
      <c r="B81" s="3502"/>
      <c r="C81" s="2829" t="s">
        <v>2668</v>
      </c>
      <c r="D81" s="2829" t="s">
        <v>2669</v>
      </c>
      <c r="E81" s="2855">
        <v>0.1</v>
      </c>
      <c r="F81" s="2855">
        <v>15</v>
      </c>
    </row>
    <row r="82" spans="1:6" ht="24">
      <c r="A82" s="2855">
        <v>10</v>
      </c>
      <c r="B82" s="3502"/>
      <c r="C82" s="2829" t="s">
        <v>2670</v>
      </c>
      <c r="D82" s="2829" t="s">
        <v>2671</v>
      </c>
      <c r="E82" s="2855">
        <v>0.1</v>
      </c>
      <c r="F82" s="2855">
        <v>15</v>
      </c>
    </row>
    <row r="83" spans="1:6" ht="24">
      <c r="A83" s="2855">
        <v>11</v>
      </c>
      <c r="B83" s="3502"/>
      <c r="C83" s="2829" t="s">
        <v>2672</v>
      </c>
      <c r="D83" s="2829" t="s">
        <v>2673</v>
      </c>
      <c r="E83" s="2855">
        <v>0.1</v>
      </c>
      <c r="F83" s="2855">
        <v>15</v>
      </c>
    </row>
    <row r="84" spans="1:6" ht="24">
      <c r="A84" s="2855">
        <v>12</v>
      </c>
      <c r="B84" s="3502"/>
      <c r="C84" s="2829" t="s">
        <v>2674</v>
      </c>
      <c r="D84" s="2829" t="s">
        <v>2675</v>
      </c>
      <c r="E84" s="2855">
        <v>0.1</v>
      </c>
      <c r="F84" s="2855">
        <v>15</v>
      </c>
    </row>
    <row r="85" spans="1:6" ht="24">
      <c r="A85" s="2855">
        <v>13</v>
      </c>
      <c r="B85" s="3502"/>
      <c r="C85" s="2829" t="s">
        <v>2676</v>
      </c>
      <c r="D85" s="2829" t="s">
        <v>2677</v>
      </c>
      <c r="E85" s="2855">
        <v>0.1</v>
      </c>
      <c r="F85" s="2855">
        <v>15</v>
      </c>
    </row>
    <row r="86" spans="1:6" ht="24">
      <c r="A86" s="2855">
        <v>14</v>
      </c>
      <c r="B86" s="3502"/>
      <c r="C86" s="2829" t="s">
        <v>2678</v>
      </c>
      <c r="D86" s="2829" t="s">
        <v>2679</v>
      </c>
      <c r="E86" s="2855">
        <v>0.1</v>
      </c>
      <c r="F86" s="2855">
        <v>15</v>
      </c>
    </row>
    <row r="87" spans="1:6" ht="24">
      <c r="A87" s="2855">
        <v>15</v>
      </c>
      <c r="B87" s="3502"/>
      <c r="C87" s="2829" t="s">
        <v>2680</v>
      </c>
      <c r="D87" s="2829" t="s">
        <v>2681</v>
      </c>
      <c r="E87" s="2855">
        <v>0.1</v>
      </c>
      <c r="F87" s="2855">
        <v>15</v>
      </c>
    </row>
    <row r="88" spans="1:6" ht="24">
      <c r="A88" s="2855">
        <v>16</v>
      </c>
      <c r="B88" s="3502"/>
      <c r="C88" s="2829" t="s">
        <v>2682</v>
      </c>
      <c r="D88" s="2829" t="s">
        <v>2683</v>
      </c>
      <c r="E88" s="2855">
        <v>0.1</v>
      </c>
      <c r="F88" s="2855">
        <v>15</v>
      </c>
    </row>
    <row r="89" spans="1:6" ht="24">
      <c r="A89" s="2855">
        <v>17</v>
      </c>
      <c r="B89" s="3501"/>
      <c r="C89" s="2829" t="s">
        <v>2684</v>
      </c>
      <c r="D89" s="2829" t="s">
        <v>2685</v>
      </c>
      <c r="E89" s="2855">
        <v>0.1</v>
      </c>
      <c r="F89" s="2855">
        <v>15</v>
      </c>
    </row>
    <row r="90" spans="1:6" ht="14.4">
      <c r="A90" s="2855">
        <v>18</v>
      </c>
      <c r="B90" s="3500" t="s">
        <v>2686</v>
      </c>
      <c r="C90" s="2829" t="s">
        <v>2687</v>
      </c>
      <c r="D90" s="2829" t="s">
        <v>2688</v>
      </c>
      <c r="E90" s="2855">
        <v>0.2</v>
      </c>
      <c r="F90" s="2855">
        <v>25</v>
      </c>
    </row>
    <row r="91" spans="1:6" ht="24">
      <c r="A91" s="2855">
        <v>19</v>
      </c>
      <c r="B91" s="3502"/>
      <c r="C91" s="2829" t="s">
        <v>2689</v>
      </c>
      <c r="D91" s="2829" t="s">
        <v>2690</v>
      </c>
      <c r="E91" s="2855">
        <v>0.2</v>
      </c>
      <c r="F91" s="2855">
        <v>25</v>
      </c>
    </row>
    <row r="92" spans="1:6" ht="14.4">
      <c r="A92" s="2855">
        <v>20</v>
      </c>
      <c r="B92" s="3502"/>
      <c r="C92" s="2829" t="s">
        <v>2691</v>
      </c>
      <c r="D92" s="2829" t="s">
        <v>2692</v>
      </c>
      <c r="E92" s="2855">
        <v>0.15</v>
      </c>
      <c r="F92" s="2855">
        <v>20</v>
      </c>
    </row>
    <row r="93" spans="1:6" ht="24">
      <c r="A93" s="2855">
        <v>21</v>
      </c>
      <c r="B93" s="3502"/>
      <c r="C93" s="2829" t="s">
        <v>2693</v>
      </c>
      <c r="D93" s="2829" t="s">
        <v>2694</v>
      </c>
      <c r="E93" s="2855">
        <v>0.15</v>
      </c>
      <c r="F93" s="2855">
        <v>20</v>
      </c>
    </row>
    <row r="94" spans="1:6" ht="24">
      <c r="A94" s="2855">
        <v>22</v>
      </c>
      <c r="B94" s="3502"/>
      <c r="C94" s="2829" t="s">
        <v>2695</v>
      </c>
      <c r="D94" s="2829" t="s">
        <v>2696</v>
      </c>
      <c r="E94" s="2855">
        <v>0.15</v>
      </c>
      <c r="F94" s="2855">
        <v>20</v>
      </c>
    </row>
    <row r="95" spans="1:6" ht="36">
      <c r="A95" s="2855">
        <v>23</v>
      </c>
      <c r="B95" s="3502"/>
      <c r="C95" s="2829" t="s">
        <v>2697</v>
      </c>
      <c r="D95" s="2829" t="s">
        <v>2698</v>
      </c>
      <c r="E95" s="2855">
        <v>0.15</v>
      </c>
      <c r="F95" s="2855">
        <v>20</v>
      </c>
    </row>
    <row r="96" spans="1:6" ht="24">
      <c r="A96" s="2855">
        <v>24</v>
      </c>
      <c r="B96" s="3502"/>
      <c r="C96" s="2829" t="s">
        <v>2699</v>
      </c>
      <c r="D96" s="2829" t="s">
        <v>2700</v>
      </c>
      <c r="E96" s="2855">
        <v>0.1</v>
      </c>
      <c r="F96" s="2855">
        <v>15</v>
      </c>
    </row>
    <row r="97" spans="1:6" ht="24">
      <c r="A97" s="2855">
        <v>25</v>
      </c>
      <c r="B97" s="3502"/>
      <c r="C97" s="2829" t="s">
        <v>2701</v>
      </c>
      <c r="D97" s="2829" t="s">
        <v>2702</v>
      </c>
      <c r="E97" s="2855">
        <v>0.1</v>
      </c>
      <c r="F97" s="2855">
        <v>15</v>
      </c>
    </row>
    <row r="98" spans="1:6" ht="24">
      <c r="A98" s="2855">
        <v>26</v>
      </c>
      <c r="B98" s="3502"/>
      <c r="C98" s="2829" t="s">
        <v>2703</v>
      </c>
      <c r="D98" s="2829" t="s">
        <v>2704</v>
      </c>
      <c r="E98" s="2855">
        <v>0.1</v>
      </c>
      <c r="F98" s="2855">
        <v>15</v>
      </c>
    </row>
    <row r="99" spans="1:6" ht="24">
      <c r="A99" s="2855">
        <v>27</v>
      </c>
      <c r="B99" s="3502"/>
      <c r="C99" s="2829" t="s">
        <v>2705</v>
      </c>
      <c r="D99" s="2829" t="s">
        <v>2706</v>
      </c>
      <c r="E99" s="2855">
        <v>0.1</v>
      </c>
      <c r="F99" s="2855">
        <v>15</v>
      </c>
    </row>
    <row r="100" spans="1:6" ht="24">
      <c r="A100" s="2855">
        <v>28</v>
      </c>
      <c r="B100" s="3502"/>
      <c r="C100" s="2829" t="s">
        <v>2707</v>
      </c>
      <c r="D100" s="2829" t="s">
        <v>2708</v>
      </c>
      <c r="E100" s="2855">
        <v>0.1</v>
      </c>
      <c r="F100" s="2855">
        <v>15</v>
      </c>
    </row>
    <row r="101" spans="1:6" ht="24">
      <c r="A101" s="2855">
        <v>29</v>
      </c>
      <c r="B101" s="3502"/>
      <c r="C101" s="2829" t="s">
        <v>2709</v>
      </c>
      <c r="D101" s="2829" t="s">
        <v>2710</v>
      </c>
      <c r="E101" s="2855">
        <v>0.1</v>
      </c>
      <c r="F101" s="2855">
        <v>15</v>
      </c>
    </row>
    <row r="102" spans="1:6" ht="24">
      <c r="A102" s="2855">
        <v>30</v>
      </c>
      <c r="B102" s="3502"/>
      <c r="C102" s="2829" t="s">
        <v>2711</v>
      </c>
      <c r="D102" s="2829" t="s">
        <v>2712</v>
      </c>
      <c r="E102" s="2855">
        <v>0.1</v>
      </c>
      <c r="F102" s="2855">
        <v>15</v>
      </c>
    </row>
    <row r="103" spans="1:6" ht="24">
      <c r="A103" s="2855">
        <v>31</v>
      </c>
      <c r="B103" s="3502"/>
      <c r="C103" s="2829" t="s">
        <v>2713</v>
      </c>
      <c r="D103" s="2829" t="s">
        <v>2714</v>
      </c>
      <c r="E103" s="2855">
        <v>0.1</v>
      </c>
      <c r="F103" s="2855">
        <v>15</v>
      </c>
    </row>
    <row r="104" spans="1:6" ht="24">
      <c r="A104" s="2855">
        <v>32</v>
      </c>
      <c r="B104" s="3502"/>
      <c r="C104" s="2829" t="s">
        <v>2715</v>
      </c>
      <c r="D104" s="2829" t="s">
        <v>2716</v>
      </c>
      <c r="E104" s="2855">
        <v>0.1</v>
      </c>
      <c r="F104" s="2855">
        <v>15</v>
      </c>
    </row>
    <row r="105" spans="1:6" ht="24">
      <c r="A105" s="2855">
        <v>33</v>
      </c>
      <c r="B105" s="3502"/>
      <c r="C105" s="2829" t="s">
        <v>2717</v>
      </c>
      <c r="D105" s="2829" t="s">
        <v>2718</v>
      </c>
      <c r="E105" s="2855">
        <v>0.1</v>
      </c>
      <c r="F105" s="2855">
        <v>15</v>
      </c>
    </row>
    <row r="106" spans="1:6" ht="24">
      <c r="A106" s="2855">
        <v>34</v>
      </c>
      <c r="B106" s="3501"/>
      <c r="C106" s="2829" t="s">
        <v>2719</v>
      </c>
      <c r="D106" s="2829" t="s">
        <v>2720</v>
      </c>
      <c r="E106" s="2855">
        <v>0.1</v>
      </c>
      <c r="F106" s="2855">
        <v>15</v>
      </c>
    </row>
    <row r="107" spans="1:6" ht="36">
      <c r="A107" s="2855">
        <v>35</v>
      </c>
      <c r="B107" s="3500" t="s">
        <v>2721</v>
      </c>
      <c r="C107" s="2855" t="s">
        <v>2722</v>
      </c>
      <c r="D107" s="2829" t="s">
        <v>2723</v>
      </c>
      <c r="E107" s="2855">
        <v>0.15</v>
      </c>
      <c r="F107" s="2855">
        <v>20</v>
      </c>
    </row>
    <row r="108" spans="1:6" ht="24">
      <c r="A108" s="2855">
        <v>36</v>
      </c>
      <c r="B108" s="3502"/>
      <c r="C108" s="2855" t="s">
        <v>2724</v>
      </c>
      <c r="D108" s="2829" t="s">
        <v>2725</v>
      </c>
      <c r="E108" s="2855">
        <v>0.15</v>
      </c>
      <c r="F108" s="2855">
        <v>20</v>
      </c>
    </row>
    <row r="109" spans="1:6" ht="24">
      <c r="A109" s="2855">
        <v>37</v>
      </c>
      <c r="B109" s="3502"/>
      <c r="C109" s="2855" t="s">
        <v>2726</v>
      </c>
      <c r="D109" s="2829" t="s">
        <v>2727</v>
      </c>
      <c r="E109" s="2855">
        <v>0.15</v>
      </c>
      <c r="F109" s="2855">
        <v>20</v>
      </c>
    </row>
    <row r="110" spans="1:6" ht="24">
      <c r="A110" s="2855">
        <v>38</v>
      </c>
      <c r="B110" s="3502"/>
      <c r="C110" s="2855" t="s">
        <v>2728</v>
      </c>
      <c r="D110" s="2829" t="s">
        <v>2729</v>
      </c>
      <c r="E110" s="2855">
        <v>0.1</v>
      </c>
      <c r="F110" s="2855">
        <v>15</v>
      </c>
    </row>
    <row r="111" spans="1:6" ht="24">
      <c r="A111" s="2855">
        <v>39</v>
      </c>
      <c r="B111" s="3502"/>
      <c r="C111" s="2855" t="s">
        <v>2730</v>
      </c>
      <c r="D111" s="2829" t="s">
        <v>2731</v>
      </c>
      <c r="E111" s="2855">
        <v>0.1</v>
      </c>
      <c r="F111" s="2855">
        <v>15</v>
      </c>
    </row>
    <row r="112" spans="1:6" ht="24">
      <c r="A112" s="2855">
        <v>40</v>
      </c>
      <c r="B112" s="3501"/>
      <c r="C112" s="2855" t="s">
        <v>2732</v>
      </c>
      <c r="D112" s="2829" t="s">
        <v>2733</v>
      </c>
      <c r="E112" s="2855">
        <v>0.1</v>
      </c>
      <c r="F112" s="2855">
        <v>15</v>
      </c>
    </row>
    <row r="113" spans="1:6" ht="24">
      <c r="A113" s="2855">
        <v>41</v>
      </c>
      <c r="B113" s="3499" t="s">
        <v>2734</v>
      </c>
      <c r="C113" s="2855" t="s">
        <v>2735</v>
      </c>
      <c r="D113" s="2829" t="s">
        <v>2736</v>
      </c>
      <c r="E113" s="2855">
        <v>0.1</v>
      </c>
      <c r="F113" s="2855">
        <v>15</v>
      </c>
    </row>
    <row r="114" spans="1:6" ht="24">
      <c r="A114" s="2855">
        <v>42</v>
      </c>
      <c r="B114" s="3499"/>
      <c r="C114" s="2855" t="s">
        <v>2737</v>
      </c>
      <c r="D114" s="2829" t="s">
        <v>2738</v>
      </c>
      <c r="E114" s="2855">
        <v>0.1</v>
      </c>
      <c r="F114" s="2855">
        <v>15</v>
      </c>
    </row>
    <row r="115" spans="1:6" ht="24">
      <c r="A115" s="2855">
        <v>43</v>
      </c>
      <c r="B115" s="3499"/>
      <c r="C115" s="2855" t="s">
        <v>2739</v>
      </c>
      <c r="D115" s="2829" t="s">
        <v>2740</v>
      </c>
      <c r="E115" s="2855">
        <v>0.1</v>
      </c>
      <c r="F115" s="2855">
        <v>15</v>
      </c>
    </row>
    <row r="116" spans="1:6" ht="24">
      <c r="A116" s="2855">
        <v>44</v>
      </c>
      <c r="B116" s="3500" t="s">
        <v>2741</v>
      </c>
      <c r="C116" s="2855" t="s">
        <v>2742</v>
      </c>
      <c r="D116" s="2829" t="s">
        <v>2743</v>
      </c>
      <c r="E116" s="2855">
        <v>0.1</v>
      </c>
      <c r="F116" s="2855">
        <v>15</v>
      </c>
    </row>
    <row r="117" spans="1:6" ht="24">
      <c r="A117" s="2855">
        <v>45</v>
      </c>
      <c r="B117" s="3501"/>
      <c r="C117" s="2829" t="s">
        <v>2744</v>
      </c>
      <c r="D117" s="2829" t="s">
        <v>2745</v>
      </c>
      <c r="E117" s="2855">
        <v>0.1</v>
      </c>
      <c r="F117" s="2855">
        <v>15</v>
      </c>
    </row>
    <row r="118" spans="1:6" ht="24">
      <c r="A118" s="2855">
        <v>46</v>
      </c>
      <c r="B118" s="3500" t="s">
        <v>2746</v>
      </c>
      <c r="C118" s="2855" t="s">
        <v>2747</v>
      </c>
      <c r="D118" s="2829" t="s">
        <v>2748</v>
      </c>
      <c r="E118" s="2855">
        <v>0.1</v>
      </c>
      <c r="F118" s="2855">
        <v>15</v>
      </c>
    </row>
    <row r="119" spans="1:6" ht="24">
      <c r="A119" s="2855">
        <v>47</v>
      </c>
      <c r="B119" s="3501"/>
      <c r="C119" s="2855" t="s">
        <v>2749</v>
      </c>
      <c r="D119" s="2829" t="s">
        <v>2750</v>
      </c>
      <c r="E119" s="2855">
        <v>0.1</v>
      </c>
      <c r="F119" s="2855">
        <v>15</v>
      </c>
    </row>
    <row r="120" spans="1:6" ht="24">
      <c r="A120" s="2855">
        <v>48</v>
      </c>
      <c r="B120" s="3500" t="s">
        <v>2751</v>
      </c>
      <c r="C120" s="2855" t="s">
        <v>2752</v>
      </c>
      <c r="D120" s="2829" t="s">
        <v>2753</v>
      </c>
      <c r="E120" s="2855">
        <v>0.1</v>
      </c>
      <c r="F120" s="2855">
        <v>15</v>
      </c>
    </row>
    <row r="121" spans="1:6" ht="24">
      <c r="A121" s="2855">
        <v>49</v>
      </c>
      <c r="B121" s="3501"/>
      <c r="C121" s="2855" t="s">
        <v>2754</v>
      </c>
      <c r="D121" s="2829" t="s">
        <v>2755</v>
      </c>
      <c r="E121" s="2855">
        <v>0.1</v>
      </c>
      <c r="F121" s="2855">
        <v>15</v>
      </c>
    </row>
    <row r="122" spans="1:6" ht="24">
      <c r="A122" s="2855">
        <v>50</v>
      </c>
      <c r="B122" s="3499" t="s">
        <v>2756</v>
      </c>
      <c r="C122" s="2855" t="s">
        <v>2757</v>
      </c>
      <c r="D122" s="2829" t="s">
        <v>2758</v>
      </c>
      <c r="E122" s="2855">
        <v>0.1</v>
      </c>
      <c r="F122" s="2855">
        <v>15</v>
      </c>
    </row>
    <row r="123" spans="1:6" ht="24">
      <c r="A123" s="2855">
        <v>51</v>
      </c>
      <c r="B123" s="3499"/>
      <c r="C123" s="2855" t="s">
        <v>2759</v>
      </c>
      <c r="D123" s="2829" t="s">
        <v>2760</v>
      </c>
      <c r="E123" s="2855">
        <v>0.1</v>
      </c>
      <c r="F123" s="2855">
        <v>15</v>
      </c>
    </row>
    <row r="124" spans="1:6" ht="24">
      <c r="A124" s="2855">
        <v>52</v>
      </c>
      <c r="B124" s="3499" t="s">
        <v>2761</v>
      </c>
      <c r="C124" s="2855" t="s">
        <v>2762</v>
      </c>
      <c r="D124" s="2829" t="s">
        <v>2763</v>
      </c>
      <c r="E124" s="2855">
        <v>0.1</v>
      </c>
      <c r="F124" s="2855">
        <v>15</v>
      </c>
    </row>
    <row r="125" spans="1:6" ht="24">
      <c r="A125" s="2855">
        <v>53</v>
      </c>
      <c r="B125" s="3499"/>
      <c r="C125" s="2855" t="s">
        <v>2764</v>
      </c>
      <c r="D125" s="2829" t="s">
        <v>2765</v>
      </c>
      <c r="E125" s="2855">
        <v>0.1</v>
      </c>
      <c r="F125" s="2855">
        <v>15</v>
      </c>
    </row>
    <row r="126" spans="1:6" ht="24">
      <c r="A126" s="2855">
        <v>54</v>
      </c>
      <c r="B126" s="2855" t="s">
        <v>2766</v>
      </c>
      <c r="C126" s="2855" t="s">
        <v>2767</v>
      </c>
      <c r="D126" s="2829" t="s">
        <v>2768</v>
      </c>
      <c r="E126" s="2855">
        <v>0.1</v>
      </c>
      <c r="F126" s="2855">
        <v>15</v>
      </c>
    </row>
    <row r="127" spans="1:6" ht="24">
      <c r="A127" s="2855">
        <v>55</v>
      </c>
      <c r="B127" s="3499" t="s">
        <v>2769</v>
      </c>
      <c r="C127" s="2855" t="s">
        <v>2770</v>
      </c>
      <c r="D127" s="2829" t="s">
        <v>2771</v>
      </c>
      <c r="E127" s="2855">
        <v>0.1</v>
      </c>
      <c r="F127" s="2855">
        <v>15</v>
      </c>
    </row>
    <row r="128" spans="1:6" ht="24">
      <c r="A128" s="2855">
        <v>56</v>
      </c>
      <c r="B128" s="3499"/>
      <c r="C128" s="2855" t="s">
        <v>2772</v>
      </c>
      <c r="D128" s="2829" t="s">
        <v>2773</v>
      </c>
      <c r="E128" s="2855">
        <v>0.1</v>
      </c>
      <c r="F128" s="2855">
        <v>15</v>
      </c>
    </row>
    <row r="129" spans="1:6" ht="24">
      <c r="A129" s="2855">
        <v>57</v>
      </c>
      <c r="B129" s="3499"/>
      <c r="C129" s="2855" t="s">
        <v>2774</v>
      </c>
      <c r="D129" s="2829" t="s">
        <v>2775</v>
      </c>
      <c r="E129" s="2855">
        <v>0.1</v>
      </c>
      <c r="F129" s="2855">
        <v>15</v>
      </c>
    </row>
    <row r="130" spans="1:6" ht="24">
      <c r="A130" s="2855">
        <v>58</v>
      </c>
      <c r="B130" s="3499" t="s">
        <v>2776</v>
      </c>
      <c r="C130" s="2855" t="s">
        <v>2777</v>
      </c>
      <c r="D130" s="2829" t="s">
        <v>2778</v>
      </c>
      <c r="E130" s="2855">
        <v>0.1</v>
      </c>
      <c r="F130" s="2855">
        <v>15</v>
      </c>
    </row>
    <row r="131" spans="1:6" ht="24">
      <c r="A131" s="2855">
        <v>59</v>
      </c>
      <c r="B131" s="3499"/>
      <c r="C131" s="2855" t="s">
        <v>2779</v>
      </c>
      <c r="D131" s="2829" t="s">
        <v>2780</v>
      </c>
      <c r="E131" s="2855">
        <v>0.1</v>
      </c>
      <c r="F131" s="2855">
        <v>15</v>
      </c>
    </row>
    <row r="132" spans="1:6" ht="24">
      <c r="A132" s="2855">
        <v>60</v>
      </c>
      <c r="B132" s="3500" t="s">
        <v>2781</v>
      </c>
      <c r="C132" s="2855" t="s">
        <v>2782</v>
      </c>
      <c r="D132" s="2829" t="s">
        <v>2783</v>
      </c>
      <c r="E132" s="2855">
        <v>0.1</v>
      </c>
      <c r="F132" s="2855">
        <v>15</v>
      </c>
    </row>
    <row r="133" spans="1:6" ht="24">
      <c r="A133" s="2855">
        <v>61</v>
      </c>
      <c r="B133" s="3501"/>
      <c r="C133" s="2855" t="s">
        <v>2784</v>
      </c>
      <c r="D133" s="2829" t="s">
        <v>2785</v>
      </c>
      <c r="E133" s="2855">
        <v>0.1</v>
      </c>
      <c r="F133" s="2855">
        <v>15</v>
      </c>
    </row>
    <row r="134" spans="1:6" ht="24">
      <c r="A134" s="2855">
        <v>62</v>
      </c>
      <c r="B134" s="2855" t="s">
        <v>2786</v>
      </c>
      <c r="C134" s="2855" t="s">
        <v>2787</v>
      </c>
      <c r="D134" s="2829" t="s">
        <v>2788</v>
      </c>
      <c r="E134" s="2855">
        <v>0.1</v>
      </c>
      <c r="F134" s="2855">
        <v>15</v>
      </c>
    </row>
    <row r="135" spans="1:6" ht="24">
      <c r="A135" s="2855">
        <v>63</v>
      </c>
      <c r="B135" s="3499" t="s">
        <v>2789</v>
      </c>
      <c r="C135" s="2855" t="s">
        <v>2790</v>
      </c>
      <c r="D135" s="2829" t="s">
        <v>2791</v>
      </c>
      <c r="E135" s="2855">
        <v>0.1</v>
      </c>
      <c r="F135" s="2855">
        <v>15</v>
      </c>
    </row>
    <row r="136" spans="1:6" ht="24">
      <c r="A136" s="2855">
        <v>64</v>
      </c>
      <c r="B136" s="3499"/>
      <c r="C136" s="2855" t="s">
        <v>2792</v>
      </c>
      <c r="D136" s="2829" t="s">
        <v>2793</v>
      </c>
      <c r="E136" s="2855">
        <v>0.1</v>
      </c>
      <c r="F136" s="2855">
        <v>15</v>
      </c>
    </row>
    <row r="137" spans="1:6" ht="24">
      <c r="A137" s="2855">
        <v>65</v>
      </c>
      <c r="B137" s="2855" t="s">
        <v>2794</v>
      </c>
      <c r="C137" s="2855" t="s">
        <v>2795</v>
      </c>
      <c r="D137" s="2829" t="s">
        <v>2796</v>
      </c>
      <c r="E137" s="2855">
        <v>0.1</v>
      </c>
      <c r="F137" s="2855">
        <v>15</v>
      </c>
    </row>
    <row r="138" spans="1:6" ht="14.4">
      <c r="A138" s="2855"/>
      <c r="B138" s="2855"/>
      <c r="C138" s="2855"/>
      <c r="D138" s="2855"/>
      <c r="E138" s="2855" t="s">
        <v>2797</v>
      </c>
      <c r="F138" s="2855"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2798</v>
      </c>
      <c r="B1" s="2863"/>
      <c r="C1" s="2863"/>
      <c r="D1" s="2863"/>
      <c r="E1" s="2863"/>
      <c r="F1" s="2863"/>
      <c r="G1" s="2863"/>
      <c r="H1" s="2863"/>
      <c r="I1" s="2863"/>
      <c r="J1" s="2863"/>
      <c r="K1" s="2863"/>
      <c r="L1" s="2863"/>
      <c r="M1" s="2863"/>
      <c r="N1" s="706"/>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0</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6"/>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6"/>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0</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 ca="1">C52</f>
        <v>25842</v>
      </c>
      <c r="C2" s="2" t="s">
        <v>106</v>
      </c>
      <c r="D2" s="190"/>
      <c r="E2" s="190"/>
      <c r="F2" s="190"/>
      <c r="G2" s="190"/>
    </row>
    <row r="3" spans="1:7" s="191" customFormat="1" ht="18" customHeight="1" thickBot="1">
      <c r="A3" s="194" t="s">
        <v>58</v>
      </c>
      <c r="B3" s="195">
        <f ca="1">ROUND(B2*10000/'数据-汇总表'!E3,0)</f>
        <v>826521</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100</v>
      </c>
      <c r="F9" s="212"/>
      <c r="G9" s="217"/>
    </row>
    <row r="10" spans="1:7" s="205" customFormat="1" ht="13.5" customHeight="1">
      <c r="A10" s="732" t="s">
        <v>356</v>
      </c>
      <c r="B10" s="215" t="s">
        <v>67</v>
      </c>
      <c r="C10" s="216">
        <f>ROUND(D10*E10/10000,0)</f>
        <v>5</v>
      </c>
      <c r="D10" s="794">
        <f>'数据-汇总表'!E6</f>
        <v>312.66000000000003</v>
      </c>
      <c r="E10" s="216">
        <f>'数据-取费表'!B28</f>
        <v>150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6</v>
      </c>
      <c r="D19" s="203">
        <f>'数据-汇总表'!E3</f>
        <v>312.66000000000003</v>
      </c>
      <c r="E19" s="202">
        <f>'数据-取费表'!B31</f>
        <v>200</v>
      </c>
      <c r="F19" s="222"/>
      <c r="G19" s="1" t="s">
        <v>436</v>
      </c>
    </row>
    <row r="20" spans="1:7" s="205" customFormat="1" ht="13.5" customHeight="1">
      <c r="A20" s="730" t="s">
        <v>419</v>
      </c>
      <c r="B20" s="201" t="s">
        <v>77</v>
      </c>
      <c r="C20" s="223">
        <f>ROUND((C5+C19)*F20,0)</f>
        <v>412</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697</v>
      </c>
      <c r="D22" s="226">
        <f ca="1">C26</f>
        <v>2.9999999999999997E-4</v>
      </c>
      <c r="E22" s="227" t="s">
        <v>99</v>
      </c>
      <c r="F22" s="228">
        <f ca="1">'数据-取费表'!B40</f>
        <v>3.3500000000000002E-2</v>
      </c>
      <c r="G22" s="1003" t="str">
        <f>IF('数据-取费表'!B22&lt;=1,"单利计息","复利计息")</f>
        <v>单利计息</v>
      </c>
    </row>
    <row r="23" spans="1:7" s="205" customFormat="1" ht="13.5" customHeight="1">
      <c r="A23" s="733" t="s">
        <v>349</v>
      </c>
      <c r="B23" s="206" t="s">
        <v>423</v>
      </c>
      <c r="C23" s="1041">
        <f ca="1">ROUND(IF('数据-取费表'!B22&lt;=1,C5*F22*'数据-取费表'!B23,C5*(POWER((1+F22),'数据-取费表'!B23)-1)),0)</f>
        <v>690</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0</v>
      </c>
      <c r="D24" s="229"/>
      <c r="E24" s="229"/>
      <c r="F24" s="230"/>
      <c r="G24" s="231" t="s">
        <v>82</v>
      </c>
    </row>
    <row r="25" spans="1:7" s="205" customFormat="1" ht="24">
      <c r="A25" s="733" t="s">
        <v>348</v>
      </c>
      <c r="B25" s="206" t="s">
        <v>420</v>
      </c>
      <c r="C25" s="1041">
        <f ca="1">ROUND(IF('数据-取费表'!B22&lt;=1,C20*F22*'数据-取费表'!B23/2,C20*(POWER((1+F22),'数据-取费表'!B23/2)-1)),0)</f>
        <v>7</v>
      </c>
      <c r="D25" s="229"/>
      <c r="E25" s="232"/>
      <c r="F25" s="230"/>
      <c r="G25" s="233" t="s">
        <v>83</v>
      </c>
    </row>
    <row r="26" spans="1:7" s="205" customFormat="1">
      <c r="A26" s="733" t="s">
        <v>350</v>
      </c>
      <c r="B26" s="206" t="s">
        <v>422</v>
      </c>
      <c r="C26" s="229">
        <f ca="1">ROUND(IF('数据-取费表'!B22&lt;=1,F21*F22*'数据-取费表'!B23/2,F21*(POWER((1+F22),'数据-取费表'!B23/2)-1)),4)</f>
        <v>2.9999999999999997E-4</v>
      </c>
      <c r="D26" s="229"/>
      <c r="E26" s="232"/>
      <c r="F26" s="230"/>
      <c r="G26" s="234"/>
    </row>
    <row r="27" spans="1:7" s="205" customFormat="1" ht="26.4">
      <c r="A27" s="730" t="s">
        <v>342</v>
      </c>
      <c r="B27" s="235" t="s">
        <v>85</v>
      </c>
      <c r="C27" s="236">
        <f>C28</f>
        <v>2103</v>
      </c>
      <c r="D27" s="226">
        <f>C29</f>
        <v>2E-3</v>
      </c>
      <c r="E27" s="227" t="s">
        <v>99</v>
      </c>
      <c r="F27" s="237">
        <f>'数据-取费表'!Q16</f>
        <v>0.1</v>
      </c>
      <c r="G27" s="238" t="s">
        <v>431</v>
      </c>
    </row>
    <row r="28" spans="1:7" s="205" customFormat="1" ht="13.5" customHeight="1">
      <c r="A28" s="733" t="s">
        <v>349</v>
      </c>
      <c r="B28" s="239" t="s">
        <v>424</v>
      </c>
      <c r="C28" s="240">
        <f>ROUND((C5+C19+C20)*F27*'数据-取费表'!B21/'数据-取费表'!B20,0)</f>
        <v>2103</v>
      </c>
      <c r="D28" s="226"/>
      <c r="E28" s="227"/>
      <c r="F28" s="237"/>
      <c r="G28" s="238"/>
    </row>
    <row r="29" spans="1:7" s="205" customFormat="1" ht="13.5" customHeight="1">
      <c r="A29" s="733" t="s">
        <v>347</v>
      </c>
      <c r="B29" s="239" t="s">
        <v>425</v>
      </c>
      <c r="C29" s="229">
        <f>ROUND(C21*F27*'数据-取费表'!B21/'数据-取费表'!B20,4)</f>
        <v>2E-3</v>
      </c>
      <c r="D29" s="226"/>
      <c r="E29" s="227"/>
      <c r="F29" s="237"/>
      <c r="G29" s="238"/>
    </row>
    <row r="30" spans="1:7" s="205" customFormat="1" ht="13.5" customHeight="1">
      <c r="A30" s="730"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25751</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105</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94</v>
      </c>
      <c r="D34" s="208"/>
      <c r="E34" s="211"/>
      <c r="F34" s="248">
        <f>IF('数据-取费表'!B24=0,1,'数据-取费表'!N16)</f>
        <v>1</v>
      </c>
      <c r="G34" s="210" t="s">
        <v>89</v>
      </c>
    </row>
    <row r="35" spans="1:7" ht="13.5" customHeight="1">
      <c r="A35" s="733" t="s">
        <v>351</v>
      </c>
      <c r="B35" s="206" t="s">
        <v>33</v>
      </c>
      <c r="C35" s="211">
        <f>ROUND(C34*F35,0)</f>
        <v>3</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6</v>
      </c>
      <c r="D37" s="208">
        <f>'数据-汇总表'!E3</f>
        <v>312.66000000000003</v>
      </c>
      <c r="E37" s="240">
        <f>'数据-取费表'!B35</f>
        <v>200</v>
      </c>
      <c r="F37" s="250"/>
      <c r="G37" s="252" t="s">
        <v>92</v>
      </c>
    </row>
    <row r="38" spans="1:7" ht="13.5" customHeight="1">
      <c r="A38" s="733" t="s">
        <v>354</v>
      </c>
      <c r="B38" s="206" t="s">
        <v>36</v>
      </c>
      <c r="C38" s="211">
        <f>ROUND(C34*F38,0)</f>
        <v>2</v>
      </c>
      <c r="D38" s="211"/>
      <c r="E38" s="211"/>
      <c r="F38" s="250">
        <f>'数据-取费表'!B36</f>
        <v>0.02</v>
      </c>
      <c r="G38" s="210" t="s">
        <v>90</v>
      </c>
    </row>
    <row r="39" spans="1:7" s="205" customFormat="1" ht="13.5" customHeight="1">
      <c r="A39" s="730" t="s">
        <v>338</v>
      </c>
      <c r="B39" s="201" t="s">
        <v>77</v>
      </c>
      <c r="C39" s="223">
        <f>ROUND(C33*F20,0)</f>
        <v>2</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2</v>
      </c>
      <c r="D41" s="226">
        <f ca="1">C44</f>
        <v>2.9999999999999997E-4</v>
      </c>
      <c r="E41" s="227" t="s">
        <v>102</v>
      </c>
      <c r="F41" s="228"/>
      <c r="G41" s="1003" t="str">
        <f>IF('数据-取费表'!B22&lt;=1,"单利计息","复利计息")</f>
        <v>单利计息</v>
      </c>
    </row>
    <row r="42" spans="1:7" ht="13.5" customHeight="1">
      <c r="A42" s="733" t="s">
        <v>349</v>
      </c>
      <c r="B42" s="206" t="s">
        <v>423</v>
      </c>
      <c r="C42" s="229">
        <f ca="1">ROUND(IF('数据-取费表'!B22&lt;=1,C33*F22*'数据-取费表'!B21/2,C33*(POWER((1+F22),'数据-取费表'!B21/2)-1)),0)</f>
        <v>2</v>
      </c>
      <c r="D42" s="229"/>
      <c r="E42" s="229"/>
      <c r="F42" s="230"/>
      <c r="G42" s="3281" t="s">
        <v>94</v>
      </c>
    </row>
    <row r="43" spans="1:7" ht="13.5" customHeight="1">
      <c r="A43" s="733" t="s">
        <v>347</v>
      </c>
      <c r="B43" s="206" t="s">
        <v>426</v>
      </c>
      <c r="C43" s="229">
        <f ca="1">ROUND(IF('数据-取费表'!B22&lt;=1,C39*F22*'数据-取费表'!B21/2,C39*(POWER((1+F22),'数据-取费表'!B21/2)-1)),0)</f>
        <v>0</v>
      </c>
      <c r="D43" s="229"/>
      <c r="E43" s="229"/>
      <c r="F43" s="230"/>
      <c r="G43" s="3282"/>
    </row>
    <row r="44" spans="1:7" ht="13.5" customHeight="1">
      <c r="A44" s="733" t="s">
        <v>348</v>
      </c>
      <c r="B44" s="206" t="s">
        <v>428</v>
      </c>
      <c r="C44" s="229">
        <f ca="1">ROUND(IF('数据-取费表'!B22&lt;=1,C40*F22*'数据-取费表'!B21/2,C40*(POWER((1+F22),'数据-取费表'!B21/2)-1)),4)</f>
        <v>2.9999999999999997E-4</v>
      </c>
      <c r="D44" s="229"/>
      <c r="E44" s="229"/>
      <c r="F44" s="230"/>
      <c r="G44" s="3283"/>
    </row>
    <row r="45" spans="1:7" s="205" customFormat="1" ht="13.5" customHeight="1">
      <c r="A45" s="730" t="s">
        <v>341</v>
      </c>
      <c r="B45" s="235" t="s">
        <v>85</v>
      </c>
      <c r="C45" s="236">
        <f>C46</f>
        <v>11</v>
      </c>
      <c r="D45" s="226">
        <f>C47</f>
        <v>2E-3</v>
      </c>
      <c r="E45" s="227" t="s">
        <v>102</v>
      </c>
      <c r="F45" s="237"/>
      <c r="G45" s="238" t="s">
        <v>434</v>
      </c>
    </row>
    <row r="46" spans="1:7" s="205" customFormat="1" ht="13.5" customHeight="1">
      <c r="A46" s="733" t="s">
        <v>349</v>
      </c>
      <c r="B46" s="239" t="s">
        <v>427</v>
      </c>
      <c r="C46" s="240">
        <f>ROUND((C33+C39)*F27,0)</f>
        <v>11</v>
      </c>
      <c r="D46" s="254"/>
      <c r="E46" s="227"/>
      <c r="F46" s="237"/>
      <c r="G46" s="238"/>
    </row>
    <row r="47" spans="1:7" s="205" customFormat="1" ht="13.5" customHeight="1">
      <c r="A47" s="733" t="s">
        <v>347</v>
      </c>
      <c r="B47" s="239" t="s">
        <v>429</v>
      </c>
      <c r="C47" s="229">
        <f>ROUND(C40*F27,4)</f>
        <v>2E-3</v>
      </c>
      <c r="D47" s="254"/>
      <c r="E47" s="227"/>
      <c r="F47" s="237"/>
      <c r="G47" s="238"/>
    </row>
    <row r="48" spans="1:7" s="205" customFormat="1" ht="13.5" customHeight="1">
      <c r="A48" s="730" t="s">
        <v>342</v>
      </c>
      <c r="B48" s="201" t="s">
        <v>95</v>
      </c>
      <c r="C48" s="253">
        <f>F30</f>
        <v>5.5000000000000007E-2</v>
      </c>
      <c r="D48" s="227" t="s">
        <v>103</v>
      </c>
      <c r="E48" s="223"/>
      <c r="F48" s="228"/>
      <c r="G48" s="225" t="s">
        <v>96</v>
      </c>
    </row>
    <row r="49" spans="1:7" ht="16.5" customHeight="1">
      <c r="A49" s="730" t="s">
        <v>343</v>
      </c>
      <c r="B49" s="201" t="s">
        <v>104</v>
      </c>
      <c r="C49" s="223">
        <f ca="1">ROUND((C33+C39+C41+C45)/(1-C40-D41-D45-C48/(1+'数据-取费表'!B42)),0)</f>
        <v>130</v>
      </c>
      <c r="D49" s="223"/>
      <c r="E49" s="223"/>
      <c r="F49" s="255"/>
      <c r="G49" s="225" t="s">
        <v>435</v>
      </c>
    </row>
    <row r="50" spans="1:7" s="249" customFormat="1" ht="24">
      <c r="A50" s="730" t="s">
        <v>344</v>
      </c>
      <c r="B50" s="201" t="s">
        <v>97</v>
      </c>
      <c r="C50" s="223"/>
      <c r="D50" s="223"/>
      <c r="E50" s="223"/>
      <c r="F50" s="255">
        <f>IF('数据-取费表'!B24=0,'数据-取费表'!N16,1)</f>
        <v>0.7</v>
      </c>
      <c r="G50" s="238" t="s">
        <v>98</v>
      </c>
    </row>
    <row r="51" spans="1:7" ht="16.5" customHeight="1">
      <c r="A51" s="730" t="s">
        <v>345</v>
      </c>
      <c r="B51" s="201" t="s">
        <v>105</v>
      </c>
      <c r="C51" s="223">
        <f ca="1">ROUND(C49*F50,0)</f>
        <v>91</v>
      </c>
      <c r="D51" s="223"/>
      <c r="E51" s="223"/>
      <c r="F51" s="255"/>
      <c r="G51" s="225" t="s">
        <v>37</v>
      </c>
    </row>
    <row r="52" spans="1:7" s="199" customFormat="1" ht="16.8" thickBot="1">
      <c r="A52" s="256" t="s">
        <v>38</v>
      </c>
      <c r="B52" s="257"/>
      <c r="C52" s="258">
        <f ca="1">C31+C51</f>
        <v>25842</v>
      </c>
      <c r="D52" s="257"/>
      <c r="E52" s="257"/>
      <c r="F52" s="257"/>
      <c r="G52" s="259"/>
    </row>
    <row r="55" spans="1:7" ht="15">
      <c r="B55" s="261" t="s">
        <v>39</v>
      </c>
      <c r="C55" s="262"/>
    </row>
    <row r="56" spans="1:7">
      <c r="B56" s="264" t="s">
        <v>40</v>
      </c>
      <c r="C56" s="265">
        <f ca="1">ROUND(C51/C52,3)</f>
        <v>4.0000000000000001E-3</v>
      </c>
    </row>
    <row r="57" spans="1:7">
      <c r="B57" s="264" t="s">
        <v>41</v>
      </c>
      <c r="C57" s="266">
        <f ca="1">1-C56</f>
        <v>0.996</v>
      </c>
    </row>
  </sheetData>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13" t="s">
        <v>2839</v>
      </c>
      <c r="B1" s="3513"/>
      <c r="C1" s="3513"/>
      <c r="D1" s="3513"/>
      <c r="E1" s="3513"/>
      <c r="F1" s="3513"/>
      <c r="G1" s="3514"/>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1.4"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511"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1.4" thickBot="1">
      <c r="A4" s="3512"/>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1.4"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1.4"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1.4"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1.4"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515" t="s">
        <v>3181</v>
      </c>
      <c r="B1" s="3515"/>
    </row>
    <row r="2" spans="1:7" ht="15" thickBot="1">
      <c r="A2" s="2966"/>
      <c r="B2" s="2966"/>
    </row>
    <row r="3" spans="1:7" ht="15" thickBot="1">
      <c r="A3" s="2966"/>
      <c r="B3" s="2966"/>
      <c r="C3" s="2967" t="s">
        <v>2811</v>
      </c>
      <c r="D3" s="2967" t="s">
        <v>2867</v>
      </c>
      <c r="E3" s="2967" t="s">
        <v>2813</v>
      </c>
      <c r="F3" s="2967" t="s">
        <v>2868</v>
      </c>
      <c r="G3" s="2967" t="s">
        <v>2631</v>
      </c>
    </row>
    <row r="4" spans="1:7" ht="1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1875" defaultRowHeight="14.4"/>
  <cols>
    <col min="1" max="16384" width="13.21875" style="2811"/>
  </cols>
  <sheetData>
    <row r="1" spans="1:6">
      <c r="A1" s="3516" t="s">
        <v>3232</v>
      </c>
      <c r="B1" s="3516"/>
      <c r="C1" s="3516"/>
      <c r="D1" s="3516"/>
      <c r="E1" s="3516"/>
      <c r="F1" s="3517"/>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205" t="str">
        <f>IF(项目基本情况!B9="房地产市场价值","估价结果一览表","结果表-2")</f>
        <v>结果表-2</v>
      </c>
      <c r="B1" s="3205"/>
      <c r="C1" s="3205"/>
      <c r="D1" s="3205"/>
      <c r="E1" s="3205"/>
      <c r="F1" s="3205"/>
      <c r="G1" s="3205"/>
      <c r="H1" s="3205"/>
      <c r="I1" s="3205"/>
    </row>
    <row r="2" spans="1:9" ht="30" customHeight="1" thickTop="1">
      <c r="A2" s="3206" t="s">
        <v>928</v>
      </c>
      <c r="B2" s="3206" t="s">
        <v>929</v>
      </c>
      <c r="C2" s="3206" t="s">
        <v>930</v>
      </c>
      <c r="D2" s="3206" t="str">
        <f>结果表1号!D116</f>
        <v>出让国有建设用地使用权价值</v>
      </c>
      <c r="E2" s="3206"/>
      <c r="F2" s="3206" t="str">
        <f>结果表1号!F116</f>
        <v>在建建筑物价值</v>
      </c>
      <c r="G2" s="3206"/>
      <c r="H2" s="3206" t="str">
        <f>IF(项目基本情况!B9="房地产市场价值","房地产市场价值","房地产价值")</f>
        <v>房地产价值</v>
      </c>
      <c r="I2" s="3206"/>
    </row>
    <row r="3" spans="1:9" ht="15.6">
      <c r="A3" s="3201"/>
      <c r="B3" s="3201"/>
      <c r="C3" s="3201"/>
      <c r="D3" s="800" t="s">
        <v>925</v>
      </c>
      <c r="E3" s="800" t="s">
        <v>931</v>
      </c>
      <c r="F3" s="800" t="s">
        <v>925</v>
      </c>
      <c r="G3" s="800" t="s">
        <v>926</v>
      </c>
      <c r="H3" s="800" t="s">
        <v>925</v>
      </c>
      <c r="I3" s="800" t="s">
        <v>926</v>
      </c>
    </row>
    <row r="4" spans="1:9" ht="30">
      <c r="A4" s="1402" t="str">
        <f>项目基本情况!S2</f>
        <v>北京市延庆县燕水佳园14号楼1至2层1号、2号房地产</v>
      </c>
      <c r="B4" s="800">
        <f>项目基本情况!C17</f>
        <v>312.66000000000003</v>
      </c>
      <c r="C4" s="800">
        <f>项目基本情况!C18</f>
        <v>0</v>
      </c>
      <c r="D4" s="800">
        <f>结果表1号!D118</f>
        <v>0</v>
      </c>
      <c r="E4" s="800">
        <f>结果表1号!E118</f>
        <v>0</v>
      </c>
      <c r="F4" s="800">
        <f>结果表1号!F118</f>
        <v>0</v>
      </c>
      <c r="G4" s="800">
        <f>结果表1号!G118</f>
        <v>0</v>
      </c>
      <c r="H4" s="800">
        <f ca="1">结果表1号!H118</f>
        <v>189.83150000000001</v>
      </c>
      <c r="I4" s="800">
        <f ca="1">结果表1号!I118</f>
        <v>12143</v>
      </c>
    </row>
    <row r="5" spans="1:9" ht="30" customHeight="1">
      <c r="A5" s="3201" t="s">
        <v>927</v>
      </c>
      <c r="B5" s="3201"/>
      <c r="C5" s="3201"/>
      <c r="D5" s="3201" t="str">
        <f>结果表1号!D119</f>
        <v>零元整</v>
      </c>
      <c r="E5" s="3201"/>
      <c r="F5" s="3201" t="str">
        <f>结果表1号!F119</f>
        <v>零元整</v>
      </c>
      <c r="G5" s="3201"/>
      <c r="H5" s="3201" t="str">
        <f ca="1">结果表1号!H119</f>
        <v>壹佰捌拾玖万捌仟叁佰壹拾伍元整</v>
      </c>
      <c r="I5" s="3201"/>
    </row>
    <row r="6" spans="1:9" ht="15.6">
      <c r="A6" s="3200" t="str">
        <f>结果表1号!A120</f>
        <v>估价师知悉的法定优先受偿款</v>
      </c>
      <c r="B6" s="3200"/>
      <c r="C6" s="3200"/>
      <c r="D6" s="3200">
        <f>结果表1号!D120</f>
        <v>0</v>
      </c>
      <c r="E6" s="3200"/>
      <c r="F6" s="3200"/>
      <c r="G6" s="3200"/>
      <c r="H6" s="3200"/>
      <c r="I6" s="3200"/>
    </row>
    <row r="7" spans="1:9" ht="15">
      <c r="A7" s="3201" t="s">
        <v>927</v>
      </c>
      <c r="B7" s="3201"/>
      <c r="C7" s="3201"/>
      <c r="D7" s="3202" t="str">
        <f>结果表1号!D121</f>
        <v>零元整</v>
      </c>
      <c r="E7" s="3203"/>
      <c r="F7" s="3203"/>
      <c r="G7" s="3203"/>
      <c r="H7" s="3203"/>
      <c r="I7" s="3204"/>
    </row>
    <row r="8" spans="1:9" ht="15.6">
      <c r="A8" s="3200" t="str">
        <f>结果表1号!A122</f>
        <v>房地产抵押价值</v>
      </c>
      <c r="B8" s="3200"/>
      <c r="C8" s="3200"/>
      <c r="D8" s="3200">
        <f ca="1">结果表1号!D122</f>
        <v>189.83150000000001</v>
      </c>
      <c r="E8" s="3200"/>
      <c r="F8" s="3200"/>
      <c r="G8" s="3200"/>
      <c r="H8" s="3200"/>
      <c r="I8" s="3200"/>
    </row>
    <row r="9" spans="1:9" ht="15">
      <c r="A9" s="3201" t="s">
        <v>927</v>
      </c>
      <c r="B9" s="3201"/>
      <c r="C9" s="3201"/>
      <c r="D9" s="3201" t="str">
        <f ca="1">结果表1号!D123</f>
        <v>壹佰捌拾玖万捌仟叁佰壹拾伍元整</v>
      </c>
      <c r="E9" s="3201"/>
      <c r="F9" s="3201"/>
      <c r="G9" s="3201"/>
      <c r="H9" s="3201"/>
      <c r="I9" s="3201"/>
    </row>
    <row r="10" spans="1:9" ht="15.6">
      <c r="A10" s="3200" t="str">
        <f>结果表1号!A124</f>
        <v/>
      </c>
      <c r="B10" s="3200"/>
      <c r="C10" s="3200"/>
      <c r="D10" s="3200" t="str">
        <f>结果表1号!D124</f>
        <v>——</v>
      </c>
      <c r="E10" s="3200"/>
      <c r="F10" s="3200"/>
      <c r="G10" s="3200"/>
      <c r="H10" s="3200"/>
      <c r="I10" s="3200"/>
    </row>
    <row r="11" spans="1:9" ht="15">
      <c r="A11" s="3201" t="s">
        <v>927</v>
      </c>
      <c r="B11" s="3201"/>
      <c r="C11" s="3201"/>
      <c r="D11" s="3201" t="e">
        <f>结果表1号!D125</f>
        <v>#VALUE!</v>
      </c>
      <c r="E11" s="3201"/>
      <c r="F11" s="3201"/>
      <c r="G11" s="3201"/>
      <c r="H11" s="3201"/>
      <c r="I11" s="3201"/>
    </row>
    <row r="12" spans="1:9" ht="15.6">
      <c r="A12" s="3200" t="str">
        <f>结果表1号!A126</f>
        <v/>
      </c>
      <c r="B12" s="3200"/>
      <c r="C12" s="3200"/>
      <c r="D12" s="3200" t="str">
        <f>结果表1号!D126</f>
        <v>——</v>
      </c>
      <c r="E12" s="3200"/>
      <c r="F12" s="3200"/>
      <c r="G12" s="3200"/>
      <c r="H12" s="3200"/>
      <c r="I12" s="3200"/>
    </row>
    <row r="13" spans="1:9" ht="15.6" thickBot="1">
      <c r="A13" s="3198" t="s">
        <v>927</v>
      </c>
      <c r="B13" s="3198"/>
      <c r="C13" s="3198"/>
      <c r="D13" s="3198" t="e">
        <f>结果表1号!D127</f>
        <v>#VALUE!</v>
      </c>
      <c r="E13" s="3198"/>
      <c r="F13" s="3198"/>
      <c r="G13" s="3198"/>
      <c r="H13" s="3198"/>
      <c r="I13" s="3198"/>
    </row>
    <row r="14" spans="1:9" ht="14.4" thickTop="1">
      <c r="A14" s="3199" t="s">
        <v>932</v>
      </c>
      <c r="B14" s="3199"/>
      <c r="C14" s="3199"/>
      <c r="D14" s="3199"/>
      <c r="E14" s="3199"/>
      <c r="F14" s="3199"/>
      <c r="G14" s="3199"/>
      <c r="H14" s="3199"/>
      <c r="I14" s="3199"/>
    </row>
    <row r="16" spans="1:9" ht="17.399999999999999">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D44"/>
  <sheetViews>
    <sheetView zoomScale="80" zoomScaleNormal="80" workbookViewId="0">
      <selection activeCell="G52" sqref="G52"/>
    </sheetView>
  </sheetViews>
  <sheetFormatPr defaultRowHeight="14.4"/>
  <cols>
    <col min="1" max="1" width="13.88671875" customWidth="1"/>
    <col min="11" max="17" width="0" hidden="1" customWidth="1"/>
    <col min="25" max="30" width="0" hidden="1" customWidth="1"/>
  </cols>
  <sheetData>
    <row r="1" spans="1:30">
      <c r="A1" s="2935">
        <f>基准地价修正!G23</f>
        <v>45562</v>
      </c>
      <c r="B1" s="2927" t="s">
        <v>3369</v>
      </c>
      <c r="C1" s="2928"/>
      <c r="D1" s="2928"/>
      <c r="E1" s="2928"/>
      <c r="F1" s="2928"/>
      <c r="G1" s="2928"/>
      <c r="H1" s="2928"/>
      <c r="I1" s="2928"/>
      <c r="J1" s="2894"/>
      <c r="K1" s="2928" t="s">
        <v>454</v>
      </c>
      <c r="L1" s="2928"/>
      <c r="M1" s="2928"/>
      <c r="N1" s="2928"/>
      <c r="O1" s="2928"/>
      <c r="P1" s="2928"/>
      <c r="Q1" s="2894"/>
      <c r="R1" s="3518" t="s">
        <v>456</v>
      </c>
      <c r="S1" s="3519"/>
      <c r="T1" s="3519"/>
      <c r="U1" s="3519"/>
      <c r="V1" s="3519"/>
      <c r="W1" s="3519"/>
      <c r="X1" s="2894"/>
      <c r="Y1" s="3518" t="s">
        <v>457</v>
      </c>
      <c r="Z1" s="3519"/>
      <c r="AA1" s="3519"/>
      <c r="AB1" s="3519"/>
      <c r="AC1" s="3519"/>
      <c r="AD1" s="3519"/>
    </row>
    <row r="2" spans="1:30" s="2009" customFormat="1" ht="15" thickBot="1">
      <c r="B2" s="2879"/>
      <c r="C2" s="2880"/>
      <c r="D2" s="2010" t="s">
        <v>2810</v>
      </c>
      <c r="E2" s="2011" t="s">
        <v>2811</v>
      </c>
      <c r="F2" s="2011" t="s">
        <v>2812</v>
      </c>
      <c r="G2" s="2011" t="s">
        <v>2813</v>
      </c>
      <c r="H2" s="2011" t="s">
        <v>2814</v>
      </c>
      <c r="I2" s="2011" t="s">
        <v>2631</v>
      </c>
      <c r="J2" s="2881"/>
      <c r="K2" s="2010" t="s">
        <v>2810</v>
      </c>
      <c r="L2" s="2011" t="s">
        <v>2811</v>
      </c>
      <c r="M2" s="2011" t="s">
        <v>2812</v>
      </c>
      <c r="N2" s="2011" t="s">
        <v>2813</v>
      </c>
      <c r="O2" s="2011" t="s">
        <v>2815</v>
      </c>
      <c r="P2" s="2011" t="s">
        <v>2631</v>
      </c>
      <c r="Q2" s="2881"/>
      <c r="R2" s="2010" t="s">
        <v>2810</v>
      </c>
      <c r="S2" s="2011" t="s">
        <v>2811</v>
      </c>
      <c r="T2" s="2011" t="s">
        <v>2812</v>
      </c>
      <c r="U2" s="2011" t="s">
        <v>2816</v>
      </c>
      <c r="V2" s="2011" t="s">
        <v>2817</v>
      </c>
      <c r="W2" s="2011" t="s">
        <v>2631</v>
      </c>
      <c r="X2" s="2881"/>
      <c r="Y2" s="2010" t="s">
        <v>2810</v>
      </c>
      <c r="Z2" s="2011" t="s">
        <v>2811</v>
      </c>
      <c r="AA2" s="2011" t="s">
        <v>2812</v>
      </c>
      <c r="AB2" s="2011" t="s">
        <v>2818</v>
      </c>
      <c r="AC2" s="2011" t="s">
        <v>2817</v>
      </c>
      <c r="AD2" s="2011" t="s">
        <v>2631</v>
      </c>
    </row>
    <row r="3" spans="1:30" s="2884" customFormat="1" ht="13.2">
      <c r="A3" s="2882" t="s">
        <v>2819</v>
      </c>
      <c r="B3" s="2883"/>
      <c r="D3" s="2884">
        <f>ROUND(AVERAGEIF(D4:D19,"&lt;&gt;0"),2)</f>
        <v>0.59</v>
      </c>
      <c r="E3" s="2884">
        <f t="shared" ref="E3:H3" si="0">ROUND(AVERAGEIF(E4:E19,"&lt;&gt;0"),2)</f>
        <v>0.36</v>
      </c>
      <c r="F3" s="2884">
        <f t="shared" si="0"/>
        <v>0.06</v>
      </c>
      <c r="G3" s="2884">
        <f t="shared" si="0"/>
        <v>0.6</v>
      </c>
      <c r="H3" s="2884">
        <f t="shared" si="0"/>
        <v>0.6</v>
      </c>
      <c r="I3" s="2884">
        <f>F3</f>
        <v>0.06</v>
      </c>
      <c r="J3" s="2885"/>
      <c r="K3" s="2886">
        <f>ROUND(AVERAGEIF(K4:K19,"&lt;&gt;0"),4)</f>
        <v>5.8999999999999999E-3</v>
      </c>
      <c r="L3" s="2887">
        <f t="shared" ref="L3:O3" si="1">ROUND(AVERAGEIF(L4:L19,"&lt;&gt;0"),4)</f>
        <v>3.5999999999999999E-3</v>
      </c>
      <c r="M3" s="2887">
        <f t="shared" si="1"/>
        <v>5.9999999999999995E-4</v>
      </c>
      <c r="N3" s="2887">
        <f t="shared" si="1"/>
        <v>6.0000000000000001E-3</v>
      </c>
      <c r="O3" s="2887">
        <f t="shared" si="1"/>
        <v>6.0000000000000001E-3</v>
      </c>
      <c r="P3" s="2887">
        <f>M3</f>
        <v>5.9999999999999995E-4</v>
      </c>
      <c r="Q3" s="2885"/>
      <c r="R3" s="2888">
        <f>ROUND(SUMPRODUCT(PRODUCT(1+K4:K19)),4)</f>
        <v>1.0852999999999999</v>
      </c>
      <c r="S3" s="2889">
        <f t="shared" ref="S3:V3" si="2">ROUND(SUMPRODUCT(PRODUCT(1+L4:L19)),4)</f>
        <v>1.0513999999999999</v>
      </c>
      <c r="T3" s="2889">
        <f t="shared" si="2"/>
        <v>1.0083</v>
      </c>
      <c r="U3" s="2889">
        <f t="shared" si="2"/>
        <v>1.0871999999999999</v>
      </c>
      <c r="V3" s="2889">
        <f t="shared" si="2"/>
        <v>1.0880000000000001</v>
      </c>
      <c r="W3" s="2888">
        <f>T3</f>
        <v>1.0083</v>
      </c>
      <c r="X3" s="2885"/>
      <c r="Y3" s="2890">
        <f>ROUND(AVERAGEIF(Y6:Y19,"&lt;&gt;0"),4)</f>
        <v>8.3999999999999995E-3</v>
      </c>
      <c r="Z3" s="2891">
        <f t="shared" ref="Z3:AC3" si="3">ROUND(AVERAGEIF(Z6:Z19,"&lt;&gt;0"),4)</f>
        <v>3.5000000000000001E-3</v>
      </c>
      <c r="AA3" s="2892">
        <f t="shared" si="3"/>
        <v>8.0000000000000004E-4</v>
      </c>
      <c r="AB3" s="2890">
        <f t="shared" si="3"/>
        <v>9.1000000000000004E-3</v>
      </c>
      <c r="AC3" s="2893">
        <f t="shared" si="3"/>
        <v>6.1000000000000004E-3</v>
      </c>
      <c r="AD3" s="2890">
        <f>AA3</f>
        <v>8.0000000000000004E-4</v>
      </c>
    </row>
    <row r="4" spans="1:30" s="2008" customFormat="1" ht="13.2">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30" s="2044" customFormat="1" ht="13.2">
      <c r="A5" s="2039" t="s">
        <v>3375</v>
      </c>
      <c r="B5" s="2030">
        <v>2024</v>
      </c>
      <c r="C5" s="2041">
        <v>3</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M5</f>
        <v>0</v>
      </c>
      <c r="Q5" s="2904"/>
      <c r="R5" s="2026">
        <f>ROUND(IF(项目基本情况!$B$8="出让",SUMPRODUCT(PRODUCT(1+K5:$K$19)),SUMPRODUCT(PRODUCT(1+K5:$K$18))),4)</f>
        <v>1.0748</v>
      </c>
      <c r="S5" s="2026">
        <f>ROUND(IF(项目基本情况!$B$8="出让",SUMPRODUCT(PRODUCT(1+L5:$L$19)),SUMPRODUCT(PRODUCT(1+L5:$L$18))),4)</f>
        <v>1.0498000000000001</v>
      </c>
      <c r="T5" s="2026">
        <f>ROUND(IF(项目基本情况!$B$8="出让",SUMPRODUCT(PRODUCT(1+M5:$M$19)),SUMPRODUCT(PRODUCT(1+M5:$M$18))),4)</f>
        <v>1.0107999999999999</v>
      </c>
      <c r="U5" s="2026">
        <f>ROUND(IF(项目基本情况!$B$8="出让",SUMPRODUCT(PRODUCT(1+N5:$N$19)),SUMPRODUCT(PRODUCT(1+N5:$N$18))),4)</f>
        <v>1.0752999999999999</v>
      </c>
      <c r="V5" s="2026">
        <f>ROUND(IF(项目基本情况!$B$8="出让",SUMPRODUCT(PRODUCT(1+O5:$O$19)),SUMPRODUCT(PRODUCT(1+O5:$O$18))),4)</f>
        <v>1.0841000000000001</v>
      </c>
      <c r="W5" s="2026">
        <f>T5</f>
        <v>1.0107999999999999</v>
      </c>
      <c r="X5" s="2904"/>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4" customFormat="1" ht="13.2">
      <c r="A6" s="2905" t="s">
        <v>3376</v>
      </c>
      <c r="B6" s="2906">
        <v>2024</v>
      </c>
      <c r="C6" s="2907">
        <v>2</v>
      </c>
      <c r="D6" s="2908">
        <v>-0.59</v>
      </c>
      <c r="E6" s="2908">
        <v>-0.21</v>
      </c>
      <c r="F6" s="2908">
        <v>-1.38</v>
      </c>
      <c r="G6" s="2908">
        <v>-1.24</v>
      </c>
      <c r="H6" s="2909">
        <v>0.34</v>
      </c>
      <c r="I6" s="2910">
        <f t="shared" ref="I6:I19" si="15">F6</f>
        <v>-1.38</v>
      </c>
      <c r="J6" s="2911"/>
      <c r="K6" s="2912">
        <f t="shared" ref="K6:O19" si="16">D6/100</f>
        <v>-5.8999999999999999E-3</v>
      </c>
      <c r="L6" s="2913">
        <f t="shared" si="16"/>
        <v>-2.0999999999999999E-3</v>
      </c>
      <c r="M6" s="2913">
        <f t="shared" si="16"/>
        <v>-1.38E-2</v>
      </c>
      <c r="N6" s="2913">
        <f t="shared" si="16"/>
        <v>-1.24E-2</v>
      </c>
      <c r="O6" s="2913">
        <f t="shared" si="16"/>
        <v>3.4000000000000002E-3</v>
      </c>
      <c r="P6" s="2913">
        <f>M6</f>
        <v>-1.38E-2</v>
      </c>
      <c r="Q6" s="2911"/>
      <c r="R6" s="2911">
        <f>ROUND(IF(项目基本情况!$B$8="出让",SUMPRODUCT(PRODUCT(1+K6:$K$19)),SUMPRODUCT(PRODUCT(1+K6:$K$18))),4)</f>
        <v>1.0748</v>
      </c>
      <c r="S6" s="2911">
        <f>ROUND(IF(项目基本情况!$B$8="出让",SUMPRODUCT(PRODUCT(1+L6:$L$19)),SUMPRODUCT(PRODUCT(1+L6:$L$18))),4)</f>
        <v>1.0498000000000001</v>
      </c>
      <c r="T6" s="2911">
        <f>ROUND(IF(项目基本情况!$B$8="出让",SUMPRODUCT(PRODUCT(1+M6:$M$19)),SUMPRODUCT(PRODUCT(1+M6:$M$18))),4)</f>
        <v>1.0107999999999999</v>
      </c>
      <c r="U6" s="2911">
        <f>ROUND(IF(项目基本情况!$B$8="出让",SUMPRODUCT(PRODUCT(1+N6:$N$19)),SUMPRODUCT(PRODUCT(1+N6:$N$18))),4)</f>
        <v>1.0752999999999999</v>
      </c>
      <c r="V6" s="2911">
        <f>ROUND(IF(项目基本情况!$B$8="出让",SUMPRODUCT(PRODUCT(1+O6:$O$19)),SUMPRODUCT(PRODUCT(1+O6:$O$18))),4)</f>
        <v>1.0841000000000001</v>
      </c>
      <c r="W6" s="2911">
        <f>T6</f>
        <v>1.0107999999999999</v>
      </c>
      <c r="X6" s="2911"/>
      <c r="Y6" s="2913">
        <f>IF(D6=0,0,ROUND(AVERAGE(D6:D19)/100,4))</f>
        <v>5.8999999999999999E-3</v>
      </c>
      <c r="Z6" s="2913">
        <f t="shared" ref="Z6:AC6" si="17">IF(E6=0,0,ROUND(AVERAGE(E6:E19)/100,4))</f>
        <v>3.5999999999999999E-3</v>
      </c>
      <c r="AA6" s="2913">
        <f t="shared" si="17"/>
        <v>5.9999999999999995E-4</v>
      </c>
      <c r="AB6" s="2913">
        <f t="shared" si="17"/>
        <v>6.0000000000000001E-3</v>
      </c>
      <c r="AC6" s="2913">
        <f t="shared" si="17"/>
        <v>6.0000000000000001E-3</v>
      </c>
      <c r="AD6" s="2913">
        <f t="shared" ref="AD6:AD18" si="18">AA6</f>
        <v>5.9999999999999995E-4</v>
      </c>
    </row>
    <row r="7" spans="1:30" s="2044" customFormat="1" ht="13.2">
      <c r="A7" s="2903" t="s">
        <v>3378</v>
      </c>
      <c r="B7" s="2030">
        <v>2024</v>
      </c>
      <c r="C7" s="2041">
        <v>1</v>
      </c>
      <c r="D7" s="2006">
        <v>0.08</v>
      </c>
      <c r="E7" s="2006">
        <v>0.46</v>
      </c>
      <c r="F7" s="2006">
        <v>-0.16</v>
      </c>
      <c r="G7" s="2006">
        <v>0.26</v>
      </c>
      <c r="H7" s="2915">
        <v>0.59</v>
      </c>
      <c r="I7" s="2007">
        <v>0</v>
      </c>
      <c r="J7" s="2904"/>
      <c r="K7" s="2042">
        <f t="shared" ref="K7" si="19">D7/100</f>
        <v>8.0000000000000004E-4</v>
      </c>
      <c r="L7" s="2027">
        <f t="shared" ref="L7" si="20">E7/100</f>
        <v>4.5999999999999999E-3</v>
      </c>
      <c r="M7" s="2027">
        <f t="shared" ref="M7" si="21">F7/100</f>
        <v>-1.6000000000000001E-3</v>
      </c>
      <c r="N7" s="2027">
        <f t="shared" ref="N7" si="22">G7/100</f>
        <v>2.5999999999999999E-3</v>
      </c>
      <c r="O7" s="2027">
        <f t="shared" ref="O7" si="23">H7/100</f>
        <v>5.8999999999999999E-3</v>
      </c>
      <c r="P7" s="2027">
        <f t="shared" ref="P7" si="24">M7</f>
        <v>-1.6000000000000001E-3</v>
      </c>
      <c r="Q7" s="2904"/>
      <c r="R7" s="2026">
        <f>ROUND(IF(项目基本情况!$B$8="出让",SUMPRODUCT(PRODUCT(1+K7:$K$19)),SUMPRODUCT(PRODUCT(1+K7:$K$18))),4)</f>
        <v>1.0811999999999999</v>
      </c>
      <c r="S7" s="2026">
        <f>ROUND(IF(项目基本情况!$B$8="出让",SUMPRODUCT(PRODUCT(1+L7:$L$19)),SUMPRODUCT(PRODUCT(1+L7:$L$18))),4)</f>
        <v>1.052</v>
      </c>
      <c r="T7" s="2026">
        <f>ROUND(IF(项目基本情况!$B$8="出让",SUMPRODUCT(PRODUCT(1+M7:$M$19)),SUMPRODUCT(PRODUCT(1+M7:$M$18))),4)</f>
        <v>1.0249999999999999</v>
      </c>
      <c r="U7" s="2026">
        <f>ROUND(IF(项目基本情况!$B$8="出让",SUMPRODUCT(PRODUCT(1+N7:$N$19)),SUMPRODUCT(PRODUCT(1+N7:$N$18))),4)</f>
        <v>1.0888</v>
      </c>
      <c r="V7" s="2026">
        <f>ROUND(IF(项目基本情况!$B$8="出让",SUMPRODUCT(PRODUCT(1+O7:$O$19)),SUMPRODUCT(PRODUCT(1+O7:$O$18))),4)</f>
        <v>1.0804</v>
      </c>
      <c r="W7" s="2026">
        <f t="shared" ref="W7" si="25">T7</f>
        <v>1.0249999999999999</v>
      </c>
      <c r="X7" s="2904"/>
      <c r="Y7" s="2027"/>
      <c r="Z7" s="2027"/>
      <c r="AA7" s="2027"/>
      <c r="AB7" s="2027"/>
      <c r="AC7" s="2027"/>
      <c r="AD7" s="2027"/>
    </row>
    <row r="8" spans="1:30" s="2044" customFormat="1" ht="13.2">
      <c r="A8" s="2903" t="s">
        <v>3373</v>
      </c>
      <c r="B8" s="2030">
        <v>2023</v>
      </c>
      <c r="C8" s="2041">
        <v>4</v>
      </c>
      <c r="D8" s="2006">
        <v>0.19</v>
      </c>
      <c r="E8" s="2006">
        <v>0.24</v>
      </c>
      <c r="F8" s="2006">
        <v>-0.16</v>
      </c>
      <c r="G8" s="2006">
        <v>0.17</v>
      </c>
      <c r="H8" s="2915">
        <v>0.61</v>
      </c>
      <c r="I8" s="2007">
        <f>F8</f>
        <v>-0.16</v>
      </c>
      <c r="J8" s="2904"/>
      <c r="K8" s="2042">
        <f t="shared" si="16"/>
        <v>1.9E-3</v>
      </c>
      <c r="L8" s="2027">
        <f t="shared" si="16"/>
        <v>2.3999999999999998E-3</v>
      </c>
      <c r="M8" s="2027">
        <f t="shared" si="16"/>
        <v>-1.6000000000000001E-3</v>
      </c>
      <c r="N8" s="2027">
        <f t="shared" si="16"/>
        <v>1.7000000000000001E-3</v>
      </c>
      <c r="O8" s="2027">
        <f t="shared" si="16"/>
        <v>6.0999999999999995E-3</v>
      </c>
      <c r="P8" s="2027">
        <f t="shared" ref="P8" si="26">M8</f>
        <v>-1.6000000000000001E-3</v>
      </c>
      <c r="Q8" s="2904"/>
      <c r="R8" s="2026">
        <f>ROUND(IF(项目基本情况!$B$8="出让",SUMPRODUCT(PRODUCT(1+K8:$K$19)),SUMPRODUCT(PRODUCT(1+K8:$K$18))),4)</f>
        <v>1.0804</v>
      </c>
      <c r="S8" s="2026">
        <f>ROUND(IF(项目基本情况!$B$8="出让",SUMPRODUCT(PRODUCT(1+L8:$L$19)),SUMPRODUCT(PRODUCT(1+L8:$L$18))),4)</f>
        <v>1.0471999999999999</v>
      </c>
      <c r="T8" s="2026">
        <f>ROUND(IF(项目基本情况!$B$8="出让",SUMPRODUCT(PRODUCT(1+M8:$M$19)),SUMPRODUCT(PRODUCT(1+M8:$M$18))),4)</f>
        <v>1.0266</v>
      </c>
      <c r="U8" s="2026">
        <f>ROUND(IF(项目基本情况!$B$8="出让",SUMPRODUCT(PRODUCT(1+N8:$N$19)),SUMPRODUCT(PRODUCT(1+N8:$N$18))),4)</f>
        <v>1.0859000000000001</v>
      </c>
      <c r="V8" s="2026">
        <f>ROUND(IF(项目基本情况!$B$8="出让",SUMPRODUCT(PRODUCT(1+O8:$O$19)),SUMPRODUCT(PRODUCT(1+O8:$O$18))),4)</f>
        <v>1.0741000000000001</v>
      </c>
      <c r="W8" s="2026">
        <f t="shared" ref="W8" si="27">T8</f>
        <v>1.0266</v>
      </c>
      <c r="X8" s="2904"/>
      <c r="Y8" s="2027"/>
      <c r="Z8" s="2027"/>
      <c r="AA8" s="2027"/>
      <c r="AB8" s="2027"/>
      <c r="AC8" s="2027"/>
      <c r="AD8" s="2027"/>
    </row>
    <row r="9" spans="1:30" s="2044" customFormat="1" ht="13.2">
      <c r="A9" s="2903" t="s">
        <v>3372</v>
      </c>
      <c r="B9" s="2030">
        <v>2023</v>
      </c>
      <c r="C9" s="2041">
        <v>3</v>
      </c>
      <c r="D9" s="2006">
        <v>0.25</v>
      </c>
      <c r="E9" s="2006">
        <v>0.5</v>
      </c>
      <c r="F9" s="2006">
        <v>0.31</v>
      </c>
      <c r="G9" s="2006">
        <v>0.21</v>
      </c>
      <c r="H9" s="2915">
        <v>0.43</v>
      </c>
      <c r="I9" s="2007">
        <f t="shared" si="15"/>
        <v>0.31</v>
      </c>
      <c r="J9" s="2904"/>
      <c r="K9" s="2042">
        <f t="shared" ref="K9:K11" si="28">D9/100</f>
        <v>2.5000000000000001E-3</v>
      </c>
      <c r="L9" s="2027">
        <f t="shared" ref="L9:L11" si="29">E9/100</f>
        <v>5.0000000000000001E-3</v>
      </c>
      <c r="M9" s="2027">
        <f t="shared" ref="M9:M11" si="30">F9/100</f>
        <v>3.0999999999999999E-3</v>
      </c>
      <c r="N9" s="2027">
        <f t="shared" ref="N9:N11" si="31">G9/100</f>
        <v>2.0999999999999999E-3</v>
      </c>
      <c r="O9" s="2027">
        <f t="shared" ref="O9:O11" si="32">H9/100</f>
        <v>4.3E-3</v>
      </c>
      <c r="P9" s="2027">
        <f t="shared" ref="P9:P11" si="33">M9</f>
        <v>3.0999999999999999E-3</v>
      </c>
      <c r="Q9" s="2904"/>
      <c r="R9" s="2026">
        <f>ROUND(IF(项目基本情况!$B$8="出让",SUMPRODUCT(PRODUCT(1+K9:$K$19)),SUMPRODUCT(PRODUCT(1+K9:$K$18))),4)</f>
        <v>1.0783</v>
      </c>
      <c r="S9" s="2026">
        <f>ROUND(IF(项目基本情况!$B$8="出让",SUMPRODUCT(PRODUCT(1+L9:$L$19)),SUMPRODUCT(PRODUCT(1+L9:$L$18))),4)</f>
        <v>1.0447</v>
      </c>
      <c r="T9" s="2026">
        <f>ROUND(IF(项目基本情况!$B$8="出让",SUMPRODUCT(PRODUCT(1+M9:$M$19)),SUMPRODUCT(PRODUCT(1+M9:$M$18))),4)</f>
        <v>1.0282</v>
      </c>
      <c r="U9" s="2026">
        <f>ROUND(IF(项目基本情况!$B$8="出让",SUMPRODUCT(PRODUCT(1+N9:$N$19)),SUMPRODUCT(PRODUCT(1+N9:$N$18))),4)</f>
        <v>1.0841000000000001</v>
      </c>
      <c r="V9" s="2026">
        <f>ROUND(IF(项目基本情况!$B$8="出让",SUMPRODUCT(PRODUCT(1+O9:$O$19)),SUMPRODUCT(PRODUCT(1+O9:$O$18))),4)</f>
        <v>1.0674999999999999</v>
      </c>
      <c r="W9" s="2026">
        <f t="shared" ref="W9:W10" si="34">T9</f>
        <v>1.0282</v>
      </c>
      <c r="X9" s="2904"/>
      <c r="Y9" s="2027"/>
      <c r="Z9" s="2027"/>
      <c r="AA9" s="2027"/>
      <c r="AB9" s="2027"/>
      <c r="AC9" s="2027"/>
      <c r="AD9" s="2027"/>
    </row>
    <row r="10" spans="1:30" s="2044" customFormat="1" ht="13.2">
      <c r="A10" s="2903" t="s">
        <v>3368</v>
      </c>
      <c r="B10" s="2030">
        <v>2023</v>
      </c>
      <c r="C10" s="2041">
        <v>2</v>
      </c>
      <c r="D10" s="2006">
        <v>0.91</v>
      </c>
      <c r="E10" s="2006">
        <v>0.66</v>
      </c>
      <c r="F10" s="2006">
        <v>0.47</v>
      </c>
      <c r="G10" s="2006">
        <v>0.96</v>
      </c>
      <c r="H10" s="2915">
        <v>0.71</v>
      </c>
      <c r="I10" s="2007">
        <f t="shared" si="15"/>
        <v>0.47</v>
      </c>
      <c r="J10" s="2904"/>
      <c r="K10" s="2042">
        <f t="shared" si="28"/>
        <v>9.1000000000000004E-3</v>
      </c>
      <c r="L10" s="2027">
        <f t="shared" si="29"/>
        <v>6.6E-3</v>
      </c>
      <c r="M10" s="2027">
        <f t="shared" si="30"/>
        <v>4.6999999999999993E-3</v>
      </c>
      <c r="N10" s="2027">
        <f t="shared" si="31"/>
        <v>9.5999999999999992E-3</v>
      </c>
      <c r="O10" s="2027">
        <f t="shared" si="32"/>
        <v>7.0999999999999995E-3</v>
      </c>
      <c r="P10" s="2027">
        <f t="shared" si="33"/>
        <v>4.6999999999999993E-3</v>
      </c>
      <c r="Q10" s="2904"/>
      <c r="R10" s="2026">
        <f>ROUND(IF(项目基本情况!$B$8="出让",SUMPRODUCT(PRODUCT(1+K10:$K$19)),SUMPRODUCT(PRODUCT(1+K10:$K$18))),4)</f>
        <v>1.0755999999999999</v>
      </c>
      <c r="S10" s="2026">
        <f>ROUND(IF(项目基本情况!$B$8="出让",SUMPRODUCT(PRODUCT(1+L10:$L$19)),SUMPRODUCT(PRODUCT(1+L10:$L$18))),4)</f>
        <v>1.0395000000000001</v>
      </c>
      <c r="T10" s="2026">
        <f>ROUND(IF(项目基本情况!$B$8="出让",SUMPRODUCT(PRODUCT(1+M10:$M$19)),SUMPRODUCT(PRODUCT(1+M10:$M$18))),4)</f>
        <v>1.0250999999999999</v>
      </c>
      <c r="U10" s="2026">
        <f>ROUND(IF(项目基本情况!$B$8="出让",SUMPRODUCT(PRODUCT(1+N10:$N$19)),SUMPRODUCT(PRODUCT(1+N10:$N$18))),4)</f>
        <v>1.0818000000000001</v>
      </c>
      <c r="V10" s="2026">
        <f>ROUND(IF(项目基本情况!$B$8="出让",SUMPRODUCT(PRODUCT(1+O10:$O$19)),SUMPRODUCT(PRODUCT(1+O10:$O$18))),4)</f>
        <v>1.0629999999999999</v>
      </c>
      <c r="W10" s="2026">
        <f t="shared" si="34"/>
        <v>1.0250999999999999</v>
      </c>
      <c r="X10" s="2904"/>
      <c r="Y10" s="2027"/>
      <c r="Z10" s="2027"/>
      <c r="AA10" s="2027"/>
      <c r="AB10" s="2027"/>
      <c r="AC10" s="2027"/>
      <c r="AD10" s="2027"/>
    </row>
    <row r="11" spans="1:30" s="2044" customFormat="1" ht="13.2">
      <c r="A11" s="2903" t="s">
        <v>3367</v>
      </c>
      <c r="B11" s="2030">
        <v>2023</v>
      </c>
      <c r="C11" s="2041">
        <v>1</v>
      </c>
      <c r="D11" s="2006">
        <v>0.89</v>
      </c>
      <c r="E11" s="2006">
        <v>0.74</v>
      </c>
      <c r="F11" s="2006">
        <v>0.56999999999999995</v>
      </c>
      <c r="G11" s="2006">
        <v>0.92</v>
      </c>
      <c r="H11" s="2915">
        <v>0.5</v>
      </c>
      <c r="I11" s="2007">
        <f t="shared" si="15"/>
        <v>0.56999999999999995</v>
      </c>
      <c r="J11" s="2904"/>
      <c r="K11" s="2042">
        <f t="shared" si="28"/>
        <v>8.8999999999999999E-3</v>
      </c>
      <c r="L11" s="2027">
        <f t="shared" si="29"/>
        <v>7.4000000000000003E-3</v>
      </c>
      <c r="M11" s="2027">
        <f t="shared" si="30"/>
        <v>5.6999999999999993E-3</v>
      </c>
      <c r="N11" s="2027">
        <f t="shared" si="31"/>
        <v>9.1999999999999998E-3</v>
      </c>
      <c r="O11" s="2027">
        <f t="shared" si="32"/>
        <v>5.0000000000000001E-3</v>
      </c>
      <c r="P11" s="2027">
        <f t="shared" si="33"/>
        <v>5.6999999999999993E-3</v>
      </c>
      <c r="Q11" s="2904"/>
      <c r="R11" s="2026">
        <f>ROUND(IF(项目基本情况!$B$8="出让",SUMPRODUCT(PRODUCT(1+K11:$K$19)),SUMPRODUCT(PRODUCT(1+K11:$K$18))),4)</f>
        <v>1.0659000000000001</v>
      </c>
      <c r="S11" s="2026">
        <f>ROUND(IF(项目基本情况!$B$8="出让",SUMPRODUCT(PRODUCT(1+L11:$L$19)),SUMPRODUCT(PRODUCT(1+L11:$L$18))),4)</f>
        <v>1.0326</v>
      </c>
      <c r="T11" s="2026">
        <f>ROUND(IF(项目基本情况!$B$8="出让",SUMPRODUCT(PRODUCT(1+M11:$M$19)),SUMPRODUCT(PRODUCT(1+M11:$M$18))),4)</f>
        <v>1.0203</v>
      </c>
      <c r="U11" s="2026">
        <f>ROUND(IF(项目基本情况!$B$8="出让",SUMPRODUCT(PRODUCT(1+N11:$N$19)),SUMPRODUCT(PRODUCT(1+N11:$N$18))),4)</f>
        <v>1.0714999999999999</v>
      </c>
      <c r="V11" s="2026">
        <f>ROUND(IF(项目基本情况!$B$8="出让",SUMPRODUCT(PRODUCT(1+O11:$O$19)),SUMPRODUCT(PRODUCT(1+O11:$O$18))),4)</f>
        <v>1.0555000000000001</v>
      </c>
      <c r="W11" s="2026">
        <f t="shared" ref="W11:W18" si="35">T11</f>
        <v>1.0203</v>
      </c>
      <c r="X11" s="2904"/>
      <c r="Y11" s="2027"/>
      <c r="Z11" s="2027"/>
      <c r="AA11" s="2027"/>
      <c r="AB11" s="2027"/>
      <c r="AC11" s="2027"/>
      <c r="AD11" s="2027"/>
    </row>
    <row r="12" spans="1:30" s="2044" customFormat="1" ht="13.2">
      <c r="A12" s="2903" t="s">
        <v>3366</v>
      </c>
      <c r="B12" s="2030">
        <v>2022</v>
      </c>
      <c r="C12" s="2041">
        <v>4</v>
      </c>
      <c r="D12" s="2006">
        <v>0.62</v>
      </c>
      <c r="E12" s="2006">
        <v>0.2</v>
      </c>
      <c r="F12" s="2006">
        <v>0.11</v>
      </c>
      <c r="G12" s="2006">
        <v>0.69</v>
      </c>
      <c r="H12" s="2915">
        <v>0.53</v>
      </c>
      <c r="I12" s="2007">
        <f t="shared" si="15"/>
        <v>0.11</v>
      </c>
      <c r="J12" s="2904"/>
      <c r="K12" s="2042">
        <f t="shared" si="16"/>
        <v>6.1999999999999998E-3</v>
      </c>
      <c r="L12" s="2027">
        <f t="shared" si="16"/>
        <v>2E-3</v>
      </c>
      <c r="M12" s="2027">
        <f t="shared" si="16"/>
        <v>1.1000000000000001E-3</v>
      </c>
      <c r="N12" s="2027">
        <f t="shared" si="16"/>
        <v>6.8999999999999999E-3</v>
      </c>
      <c r="O12" s="2027">
        <f t="shared" si="16"/>
        <v>5.3E-3</v>
      </c>
      <c r="P12" s="2027">
        <f t="shared" ref="P12:P19" si="36">M12</f>
        <v>1.1000000000000001E-3</v>
      </c>
      <c r="Q12" s="2904"/>
      <c r="R12" s="2026">
        <f>ROUND(IF(项目基本情况!$B$8="出让",SUMPRODUCT(PRODUCT(1+K12:$K$19)),SUMPRODUCT(PRODUCT(1+K12:$K$18))),4)</f>
        <v>1.0565</v>
      </c>
      <c r="S12" s="2026">
        <f>ROUND(IF(项目基本情况!$B$8="出让",SUMPRODUCT(PRODUCT(1+L12:$L$19)),SUMPRODUCT(PRODUCT(1+L12:$L$18))),4)</f>
        <v>1.0250999999999999</v>
      </c>
      <c r="T12" s="2026">
        <f>ROUND(IF(项目基本情况!$B$8="出让",SUMPRODUCT(PRODUCT(1+M12:$M$19)),SUMPRODUCT(PRODUCT(1+M12:$M$18))),4)</f>
        <v>1.0145</v>
      </c>
      <c r="U12" s="2026">
        <f>ROUND(IF(项目基本情况!$B$8="出让",SUMPRODUCT(PRODUCT(1+N12:$N$19)),SUMPRODUCT(PRODUCT(1+N12:$N$18))),4)</f>
        <v>1.0618000000000001</v>
      </c>
      <c r="V12" s="2026">
        <f>ROUND(IF(项目基本情况!$B$8="出让",SUMPRODUCT(PRODUCT(1+O12:$O$19)),SUMPRODUCT(PRODUCT(1+O12:$O$18))),4)</f>
        <v>1.0502</v>
      </c>
      <c r="W12" s="2026">
        <f t="shared" si="35"/>
        <v>1.0145</v>
      </c>
      <c r="X12" s="2904"/>
      <c r="Y12" s="2027">
        <f>IF(D12=0,0,ROUND(AVERAGE(D12:D20)/100,4))</f>
        <v>8.0999999999999996E-3</v>
      </c>
      <c r="Z12" s="2027">
        <f t="shared" ref="Z12:AC12" si="37">IF(E12=0,0,ROUND(AVERAGE(E12:E19)/100,4))</f>
        <v>3.3E-3</v>
      </c>
      <c r="AA12" s="2027">
        <f t="shared" si="37"/>
        <v>1.5E-3</v>
      </c>
      <c r="AB12" s="2027">
        <f t="shared" si="37"/>
        <v>8.8999999999999999E-3</v>
      </c>
      <c r="AC12" s="2027">
        <f t="shared" si="37"/>
        <v>6.6E-3</v>
      </c>
      <c r="AD12" s="2027">
        <f t="shared" si="18"/>
        <v>1.5E-3</v>
      </c>
    </row>
    <row r="13" spans="1:30" s="2044" customFormat="1" ht="13.2">
      <c r="A13" s="2903" t="s">
        <v>3362</v>
      </c>
      <c r="B13" s="2030">
        <v>2022</v>
      </c>
      <c r="C13" s="2041">
        <v>3</v>
      </c>
      <c r="D13" s="2006">
        <v>0.66</v>
      </c>
      <c r="E13" s="2006">
        <v>0.32</v>
      </c>
      <c r="F13" s="2006">
        <v>0.23</v>
      </c>
      <c r="G13" s="2006">
        <v>0.72</v>
      </c>
      <c r="H13" s="2915">
        <v>0.63</v>
      </c>
      <c r="I13" s="2007">
        <f t="shared" si="15"/>
        <v>0.23</v>
      </c>
      <c r="J13" s="2904"/>
      <c r="K13" s="2042">
        <f t="shared" si="16"/>
        <v>6.6E-3</v>
      </c>
      <c r="L13" s="2027">
        <f t="shared" si="16"/>
        <v>3.2000000000000002E-3</v>
      </c>
      <c r="M13" s="2027">
        <f t="shared" si="16"/>
        <v>2.3E-3</v>
      </c>
      <c r="N13" s="2027">
        <f t="shared" si="16"/>
        <v>7.1999999999999998E-3</v>
      </c>
      <c r="O13" s="2027">
        <f t="shared" si="16"/>
        <v>6.3E-3</v>
      </c>
      <c r="P13" s="2027">
        <f t="shared" si="36"/>
        <v>2.3E-3</v>
      </c>
      <c r="Q13" s="2904"/>
      <c r="R13" s="2026">
        <f>ROUND(IF(项目基本情况!$B$8="出让",SUMPRODUCT(PRODUCT(1+K13:$K$19)),SUMPRODUCT(PRODUCT(1+K13:$K$18))),4)</f>
        <v>1.05</v>
      </c>
      <c r="S13" s="2026">
        <f>ROUND(IF(项目基本情况!$B$8="出让",SUMPRODUCT(PRODUCT(1+L13:$L$19)),SUMPRODUCT(PRODUCT(1+L13:$L$18))),4)</f>
        <v>1.0229999999999999</v>
      </c>
      <c r="T13" s="2026">
        <f>ROUND(IF(项目基本情况!$B$8="出让",SUMPRODUCT(PRODUCT(1+M13:$M$19)),SUMPRODUCT(PRODUCT(1+M13:$M$18))),4)</f>
        <v>1.0134000000000001</v>
      </c>
      <c r="U13" s="2026">
        <f>ROUND(IF(项目基本情况!$B$8="出让",SUMPRODUCT(PRODUCT(1+N13:$N$19)),SUMPRODUCT(PRODUCT(1+N13:$N$18))),4)</f>
        <v>1.0545</v>
      </c>
      <c r="V13" s="2026">
        <f>ROUND(IF(项目基本情况!$B$8="出让",SUMPRODUCT(PRODUCT(1+O13:$O$19)),SUMPRODUCT(PRODUCT(1+O13:$O$18))),4)</f>
        <v>1.0447</v>
      </c>
      <c r="W13" s="2026">
        <f t="shared" si="35"/>
        <v>1.0134000000000001</v>
      </c>
      <c r="X13" s="2904"/>
      <c r="Y13" s="2027">
        <f>IF(D13=0,0,ROUND(AVERAGE(D13:D19)/100,4))</f>
        <v>8.3999999999999995E-3</v>
      </c>
      <c r="Z13" s="2027">
        <f t="shared" ref="Z13:AC13" si="38">IF(E13=0,0,ROUND(AVERAGE(E13:E19)/100,4))</f>
        <v>3.5000000000000001E-3</v>
      </c>
      <c r="AA13" s="2027">
        <f t="shared" si="38"/>
        <v>1.5E-3</v>
      </c>
      <c r="AB13" s="2027">
        <f t="shared" si="38"/>
        <v>9.1999999999999998E-3</v>
      </c>
      <c r="AC13" s="2027">
        <f t="shared" si="38"/>
        <v>6.7999999999999996E-3</v>
      </c>
      <c r="AD13" s="2027">
        <f t="shared" si="18"/>
        <v>1.5E-3</v>
      </c>
    </row>
    <row r="14" spans="1:30" s="2044" customFormat="1" ht="13.2">
      <c r="A14" s="2903" t="s">
        <v>3353</v>
      </c>
      <c r="B14" s="2030">
        <v>2022</v>
      </c>
      <c r="C14" s="2041">
        <v>2</v>
      </c>
      <c r="D14" s="2006">
        <v>0.93</v>
      </c>
      <c r="E14" s="2006">
        <v>0.15</v>
      </c>
      <c r="F14" s="2006">
        <v>0.01</v>
      </c>
      <c r="G14" s="2006">
        <v>1.05</v>
      </c>
      <c r="H14" s="2915">
        <v>1.08</v>
      </c>
      <c r="I14" s="2007">
        <f t="shared" si="15"/>
        <v>0.01</v>
      </c>
      <c r="J14" s="2904"/>
      <c r="K14" s="2042">
        <f t="shared" si="16"/>
        <v>9.300000000000001E-3</v>
      </c>
      <c r="L14" s="2027">
        <f t="shared" si="16"/>
        <v>1.5E-3</v>
      </c>
      <c r="M14" s="2027">
        <f t="shared" si="16"/>
        <v>1E-4</v>
      </c>
      <c r="N14" s="2027">
        <f t="shared" si="16"/>
        <v>1.0500000000000001E-2</v>
      </c>
      <c r="O14" s="2027">
        <f t="shared" si="16"/>
        <v>1.0800000000000001E-2</v>
      </c>
      <c r="P14" s="2027">
        <f t="shared" si="36"/>
        <v>1E-4</v>
      </c>
      <c r="Q14" s="2904"/>
      <c r="R14" s="2026">
        <f>ROUND(IF(项目基本情况!$B$8="出让",SUMPRODUCT(PRODUCT(1+K14:$K$19)),SUMPRODUCT(PRODUCT(1+K14:$K$18))),4)</f>
        <v>1.0430999999999999</v>
      </c>
      <c r="S14" s="2026">
        <f>ROUND(IF(项目基本情况!$B$8="出让",SUMPRODUCT(PRODUCT(1+L14:$L$19)),SUMPRODUCT(PRODUCT(1+L14:$L$18))),4)</f>
        <v>1.0197000000000001</v>
      </c>
      <c r="T14" s="2026">
        <f>ROUND(IF(项目基本情况!$B$8="出让",SUMPRODUCT(PRODUCT(1+M14:$M$19)),SUMPRODUCT(PRODUCT(1+M14:$M$18))),4)</f>
        <v>1.0109999999999999</v>
      </c>
      <c r="U14" s="2026">
        <f>ROUND(IF(项目基本情况!$B$8="出让",SUMPRODUCT(PRODUCT(1+N14:$N$19)),SUMPRODUCT(PRODUCT(1+N14:$N$18))),4)</f>
        <v>1.0468999999999999</v>
      </c>
      <c r="V14" s="2026">
        <f>ROUND(IF(项目基本情况!$B$8="出让",SUMPRODUCT(PRODUCT(1+O14:$O$19)),SUMPRODUCT(PRODUCT(1+O14:$O$18))),4)</f>
        <v>1.0382</v>
      </c>
      <c r="W14" s="2026">
        <f t="shared" si="35"/>
        <v>1.0109999999999999</v>
      </c>
      <c r="X14" s="2904"/>
      <c r="Y14" s="2027">
        <f>IF(D14=0,0,ROUND(AVERAGE(D14:D19)/100,4))</f>
        <v>8.6999999999999994E-3</v>
      </c>
      <c r="Z14" s="2027">
        <f t="shared" ref="Z14:AC14" si="39">IF(E14=0,0,ROUND(AVERAGE(E14:E19)/100,4))</f>
        <v>3.5000000000000001E-3</v>
      </c>
      <c r="AA14" s="2027">
        <f t="shared" si="39"/>
        <v>1.4E-3</v>
      </c>
      <c r="AB14" s="2027">
        <f t="shared" si="39"/>
        <v>9.4999999999999998E-3</v>
      </c>
      <c r="AC14" s="2027">
        <f t="shared" si="39"/>
        <v>6.8999999999999999E-3</v>
      </c>
      <c r="AD14" s="2027">
        <f t="shared" si="18"/>
        <v>1.4E-3</v>
      </c>
    </row>
    <row r="15" spans="1:30" s="2044" customFormat="1" ht="13.2">
      <c r="A15" s="2903" t="s">
        <v>2820</v>
      </c>
      <c r="B15" s="2030">
        <v>2022</v>
      </c>
      <c r="C15" s="2041">
        <v>1</v>
      </c>
      <c r="D15" s="2006">
        <v>0.89</v>
      </c>
      <c r="E15" s="2006">
        <v>0.44</v>
      </c>
      <c r="F15" s="2006">
        <v>0.37</v>
      </c>
      <c r="G15" s="2006">
        <v>0.96</v>
      </c>
      <c r="H15" s="2915">
        <v>0.64</v>
      </c>
      <c r="I15" s="2007">
        <f t="shared" si="15"/>
        <v>0.37</v>
      </c>
      <c r="J15" s="2904"/>
      <c r="K15" s="2042">
        <f t="shared" si="16"/>
        <v>8.8999999999999999E-3</v>
      </c>
      <c r="L15" s="2027">
        <f t="shared" si="16"/>
        <v>4.4000000000000003E-3</v>
      </c>
      <c r="M15" s="2027">
        <f t="shared" si="16"/>
        <v>3.7000000000000002E-3</v>
      </c>
      <c r="N15" s="2027">
        <f t="shared" si="16"/>
        <v>9.5999999999999992E-3</v>
      </c>
      <c r="O15" s="2027">
        <f t="shared" si="16"/>
        <v>6.4000000000000003E-3</v>
      </c>
      <c r="P15" s="2027">
        <f t="shared" si="36"/>
        <v>3.7000000000000002E-3</v>
      </c>
      <c r="Q15" s="2904"/>
      <c r="R15" s="2026">
        <f>ROUND(IF(项目基本情况!$B$8="出让",SUMPRODUCT(PRODUCT(1+K15:$K$19)),SUMPRODUCT(PRODUCT(1+K15:$K$18))),4)</f>
        <v>1.0335000000000001</v>
      </c>
      <c r="S15" s="2026">
        <f>ROUND(IF(项目基本情况!$B$8="出让",SUMPRODUCT(PRODUCT(1+L15:$L$19)),SUMPRODUCT(PRODUCT(1+L15:$L$18))),4)</f>
        <v>1.0182</v>
      </c>
      <c r="T15" s="2026">
        <f>ROUND(IF(项目基本情况!$B$8="出让",SUMPRODUCT(PRODUCT(1+M15:$M$19)),SUMPRODUCT(PRODUCT(1+M15:$M$18))),4)</f>
        <v>1.0108999999999999</v>
      </c>
      <c r="U15" s="2026">
        <f>ROUND(IF(项目基本情况!$B$8="出让",SUMPRODUCT(PRODUCT(1+N15:$N$19)),SUMPRODUCT(PRODUCT(1+N15:$N$18))),4)</f>
        <v>1.0361</v>
      </c>
      <c r="V15" s="2026">
        <f>ROUND(IF(项目基本情况!$B$8="出让",SUMPRODUCT(PRODUCT(1+O15:$O$19)),SUMPRODUCT(PRODUCT(1+O15:$O$18))),4)</f>
        <v>1.0270999999999999</v>
      </c>
      <c r="W15" s="2026">
        <f t="shared" si="35"/>
        <v>1.0108999999999999</v>
      </c>
      <c r="X15" s="2904"/>
      <c r="Y15" s="2027">
        <f>IF(D15=0,0,ROUND(AVERAGE(D15:D19)/100,4))</f>
        <v>8.6E-3</v>
      </c>
      <c r="Z15" s="2027">
        <f t="shared" ref="Z15:AC15" si="40">IF(E15=0,0,ROUND(AVERAGE(E15:E19)/100,4))</f>
        <v>3.8999999999999998E-3</v>
      </c>
      <c r="AA15" s="2027">
        <f t="shared" si="40"/>
        <v>1.6999999999999999E-3</v>
      </c>
      <c r="AB15" s="2027">
        <f t="shared" si="40"/>
        <v>9.2999999999999992E-3</v>
      </c>
      <c r="AC15" s="2027">
        <f t="shared" si="40"/>
        <v>6.1000000000000004E-3</v>
      </c>
      <c r="AD15" s="2027">
        <f t="shared" si="18"/>
        <v>1.6999999999999999E-3</v>
      </c>
    </row>
    <row r="16" spans="1:30" s="2044" customFormat="1" ht="13.2">
      <c r="A16" s="2903" t="s">
        <v>2821</v>
      </c>
      <c r="B16" s="2030">
        <v>2021</v>
      </c>
      <c r="C16" s="2041">
        <v>4</v>
      </c>
      <c r="D16" s="2006">
        <v>1.03</v>
      </c>
      <c r="E16" s="2006">
        <v>0.24</v>
      </c>
      <c r="F16" s="2006">
        <v>7.0000000000000007E-2</v>
      </c>
      <c r="G16" s="2006">
        <v>1.17</v>
      </c>
      <c r="H16" s="2915">
        <v>0.55000000000000004</v>
      </c>
      <c r="I16" s="2007">
        <f t="shared" si="15"/>
        <v>7.0000000000000007E-2</v>
      </c>
      <c r="J16" s="2904"/>
      <c r="K16" s="2042">
        <f t="shared" si="16"/>
        <v>1.03E-2</v>
      </c>
      <c r="L16" s="2027">
        <f t="shared" si="16"/>
        <v>2.3999999999999998E-3</v>
      </c>
      <c r="M16" s="2027">
        <f t="shared" si="16"/>
        <v>7.000000000000001E-4</v>
      </c>
      <c r="N16" s="2027">
        <f t="shared" si="16"/>
        <v>1.1699999999999999E-2</v>
      </c>
      <c r="O16" s="2027">
        <f t="shared" si="16"/>
        <v>5.5000000000000005E-3</v>
      </c>
      <c r="P16" s="2027">
        <f t="shared" si="36"/>
        <v>7.000000000000001E-4</v>
      </c>
      <c r="Q16" s="2904"/>
      <c r="R16" s="2026">
        <f>ROUND(IF(项目基本情况!$B$8="出让",SUMPRODUCT(PRODUCT(1+K16:$K$19)),SUMPRODUCT(PRODUCT(1+K16:$K$18))),4)</f>
        <v>1.0244</v>
      </c>
      <c r="S16" s="2026">
        <f>ROUND(IF(项目基本情况!$B$8="出让",SUMPRODUCT(PRODUCT(1+L16:$L$19)),SUMPRODUCT(PRODUCT(1+L16:$L$18))),4)</f>
        <v>1.0138</v>
      </c>
      <c r="T16" s="2026">
        <f>ROUND(IF(项目基本情况!$B$8="出让",SUMPRODUCT(PRODUCT(1+M16:$M$19)),SUMPRODUCT(PRODUCT(1+M16:$M$18))),4)</f>
        <v>1.0072000000000001</v>
      </c>
      <c r="U16" s="2026">
        <f>ROUND(IF(项目基本情况!$B$8="出让",SUMPRODUCT(PRODUCT(1+N16:$N$19)),SUMPRODUCT(PRODUCT(1+N16:$N$18))),4)</f>
        <v>1.0262</v>
      </c>
      <c r="V16" s="2026">
        <f>ROUND(IF(项目基本情况!$B$8="出让",SUMPRODUCT(PRODUCT(1+O16:$O$19)),SUMPRODUCT(PRODUCT(1+O16:$O$18))),4)</f>
        <v>1.0205</v>
      </c>
      <c r="W16" s="2026">
        <f t="shared" si="35"/>
        <v>1.0072000000000001</v>
      </c>
      <c r="X16" s="2904"/>
      <c r="Y16" s="2027">
        <f>IF(D16=0,0,ROUND(AVERAGE(D16:D19)/100,4))</f>
        <v>8.5000000000000006E-3</v>
      </c>
      <c r="Z16" s="2027">
        <f t="shared" ref="Z16:AC16" si="41">IF(E16=0,0,ROUND(AVERAGE(E16:E19)/100,4))</f>
        <v>3.8E-3</v>
      </c>
      <c r="AA16" s="2027">
        <f t="shared" si="41"/>
        <v>1.1999999999999999E-3</v>
      </c>
      <c r="AB16" s="2027">
        <f t="shared" si="41"/>
        <v>9.2999999999999992E-3</v>
      </c>
      <c r="AC16" s="2027">
        <f t="shared" si="41"/>
        <v>6.0000000000000001E-3</v>
      </c>
      <c r="AD16" s="2027">
        <f t="shared" si="18"/>
        <v>1.1999999999999999E-3</v>
      </c>
    </row>
    <row r="17" spans="1:30" s="2044" customFormat="1" ht="13.2">
      <c r="A17" s="2903" t="s">
        <v>2822</v>
      </c>
      <c r="B17" s="2030">
        <v>2021</v>
      </c>
      <c r="C17" s="2041">
        <v>3</v>
      </c>
      <c r="D17" s="2006">
        <v>0.47</v>
      </c>
      <c r="E17" s="2006">
        <v>0.41</v>
      </c>
      <c r="F17" s="2006">
        <v>0.24</v>
      </c>
      <c r="G17" s="2006">
        <v>0.48</v>
      </c>
      <c r="H17" s="2915">
        <v>0.48</v>
      </c>
      <c r="I17" s="2007">
        <f t="shared" si="15"/>
        <v>0.24</v>
      </c>
      <c r="J17" s="2904"/>
      <c r="K17" s="2042">
        <f t="shared" si="16"/>
        <v>4.6999999999999993E-3</v>
      </c>
      <c r="L17" s="2027">
        <f t="shared" si="16"/>
        <v>4.0999999999999995E-3</v>
      </c>
      <c r="M17" s="2027">
        <f t="shared" si="16"/>
        <v>2.3999999999999998E-3</v>
      </c>
      <c r="N17" s="2027">
        <f t="shared" si="16"/>
        <v>4.7999999999999996E-3</v>
      </c>
      <c r="O17" s="2027">
        <f t="shared" si="16"/>
        <v>4.7999999999999996E-3</v>
      </c>
      <c r="P17" s="2027">
        <f t="shared" si="36"/>
        <v>2.3999999999999998E-3</v>
      </c>
      <c r="Q17" s="2904"/>
      <c r="R17" s="2026">
        <f>ROUND(IF(项目基本情况!$B$8="出让",SUMPRODUCT(PRODUCT(1+K17:$K$19)),SUMPRODUCT(PRODUCT(1+K17:$K$18))),4)</f>
        <v>1.0139</v>
      </c>
      <c r="S17" s="2026">
        <f>ROUND(IF(项目基本情况!$B$8="出让",SUMPRODUCT(PRODUCT(1+L17:$L$19)),SUMPRODUCT(PRODUCT(1+L17:$L$18))),4)</f>
        <v>1.0113000000000001</v>
      </c>
      <c r="T17" s="2026">
        <f>ROUND(IF(项目基本情况!$B$8="出让",SUMPRODUCT(PRODUCT(1+M17:$M$19)),SUMPRODUCT(PRODUCT(1+M17:$M$18))),4)</f>
        <v>1.0065</v>
      </c>
      <c r="U17" s="2026">
        <f>ROUND(IF(项目基本情况!$B$8="出让",SUMPRODUCT(PRODUCT(1+N17:$N$19)),SUMPRODUCT(PRODUCT(1+N17:$N$18))),4)</f>
        <v>1.0143</v>
      </c>
      <c r="V17" s="2026">
        <f>ROUND(IF(项目基本情况!$B$8="出让",SUMPRODUCT(PRODUCT(1+O17:$O$19)),SUMPRODUCT(PRODUCT(1+O17:$O$18))),4)</f>
        <v>1.0148999999999999</v>
      </c>
      <c r="W17" s="2026">
        <f t="shared" si="35"/>
        <v>1.0065</v>
      </c>
      <c r="X17" s="2904"/>
      <c r="Y17" s="2027">
        <f>IF(D17=0,0,ROUND(AVERAGE(D17:D19)/100,4))</f>
        <v>7.9000000000000008E-3</v>
      </c>
      <c r="Z17" s="2027">
        <f>IF(E17=0,0,ROUND(AVERAGE(E17:E19)/100,4))</f>
        <v>4.3E-3</v>
      </c>
      <c r="AA17" s="2027">
        <f>IF(F17=0,0,ROUND(AVERAGE(F17:F19)/100,4))</f>
        <v>1.2999999999999999E-3</v>
      </c>
      <c r="AB17" s="2027">
        <f>IF(G17=0,0,ROUND(AVERAGE(G17:G19)/100,4))</f>
        <v>8.5000000000000006E-3</v>
      </c>
      <c r="AC17" s="2027">
        <f>IF(H17=0,0,ROUND(AVERAGE(H17:H19)/100,4))</f>
        <v>6.1999999999999998E-3</v>
      </c>
      <c r="AD17" s="2027">
        <f t="shared" si="18"/>
        <v>1.2999999999999999E-3</v>
      </c>
    </row>
    <row r="18" spans="1:30" s="2044" customFormat="1" ht="13.2">
      <c r="A18" s="2903" t="s">
        <v>2823</v>
      </c>
      <c r="B18" s="2030">
        <v>2021</v>
      </c>
      <c r="C18" s="2041">
        <v>2</v>
      </c>
      <c r="D18" s="2006">
        <v>0.92</v>
      </c>
      <c r="E18" s="2006">
        <v>0.72</v>
      </c>
      <c r="F18" s="2006">
        <v>0.41</v>
      </c>
      <c r="G18" s="2006">
        <v>0.95</v>
      </c>
      <c r="H18" s="2915">
        <v>1.01</v>
      </c>
      <c r="I18" s="2007">
        <f t="shared" si="15"/>
        <v>0.41</v>
      </c>
      <c r="J18" s="2904"/>
      <c r="K18" s="2042">
        <f t="shared" si="16"/>
        <v>9.1999999999999998E-3</v>
      </c>
      <c r="L18" s="2027">
        <f t="shared" si="16"/>
        <v>7.1999999999999998E-3</v>
      </c>
      <c r="M18" s="2027">
        <f t="shared" si="16"/>
        <v>4.0999999999999995E-3</v>
      </c>
      <c r="N18" s="2027">
        <f t="shared" si="16"/>
        <v>9.4999999999999998E-3</v>
      </c>
      <c r="O18" s="2027">
        <f t="shared" si="16"/>
        <v>1.01E-2</v>
      </c>
      <c r="P18" s="2027">
        <f t="shared" si="36"/>
        <v>4.0999999999999995E-3</v>
      </c>
      <c r="Q18" s="2904"/>
      <c r="R18" s="2026">
        <f>ROUND(IF(项目基本情况!$B$8="出让",SUMPRODUCT(PRODUCT(1+K18:$K$19)),SUMPRODUCT(PRODUCT(1+K18:$K$18))),4)</f>
        <v>1.0092000000000001</v>
      </c>
      <c r="S18" s="2026">
        <f>ROUND(IF(项目基本情况!$B$8="出让",SUMPRODUCT(PRODUCT(1+L18:$L$19)),SUMPRODUCT(PRODUCT(1+L18:$L$18))),4)</f>
        <v>1.0072000000000001</v>
      </c>
      <c r="T18" s="2026">
        <f>ROUND(IF(项目基本情况!$B$8="出让",SUMPRODUCT(PRODUCT(1+M18:$M$19)),SUMPRODUCT(PRODUCT(1+M18:$M$18))),4)</f>
        <v>1.0041</v>
      </c>
      <c r="U18" s="2026">
        <f>ROUND(IF(项目基本情况!$B$8="出让",SUMPRODUCT(PRODUCT(1+N18:$N$19)),SUMPRODUCT(PRODUCT(1+N18:$N$18))),4)</f>
        <v>1.0095000000000001</v>
      </c>
      <c r="V18" s="2026">
        <f>ROUND(IF(项目基本情况!$B$8="出让",SUMPRODUCT(PRODUCT(1+O18:$O$19)),SUMPRODUCT(PRODUCT(1+O18:$O$18))),4)</f>
        <v>1.0101</v>
      </c>
      <c r="W18" s="2026">
        <f t="shared" si="35"/>
        <v>1.0041</v>
      </c>
      <c r="X18" s="2904"/>
      <c r="Y18" s="2027">
        <f>IF(D18=0,0,ROUND(AVERAGE(D18:D19)/100,4))</f>
        <v>9.4999999999999998E-3</v>
      </c>
      <c r="Z18" s="2027">
        <f>IF(E18=0,0,ROUND(AVERAGE(E18:E19)/100,4))</f>
        <v>4.4000000000000003E-3</v>
      </c>
      <c r="AA18" s="2027">
        <f>IF(F18=0,0,ROUND(AVERAGE(F18:F19)/100,4))</f>
        <v>8.0000000000000004E-4</v>
      </c>
      <c r="AB18" s="2027">
        <f>IF(G18=0,0,ROUND(AVERAGE(G18:G19)/100,4))</f>
        <v>1.03E-2</v>
      </c>
      <c r="AC18" s="2027">
        <f>IF(H18=0,0,ROUND(AVERAGE(H18:H19)/100,4))</f>
        <v>6.8999999999999999E-3</v>
      </c>
      <c r="AD18" s="2027">
        <f t="shared" si="18"/>
        <v>8.0000000000000004E-4</v>
      </c>
    </row>
    <row r="19" spans="1:30" s="2926" customFormat="1" ht="13.8" thickBot="1">
      <c r="A19" s="2916" t="s">
        <v>2824</v>
      </c>
      <c r="B19" s="2917">
        <v>2021</v>
      </c>
      <c r="C19" s="2918">
        <v>1</v>
      </c>
      <c r="D19" s="2919">
        <v>0.97</v>
      </c>
      <c r="E19" s="2919">
        <v>0.16</v>
      </c>
      <c r="F19" s="2919">
        <v>-0.25</v>
      </c>
      <c r="G19" s="2919">
        <v>1.1100000000000001</v>
      </c>
      <c r="H19" s="2920">
        <v>0.36</v>
      </c>
      <c r="I19" s="2921">
        <f t="shared" si="15"/>
        <v>-0.25</v>
      </c>
      <c r="J19" s="2922"/>
      <c r="K19" s="2923">
        <f t="shared" si="16"/>
        <v>9.7000000000000003E-3</v>
      </c>
      <c r="L19" s="2924">
        <f t="shared" si="16"/>
        <v>1.6000000000000001E-3</v>
      </c>
      <c r="M19" s="2924">
        <f>F19/100</f>
        <v>-2.5000000000000001E-3</v>
      </c>
      <c r="N19" s="2924">
        <f t="shared" si="16"/>
        <v>1.11E-2</v>
      </c>
      <c r="O19" s="2924">
        <f t="shared" si="16"/>
        <v>3.5999999999999999E-3</v>
      </c>
      <c r="P19" s="2924">
        <f t="shared" si="36"/>
        <v>-2.5000000000000001E-3</v>
      </c>
      <c r="Q19" s="2922"/>
      <c r="R19" s="2925">
        <v>1</v>
      </c>
      <c r="S19" s="2925">
        <v>1</v>
      </c>
      <c r="T19" s="2925">
        <v>1</v>
      </c>
      <c r="U19" s="2925">
        <v>1</v>
      </c>
      <c r="V19" s="2925">
        <v>1</v>
      </c>
      <c r="W19" s="2925">
        <f t="shared" ref="W19" si="42">T19</f>
        <v>1</v>
      </c>
      <c r="X19" s="2922"/>
      <c r="Y19" s="2924">
        <f>IF(D19=0,0,ROUND(AVERAGE(D19:D19)/100,4))</f>
        <v>9.7000000000000003E-3</v>
      </c>
      <c r="Z19" s="2924">
        <f>IF(E19=0,0,ROUND(AVERAGE(E19:E19)/100,4))</f>
        <v>1.6000000000000001E-3</v>
      </c>
      <c r="AA19" s="2924">
        <f>IF(F19=0,0,ROUND(AVERAGE(F19:F19)/100,4))</f>
        <v>-2.5000000000000001E-3</v>
      </c>
      <c r="AB19" s="2924">
        <f>IF(G19=0,0,ROUND(AVERAGE(G19:G19)/100,4))</f>
        <v>1.11E-2</v>
      </c>
      <c r="AC19" s="2924">
        <f>IF(H19=0,0,ROUND(AVERAGE(H19:H19)/100,4))</f>
        <v>3.5999999999999999E-3</v>
      </c>
      <c r="AD19" s="2924">
        <f>AA19</f>
        <v>-2.5000000000000001E-3</v>
      </c>
    </row>
    <row r="20" spans="1:30" ht="15" thickTop="1"/>
    <row r="21" spans="1:30">
      <c r="A21" s="3141" t="s">
        <v>3364</v>
      </c>
    </row>
    <row r="22" spans="1:30">
      <c r="I22" s="1404" t="s">
        <v>2825</v>
      </c>
    </row>
    <row r="24" spans="1:30" s="2008" customFormat="1" ht="13.2">
      <c r="B24" s="2927" t="s">
        <v>3370</v>
      </c>
      <c r="C24" s="2928"/>
      <c r="D24" s="2928"/>
      <c r="E24" s="2928"/>
      <c r="F24" s="2928"/>
      <c r="G24" s="2928"/>
      <c r="H24" s="2928"/>
      <c r="I24" s="2928"/>
      <c r="J24" s="2894"/>
      <c r="K24" s="2928" t="s">
        <v>2826</v>
      </c>
      <c r="L24" s="2928"/>
      <c r="M24" s="2928"/>
      <c r="N24" s="2928"/>
      <c r="O24" s="2928"/>
      <c r="P24" s="2928"/>
      <c r="Q24" s="2894"/>
      <c r="R24" s="3518" t="s">
        <v>2827</v>
      </c>
      <c r="S24" s="3519"/>
      <c r="T24" s="3519"/>
      <c r="U24" s="3519"/>
      <c r="V24" s="3519"/>
      <c r="W24" s="3519"/>
      <c r="X24" s="2894"/>
      <c r="Y24" s="3518" t="s">
        <v>2828</v>
      </c>
      <c r="Z24" s="3519"/>
      <c r="AA24" s="3519"/>
      <c r="AB24" s="3519"/>
      <c r="AC24" s="3519"/>
      <c r="AD24" s="3519"/>
    </row>
    <row r="25" spans="1:30" s="2009" customFormat="1" ht="15" thickBot="1">
      <c r="B25" s="2879"/>
      <c r="C25" s="2880"/>
      <c r="D25" s="2010" t="s">
        <v>2829</v>
      </c>
      <c r="E25" s="2011" t="s">
        <v>2830</v>
      </c>
      <c r="F25" s="2011" t="s">
        <v>2831</v>
      </c>
      <c r="G25" s="2011" t="s">
        <v>2832</v>
      </c>
      <c r="H25" s="2011"/>
      <c r="I25" s="2011" t="s">
        <v>2833</v>
      </c>
      <c r="J25" s="2881"/>
      <c r="K25" s="2010" t="s">
        <v>2829</v>
      </c>
      <c r="L25" s="2011" t="s">
        <v>2830</v>
      </c>
      <c r="M25" s="2011" t="s">
        <v>2831</v>
      </c>
      <c r="N25" s="2011" t="s">
        <v>2832</v>
      </c>
      <c r="O25" s="2011"/>
      <c r="P25" s="2011" t="s">
        <v>2833</v>
      </c>
      <c r="Q25" s="2881"/>
      <c r="R25" s="2010" t="s">
        <v>2829</v>
      </c>
      <c r="S25" s="2011" t="s">
        <v>2830</v>
      </c>
      <c r="T25" s="2011" t="s">
        <v>2831</v>
      </c>
      <c r="U25" s="2011" t="s">
        <v>2832</v>
      </c>
      <c r="V25" s="2011"/>
      <c r="W25" s="2011" t="s">
        <v>2833</v>
      </c>
      <c r="X25" s="2881"/>
      <c r="Y25" s="2010" t="s">
        <v>2829</v>
      </c>
      <c r="Z25" s="2011" t="s">
        <v>2830</v>
      </c>
      <c r="AA25" s="2011" t="s">
        <v>2831</v>
      </c>
      <c r="AB25" s="2011" t="s">
        <v>2832</v>
      </c>
      <c r="AC25" s="2011"/>
      <c r="AD25" s="2011" t="s">
        <v>2833</v>
      </c>
    </row>
    <row r="26" spans="1:30" s="2884" customFormat="1" ht="13.2">
      <c r="A26" s="2882" t="s">
        <v>2834</v>
      </c>
      <c r="B26" s="2883"/>
      <c r="E26" s="2884">
        <f t="shared" ref="E26:G26" si="43">ROUND(AVERAGEIF(E27:E42,"&lt;&gt;0"),2)</f>
        <v>0.33</v>
      </c>
      <c r="F26" s="2884">
        <f t="shared" si="43"/>
        <v>0.24</v>
      </c>
      <c r="G26" s="2884">
        <f t="shared" si="43"/>
        <v>0.62</v>
      </c>
      <c r="I26" s="2884">
        <f>F26</f>
        <v>0.24</v>
      </c>
      <c r="J26" s="2885"/>
      <c r="K26" s="2886"/>
      <c r="L26" s="2887">
        <f t="shared" ref="L26:N26" si="44">ROUND(AVERAGEIF(L27:L42,"&lt;&gt;0"),4)</f>
        <v>3.3E-3</v>
      </c>
      <c r="M26" s="2887">
        <f t="shared" si="44"/>
        <v>2.3999999999999998E-3</v>
      </c>
      <c r="N26" s="2887">
        <f t="shared" si="44"/>
        <v>6.1999999999999998E-3</v>
      </c>
      <c r="O26" s="2887"/>
      <c r="P26" s="2887">
        <f>M26</f>
        <v>2.3999999999999998E-3</v>
      </c>
      <c r="Q26" s="2885"/>
      <c r="R26" s="2888"/>
      <c r="S26" s="2889">
        <f>ROUND(SUMPRODUCT(PRODUCT(1+L27:L42)),4)</f>
        <v>1.0468999999999999</v>
      </c>
      <c r="T26" s="2889">
        <f t="shared" ref="T26:U26" si="45">ROUND(SUMPRODUCT(PRODUCT(1+M27:M42)),4)</f>
        <v>1.0347</v>
      </c>
      <c r="U26" s="2889">
        <f t="shared" si="45"/>
        <v>1.0895999999999999</v>
      </c>
      <c r="V26" s="2889"/>
      <c r="W26" s="2888">
        <f>T26</f>
        <v>1.0347</v>
      </c>
      <c r="X26" s="2885"/>
      <c r="Y26" s="2890"/>
      <c r="Z26" s="2891">
        <f t="shared" ref="Z26:AB26" si="46">ROUND(AVERAGEIF(Z27:Z42,"&lt;&gt;0"),4)</f>
        <v>4.1999999999999997E-3</v>
      </c>
      <c r="AA26" s="2892">
        <f t="shared" si="46"/>
        <v>3.3999999999999998E-3</v>
      </c>
      <c r="AB26" s="2890">
        <f t="shared" si="46"/>
        <v>8.6E-3</v>
      </c>
      <c r="AC26" s="2893"/>
      <c r="AD26" s="2890">
        <f>AA26</f>
        <v>3.3999999999999998E-3</v>
      </c>
    </row>
    <row r="27" spans="1:30" s="2008" customFormat="1" ht="13.2">
      <c r="B27" s="2024"/>
      <c r="J27" s="2894"/>
      <c r="K27" s="2895"/>
      <c r="L27" s="2896"/>
      <c r="M27" s="2896"/>
      <c r="N27" s="2896"/>
      <c r="O27" s="2896"/>
      <c r="P27" s="2896"/>
      <c r="Q27" s="2894"/>
      <c r="R27" s="2026"/>
      <c r="S27" s="2897"/>
      <c r="T27" s="2898"/>
      <c r="U27" s="2026"/>
      <c r="V27" s="2899"/>
      <c r="W27" s="2026"/>
      <c r="X27" s="2894"/>
      <c r="Y27" s="2027"/>
      <c r="Z27" s="2900"/>
      <c r="AA27" s="2901"/>
      <c r="AB27" s="2027"/>
      <c r="AC27" s="2902"/>
      <c r="AD27" s="2027"/>
    </row>
    <row r="28" spans="1:30" s="2044" customFormat="1" ht="13.2">
      <c r="A28" s="2039" t="s">
        <v>3375</v>
      </c>
      <c r="B28" s="2030">
        <v>2024</v>
      </c>
      <c r="C28" s="2041">
        <v>3</v>
      </c>
      <c r="D28" s="2006"/>
      <c r="E28" s="2006">
        <v>0</v>
      </c>
      <c r="F28" s="2006">
        <v>0</v>
      </c>
      <c r="G28" s="2006">
        <v>0</v>
      </c>
      <c r="H28" s="2006"/>
      <c r="I28" s="2007">
        <f t="shared" ref="I28" si="47">F28</f>
        <v>0</v>
      </c>
      <c r="J28" s="2904"/>
      <c r="K28" s="2042"/>
      <c r="L28" s="2027">
        <f t="shared" ref="L28" si="48">E28/100</f>
        <v>0</v>
      </c>
      <c r="M28" s="2027">
        <f t="shared" ref="M28" si="49">F28/100</f>
        <v>0</v>
      </c>
      <c r="N28" s="2027">
        <f t="shared" ref="N28" si="50">G28/100</f>
        <v>0</v>
      </c>
      <c r="O28" s="2027"/>
      <c r="P28" s="2027">
        <f>M28</f>
        <v>0</v>
      </c>
      <c r="Q28" s="2904"/>
      <c r="R28" s="2026"/>
      <c r="S28" s="2026">
        <f>ROUND(IF(项目基本情况!$B$8="出让",SUMPRODUCT(PRODUCT(1+L28:L$42)),SUMPRODUCT(PRODUCT(1+L28:L$41))),4)</f>
        <v>1.0432999999999999</v>
      </c>
      <c r="T28" s="2026">
        <f>ROUND(IF(项目基本情况!$B$8="出让",SUMPRODUCT(PRODUCT(1+M28:M$42)),SUMPRODUCT(PRODUCT(1+M28:M$41))),4)</f>
        <v>1.0298</v>
      </c>
      <c r="U28" s="2026">
        <f>ROUND(IF(项目基本情况!$B$8="出让",SUMPRODUCT(PRODUCT(1+N28:N$42)),SUMPRODUCT(PRODUCT(1+N28:N$41))),4)</f>
        <v>1.079</v>
      </c>
      <c r="V28" s="2026"/>
      <c r="W28" s="2026">
        <f>T28</f>
        <v>1.0298</v>
      </c>
      <c r="X28" s="2904"/>
      <c r="Y28" s="2027"/>
      <c r="Z28" s="2900">
        <f t="shared" ref="Z28:AB29" si="51">IF(E28=0,0,ROUND(AVERAGE(E28:E41)/100,4))</f>
        <v>0</v>
      </c>
      <c r="AA28" s="2900">
        <f t="shared" si="51"/>
        <v>0</v>
      </c>
      <c r="AB28" s="2900">
        <f t="shared" si="51"/>
        <v>0</v>
      </c>
      <c r="AC28" s="2902"/>
      <c r="AD28" s="2027">
        <f>IF(I28=0,0,ROUND(AVERAGE(I28:I41)/100,4))</f>
        <v>0</v>
      </c>
    </row>
    <row r="29" spans="1:30" s="2914" customFormat="1" ht="13.2">
      <c r="A29" s="2905" t="s">
        <v>3376</v>
      </c>
      <c r="B29" s="2906">
        <v>2024</v>
      </c>
      <c r="C29" s="2907">
        <v>2</v>
      </c>
      <c r="D29" s="2908"/>
      <c r="E29" s="2908">
        <v>-0.31</v>
      </c>
      <c r="F29" s="2908">
        <v>-0.39</v>
      </c>
      <c r="G29" s="2908">
        <v>1.23</v>
      </c>
      <c r="H29" s="2909"/>
      <c r="I29" s="2910">
        <f t="shared" ref="I29:I42" si="52">F29</f>
        <v>-0.39</v>
      </c>
      <c r="J29" s="2911"/>
      <c r="K29" s="2912"/>
      <c r="L29" s="2913">
        <f t="shared" ref="L29:N42" si="53">E29/100</f>
        <v>-3.0999999999999999E-3</v>
      </c>
      <c r="M29" s="2913">
        <f t="shared" si="53"/>
        <v>-3.9000000000000003E-3</v>
      </c>
      <c r="N29" s="2913">
        <f t="shared" si="53"/>
        <v>1.23E-2</v>
      </c>
      <c r="O29" s="2913"/>
      <c r="P29" s="2913">
        <f>M29</f>
        <v>-3.9000000000000003E-3</v>
      </c>
      <c r="Q29" s="2911"/>
      <c r="R29" s="2911"/>
      <c r="S29" s="2911">
        <f>ROUND(IF(项目基本情况!$B$8="出让",SUMPRODUCT(PRODUCT(1+L29:L$42)),SUMPRODUCT(PRODUCT(1+L29:L$41))),4)</f>
        <v>1.0432999999999999</v>
      </c>
      <c r="T29" s="2911">
        <f>ROUND(IF(项目基本情况!$B$8="出让",SUMPRODUCT(PRODUCT(1+M29:M$42)),SUMPRODUCT(PRODUCT(1+M29:M$41))),4)</f>
        <v>1.0298</v>
      </c>
      <c r="U29" s="2911">
        <f>ROUND(IF(项目基本情况!$B$8="出让",SUMPRODUCT(PRODUCT(1+N29:N$42)),SUMPRODUCT(PRODUCT(1+N29:N$41))),4)</f>
        <v>1.079</v>
      </c>
      <c r="V29" s="2911"/>
      <c r="W29" s="2911">
        <f>T29</f>
        <v>1.0298</v>
      </c>
      <c r="X29" s="2911"/>
      <c r="Y29" s="2913"/>
      <c r="Z29" s="2929">
        <f t="shared" si="51"/>
        <v>3.3E-3</v>
      </c>
      <c r="AA29" s="2930">
        <f t="shared" si="51"/>
        <v>2.3999999999999998E-3</v>
      </c>
      <c r="AB29" s="2913">
        <f t="shared" si="51"/>
        <v>6.1999999999999998E-3</v>
      </c>
      <c r="AC29" s="2931"/>
      <c r="AD29" s="2913">
        <f>IF(I29=0,0,ROUND(AVERAGE(I29:I42)/100,4))</f>
        <v>2.3999999999999998E-3</v>
      </c>
    </row>
    <row r="30" spans="1:30" s="2044" customFormat="1" ht="13.2">
      <c r="A30" s="2903" t="s">
        <v>3377</v>
      </c>
      <c r="B30" s="2030">
        <v>2024</v>
      </c>
      <c r="C30" s="2041">
        <v>1</v>
      </c>
      <c r="D30" s="2006"/>
      <c r="E30" s="2006">
        <v>0.25</v>
      </c>
      <c r="F30" s="2006">
        <v>0.4</v>
      </c>
      <c r="G30" s="2006">
        <v>-0.63</v>
      </c>
      <c r="H30" s="2915"/>
      <c r="I30" s="2007">
        <f t="shared" ref="I30:I31" si="54">F30</f>
        <v>0.4</v>
      </c>
      <c r="J30" s="2904"/>
      <c r="K30" s="2042"/>
      <c r="L30" s="2027">
        <f t="shared" ref="L30" si="55">E30/100</f>
        <v>2.5000000000000001E-3</v>
      </c>
      <c r="M30" s="2027">
        <f t="shared" ref="M30" si="56">F30/100</f>
        <v>4.0000000000000001E-3</v>
      </c>
      <c r="N30" s="2027">
        <f t="shared" ref="N30" si="57">G30/100</f>
        <v>-6.3E-3</v>
      </c>
      <c r="O30" s="2027"/>
      <c r="P30" s="2027">
        <f t="shared" ref="P30" si="58">M30</f>
        <v>4.0000000000000001E-3</v>
      </c>
      <c r="Q30" s="2904"/>
      <c r="R30" s="2026"/>
      <c r="S30" s="2026">
        <f>ROUND(IF(项目基本情况!$B$8="出让",SUMPRODUCT(PRODUCT(1+L30:L$42)),SUMPRODUCT(PRODUCT(1+L30:L$41))),4)</f>
        <v>1.0465</v>
      </c>
      <c r="T30" s="2026">
        <f>ROUND(IF(项目基本情况!$B$8="出让",SUMPRODUCT(PRODUCT(1+M30:M$42)),SUMPRODUCT(PRODUCT(1+M30:M$41))),4)</f>
        <v>1.0338000000000001</v>
      </c>
      <c r="U30" s="2026">
        <f>ROUND(IF(项目基本情况!$B$8="出让",SUMPRODUCT(PRODUCT(1+N30:N$42)),SUMPRODUCT(PRODUCT(1+N30:N$41))),4)</f>
        <v>1.0659000000000001</v>
      </c>
      <c r="V30" s="2026"/>
      <c r="W30" s="2026">
        <f t="shared" ref="W30" si="59">T30</f>
        <v>1.0338000000000001</v>
      </c>
      <c r="X30" s="2904"/>
      <c r="Y30" s="2027"/>
      <c r="Z30" s="2900"/>
      <c r="AA30" s="2901"/>
      <c r="AB30" s="2027"/>
      <c r="AC30" s="2902"/>
      <c r="AD30" s="2027"/>
    </row>
    <row r="31" spans="1:30" s="2044" customFormat="1" ht="13.2">
      <c r="A31" s="2903" t="s">
        <v>3374</v>
      </c>
      <c r="B31" s="2030">
        <v>2023</v>
      </c>
      <c r="C31" s="2041">
        <v>4</v>
      </c>
      <c r="D31" s="2006"/>
      <c r="E31" s="2006">
        <v>7.0000000000000007E-2</v>
      </c>
      <c r="F31" s="2006">
        <v>0.09</v>
      </c>
      <c r="G31" s="2006">
        <v>0.03</v>
      </c>
      <c r="H31" s="2915"/>
      <c r="I31" s="2007">
        <f t="shared" si="54"/>
        <v>0.09</v>
      </c>
      <c r="J31" s="2904"/>
      <c r="K31" s="2042"/>
      <c r="L31" s="2027">
        <f t="shared" si="53"/>
        <v>7.000000000000001E-4</v>
      </c>
      <c r="M31" s="2027">
        <f t="shared" si="53"/>
        <v>8.9999999999999998E-4</v>
      </c>
      <c r="N31" s="2027">
        <f t="shared" si="53"/>
        <v>2.9999999999999997E-4</v>
      </c>
      <c r="O31" s="2027"/>
      <c r="P31" s="2027">
        <f t="shared" ref="P31" si="60">M31</f>
        <v>8.9999999999999998E-4</v>
      </c>
      <c r="Q31" s="2904"/>
      <c r="R31" s="2026"/>
      <c r="S31" s="2026">
        <f>ROUND(IF(项目基本情况!$B$8="出让",SUMPRODUCT(PRODUCT(1+L31:L$42)),SUMPRODUCT(PRODUCT(1+L31:L$41))),4)</f>
        <v>1.0439000000000001</v>
      </c>
      <c r="T31" s="2026">
        <f>ROUND(IF(项目基本情况!$B$8="出让",SUMPRODUCT(PRODUCT(1+M31:M$42)),SUMPRODUCT(PRODUCT(1+M31:M$41))),4)</f>
        <v>1.0297000000000001</v>
      </c>
      <c r="U31" s="2026">
        <f>ROUND(IF(项目基本情况!$B$8="出让",SUMPRODUCT(PRODUCT(1+N31:N$42)),SUMPRODUCT(PRODUCT(1+N31:N$41))),4)</f>
        <v>1.0727</v>
      </c>
      <c r="V31" s="2026"/>
      <c r="W31" s="2026">
        <f t="shared" ref="W31" si="61">T31</f>
        <v>1.0297000000000001</v>
      </c>
      <c r="X31" s="2904"/>
      <c r="Y31" s="2027"/>
      <c r="Z31" s="2900"/>
      <c r="AA31" s="2901"/>
      <c r="AB31" s="2027"/>
      <c r="AC31" s="2902"/>
      <c r="AD31" s="2027"/>
    </row>
    <row r="32" spans="1:30" s="2044" customFormat="1" ht="13.2">
      <c r="A32" s="2903" t="s">
        <v>3372</v>
      </c>
      <c r="B32" s="2030">
        <v>2023</v>
      </c>
      <c r="C32" s="2041">
        <v>3</v>
      </c>
      <c r="D32" s="2006"/>
      <c r="E32" s="2006">
        <v>0.35</v>
      </c>
      <c r="F32" s="2006">
        <v>0.17</v>
      </c>
      <c r="G32" s="2006">
        <v>0.52</v>
      </c>
      <c r="H32" s="2915"/>
      <c r="I32" s="2007">
        <f t="shared" si="52"/>
        <v>0.17</v>
      </c>
      <c r="J32" s="2904"/>
      <c r="K32" s="2042"/>
      <c r="L32" s="2027">
        <f t="shared" ref="L32:L34" si="62">E32/100</f>
        <v>3.4999999999999996E-3</v>
      </c>
      <c r="M32" s="2027">
        <f t="shared" ref="M32:M34" si="63">F32/100</f>
        <v>1.7000000000000001E-3</v>
      </c>
      <c r="N32" s="2027">
        <f t="shared" ref="N32:N34" si="64">G32/100</f>
        <v>5.1999999999999998E-3</v>
      </c>
      <c r="O32" s="2027"/>
      <c r="P32" s="2027">
        <f t="shared" ref="P32:P34" si="65">M32</f>
        <v>1.7000000000000001E-3</v>
      </c>
      <c r="Q32" s="2904"/>
      <c r="R32" s="2026"/>
      <c r="S32" s="2026">
        <f>ROUND(IF(项目基本情况!$B$8="出让",SUMPRODUCT(PRODUCT(1+L32:L$42)),SUMPRODUCT(PRODUCT(1+L32:L$41))),4)</f>
        <v>1.0431999999999999</v>
      </c>
      <c r="T32" s="2026">
        <f>ROUND(IF(项目基本情况!$B$8="出让",SUMPRODUCT(PRODUCT(1+M32:M$42)),SUMPRODUCT(PRODUCT(1+M32:M$41))),4)</f>
        <v>1.0286999999999999</v>
      </c>
      <c r="U32" s="2026">
        <f>ROUND(IF(项目基本情况!$B$8="出让",SUMPRODUCT(PRODUCT(1+N32:N$42)),SUMPRODUCT(PRODUCT(1+N32:N$41))),4)</f>
        <v>1.0723</v>
      </c>
      <c r="V32" s="2026"/>
      <c r="W32" s="2026">
        <f t="shared" ref="W32:W34" si="66">T32</f>
        <v>1.0286999999999999</v>
      </c>
      <c r="X32" s="2904"/>
      <c r="Y32" s="2027"/>
      <c r="Z32" s="2900"/>
      <c r="AA32" s="2901"/>
      <c r="AB32" s="2027"/>
      <c r="AC32" s="2902"/>
      <c r="AD32" s="2027"/>
    </row>
    <row r="33" spans="1:30" s="2044" customFormat="1" ht="13.2">
      <c r="A33" s="2903" t="s">
        <v>3371</v>
      </c>
      <c r="B33" s="2030">
        <v>2023</v>
      </c>
      <c r="C33" s="2041">
        <v>2</v>
      </c>
      <c r="D33" s="2006"/>
      <c r="E33" s="2006">
        <v>0.5</v>
      </c>
      <c r="F33" s="2006">
        <v>0.45</v>
      </c>
      <c r="G33" s="2006">
        <v>0.89</v>
      </c>
      <c r="H33" s="2915"/>
      <c r="I33" s="2007">
        <f t="shared" si="52"/>
        <v>0.45</v>
      </c>
      <c r="J33" s="2904"/>
      <c r="K33" s="2042"/>
      <c r="L33" s="2027">
        <f t="shared" si="62"/>
        <v>5.0000000000000001E-3</v>
      </c>
      <c r="M33" s="2027">
        <f t="shared" si="63"/>
        <v>4.5000000000000005E-3</v>
      </c>
      <c r="N33" s="2027">
        <f t="shared" si="64"/>
        <v>8.8999999999999999E-3</v>
      </c>
      <c r="O33" s="2027"/>
      <c r="P33" s="2027">
        <f t="shared" si="65"/>
        <v>4.5000000000000005E-3</v>
      </c>
      <c r="Q33" s="2904"/>
      <c r="R33" s="2026"/>
      <c r="S33" s="2026">
        <f>ROUND(IF(项目基本情况!$B$8="出让",SUMPRODUCT(PRODUCT(1+L33:L$42)),SUMPRODUCT(PRODUCT(1+L33:L$41))),4)</f>
        <v>1.0396000000000001</v>
      </c>
      <c r="T33" s="2026">
        <f>ROUND(IF(项目基本情况!$B$8="出让",SUMPRODUCT(PRODUCT(1+M33:M$42)),SUMPRODUCT(PRODUCT(1+M33:M$41))),4)</f>
        <v>1.0269999999999999</v>
      </c>
      <c r="U33" s="2026">
        <f>ROUND(IF(项目基本情况!$B$8="出让",SUMPRODUCT(PRODUCT(1+N33:N$42)),SUMPRODUCT(PRODUCT(1+N33:N$41))),4)</f>
        <v>1.0668</v>
      </c>
      <c r="V33" s="2026"/>
      <c r="W33" s="2026">
        <f t="shared" si="66"/>
        <v>1.0269999999999999</v>
      </c>
      <c r="X33" s="2904"/>
      <c r="Y33" s="2027"/>
      <c r="Z33" s="2900"/>
      <c r="AA33" s="2901"/>
      <c r="AB33" s="2027"/>
      <c r="AC33" s="2902"/>
      <c r="AD33" s="2027"/>
    </row>
    <row r="34" spans="1:30" s="2044" customFormat="1" ht="13.2">
      <c r="A34" s="2903" t="s">
        <v>3367</v>
      </c>
      <c r="B34" s="2030">
        <v>2023</v>
      </c>
      <c r="C34" s="2041">
        <v>1</v>
      </c>
      <c r="D34" s="2006"/>
      <c r="E34" s="2006">
        <v>0.55000000000000004</v>
      </c>
      <c r="F34" s="2006">
        <v>0.59</v>
      </c>
      <c r="G34" s="2006">
        <v>0.64</v>
      </c>
      <c r="H34" s="2915"/>
      <c r="I34" s="2007">
        <f t="shared" si="52"/>
        <v>0.59</v>
      </c>
      <c r="J34" s="2904"/>
      <c r="K34" s="2042"/>
      <c r="L34" s="2027">
        <f t="shared" si="62"/>
        <v>5.5000000000000005E-3</v>
      </c>
      <c r="M34" s="2027">
        <f t="shared" si="63"/>
        <v>5.8999999999999999E-3</v>
      </c>
      <c r="N34" s="2027">
        <f t="shared" si="64"/>
        <v>6.4000000000000003E-3</v>
      </c>
      <c r="O34" s="2027"/>
      <c r="P34" s="2027">
        <f t="shared" si="65"/>
        <v>5.8999999999999999E-3</v>
      </c>
      <c r="Q34" s="2904"/>
      <c r="R34" s="2026"/>
      <c r="S34" s="2026">
        <f>ROUND(IF(项目基本情况!$B$8="出让",SUMPRODUCT(PRODUCT(1+L34:L$42)),SUMPRODUCT(PRODUCT(1+L34:L$41))),4)</f>
        <v>1.0344</v>
      </c>
      <c r="T34" s="2026">
        <f>ROUND(IF(项目基本情况!$B$8="出让",SUMPRODUCT(PRODUCT(1+M34:M$42)),SUMPRODUCT(PRODUCT(1+M34:M$41))),4)</f>
        <v>1.0224</v>
      </c>
      <c r="U34" s="2026">
        <f>ROUND(IF(项目基本情况!$B$8="出让",SUMPRODUCT(PRODUCT(1+N34:N$42)),SUMPRODUCT(PRODUCT(1+N34:N$41))),4)</f>
        <v>1.0573999999999999</v>
      </c>
      <c r="V34" s="2026"/>
      <c r="W34" s="2026">
        <f t="shared" si="66"/>
        <v>1.0224</v>
      </c>
      <c r="X34" s="2904"/>
      <c r="Y34" s="2027"/>
      <c r="Z34" s="2900"/>
      <c r="AA34" s="2901"/>
      <c r="AB34" s="2027"/>
      <c r="AC34" s="2902"/>
      <c r="AD34" s="2027"/>
    </row>
    <row r="35" spans="1:30" s="2044" customFormat="1" ht="13.2">
      <c r="A35" s="2903" t="s">
        <v>3366</v>
      </c>
      <c r="B35" s="2030">
        <v>2022</v>
      </c>
      <c r="C35" s="2041">
        <v>4</v>
      </c>
      <c r="D35" s="2006"/>
      <c r="E35" s="2006">
        <v>0.45</v>
      </c>
      <c r="F35" s="2006">
        <v>0.2</v>
      </c>
      <c r="G35" s="2006">
        <v>0.38</v>
      </c>
      <c r="H35" s="2915"/>
      <c r="I35" s="2007">
        <f t="shared" si="52"/>
        <v>0.2</v>
      </c>
      <c r="J35" s="2904"/>
      <c r="K35" s="2042"/>
      <c r="L35" s="2027">
        <f t="shared" si="53"/>
        <v>4.5000000000000005E-3</v>
      </c>
      <c r="M35" s="2027">
        <f t="shared" si="53"/>
        <v>2E-3</v>
      </c>
      <c r="N35" s="2027">
        <f t="shared" si="53"/>
        <v>3.8E-3</v>
      </c>
      <c r="O35" s="2027"/>
      <c r="P35" s="2027">
        <f t="shared" ref="P35:P42" si="67">M35</f>
        <v>2E-3</v>
      </c>
      <c r="Q35" s="2904"/>
      <c r="R35" s="2026"/>
      <c r="S35" s="2026">
        <f>ROUND(IF(项目基本情况!$B$8="出让",SUMPRODUCT(PRODUCT(1+L35:L$42)),SUMPRODUCT(PRODUCT(1+L35:L$41))),4)</f>
        <v>1.0286999999999999</v>
      </c>
      <c r="T35" s="2026">
        <f>ROUND(IF(项目基本情况!$B$8="出让",SUMPRODUCT(PRODUCT(1+M35:M$42)),SUMPRODUCT(PRODUCT(1+M35:M$41))),4)</f>
        <v>1.0164</v>
      </c>
      <c r="U35" s="2026">
        <f>ROUND(IF(项目基本情况!$B$8="出让",SUMPRODUCT(PRODUCT(1+N35:N$42)),SUMPRODUCT(PRODUCT(1+N35:N$41))),4)</f>
        <v>1.0506</v>
      </c>
      <c r="V35" s="2026"/>
      <c r="W35" s="2026">
        <f t="shared" ref="W35:W42" si="68">T35</f>
        <v>1.0164</v>
      </c>
      <c r="X35" s="2904"/>
      <c r="Y35" s="2027"/>
      <c r="Z35" s="2900">
        <f t="shared" ref="Z35:AD42" si="69">IF(E35=0,0,ROUND(AVERAGE(E35:E43)/100,4))</f>
        <v>4.0000000000000001E-3</v>
      </c>
      <c r="AA35" s="2901">
        <f t="shared" si="69"/>
        <v>2.5999999999999999E-3</v>
      </c>
      <c r="AB35" s="2027">
        <f t="shared" si="69"/>
        <v>7.4000000000000003E-3</v>
      </c>
      <c r="AC35" s="2902"/>
      <c r="AD35" s="2027">
        <f t="shared" si="69"/>
        <v>2.5999999999999999E-3</v>
      </c>
    </row>
    <row r="36" spans="1:30" s="2044" customFormat="1" ht="13.2">
      <c r="A36" s="2903" t="s">
        <v>3363</v>
      </c>
      <c r="B36" s="2030">
        <v>2022</v>
      </c>
      <c r="C36" s="2041">
        <v>3</v>
      </c>
      <c r="D36" s="2006"/>
      <c r="E36" s="2006">
        <v>0.3</v>
      </c>
      <c r="F36" s="2006">
        <v>0.28999999999999998</v>
      </c>
      <c r="G36" s="2006">
        <v>0.83</v>
      </c>
      <c r="H36" s="2915"/>
      <c r="I36" s="2007">
        <f t="shared" si="52"/>
        <v>0.28999999999999998</v>
      </c>
      <c r="J36" s="2904"/>
      <c r="K36" s="2042"/>
      <c r="L36" s="2027">
        <f t="shared" si="53"/>
        <v>3.0000000000000001E-3</v>
      </c>
      <c r="M36" s="2027">
        <f t="shared" si="53"/>
        <v>2.8999999999999998E-3</v>
      </c>
      <c r="N36" s="2027">
        <f t="shared" si="53"/>
        <v>8.3000000000000001E-3</v>
      </c>
      <c r="O36" s="2027"/>
      <c r="P36" s="2027">
        <f t="shared" si="67"/>
        <v>2.8999999999999998E-3</v>
      </c>
      <c r="Q36" s="2904"/>
      <c r="R36" s="2026"/>
      <c r="S36" s="2026">
        <f>ROUND(IF(项目基本情况!$B$8="出让",SUMPRODUCT(PRODUCT(1+L36:L$42)),SUMPRODUCT(PRODUCT(1+L36:L$41))),4)</f>
        <v>1.0241</v>
      </c>
      <c r="T36" s="2026">
        <f>ROUND(IF(项目基本情况!$B$8="出让",SUMPRODUCT(PRODUCT(1+M36:M$42)),SUMPRODUCT(PRODUCT(1+M36:M$41))),4)</f>
        <v>1.0144</v>
      </c>
      <c r="U36" s="2026">
        <f>ROUND(IF(项目基本情况!$B$8="出让",SUMPRODUCT(PRODUCT(1+N36:N$42)),SUMPRODUCT(PRODUCT(1+N36:N$41))),4)</f>
        <v>1.0467</v>
      </c>
      <c r="V36" s="2026"/>
      <c r="W36" s="2026">
        <f t="shared" si="68"/>
        <v>1.0144</v>
      </c>
      <c r="X36" s="2904"/>
      <c r="Y36" s="2027"/>
      <c r="Z36" s="2900">
        <f t="shared" si="69"/>
        <v>3.8999999999999998E-3</v>
      </c>
      <c r="AA36" s="2901">
        <f t="shared" si="69"/>
        <v>2.7000000000000001E-3</v>
      </c>
      <c r="AB36" s="2027">
        <f t="shared" si="69"/>
        <v>7.9000000000000008E-3</v>
      </c>
      <c r="AC36" s="2902"/>
      <c r="AD36" s="2027">
        <f t="shared" si="69"/>
        <v>2.7000000000000001E-3</v>
      </c>
    </row>
    <row r="37" spans="1:30" s="2044" customFormat="1" ht="13.2">
      <c r="A37" s="2903" t="s">
        <v>3353</v>
      </c>
      <c r="B37" s="2030">
        <v>2022</v>
      </c>
      <c r="C37" s="2041">
        <v>2</v>
      </c>
      <c r="D37" s="2006"/>
      <c r="E37" s="2006">
        <v>-0.11</v>
      </c>
      <c r="F37" s="2006">
        <v>-0.13</v>
      </c>
      <c r="G37" s="2006">
        <v>0.53</v>
      </c>
      <c r="H37" s="2915"/>
      <c r="I37" s="2007">
        <f t="shared" si="52"/>
        <v>-0.13</v>
      </c>
      <c r="J37" s="2904"/>
      <c r="K37" s="2042"/>
      <c r="L37" s="2027">
        <f t="shared" si="53"/>
        <v>-1.1000000000000001E-3</v>
      </c>
      <c r="M37" s="2027">
        <f t="shared" si="53"/>
        <v>-1.2999999999999999E-3</v>
      </c>
      <c r="N37" s="2027">
        <f t="shared" si="53"/>
        <v>5.3E-3</v>
      </c>
      <c r="O37" s="2027"/>
      <c r="P37" s="2027">
        <f t="shared" si="67"/>
        <v>-1.2999999999999999E-3</v>
      </c>
      <c r="Q37" s="2904"/>
      <c r="R37" s="2026"/>
      <c r="S37" s="2026">
        <f>ROUND(IF(项目基本情况!$B$8="出让",SUMPRODUCT(PRODUCT(1+L37:L$42)),SUMPRODUCT(PRODUCT(1+L37:L$41))),4)</f>
        <v>1.0210999999999999</v>
      </c>
      <c r="T37" s="2026">
        <f>ROUND(IF(项目基本情况!$B$8="出让",SUMPRODUCT(PRODUCT(1+M37:M$42)),SUMPRODUCT(PRODUCT(1+M37:M$41))),4)</f>
        <v>1.0114000000000001</v>
      </c>
      <c r="U37" s="2026">
        <f>ROUND(IF(项目基本情况!$B$8="出让",SUMPRODUCT(PRODUCT(1+N37:N$42)),SUMPRODUCT(PRODUCT(1+N37:N$41))),4)</f>
        <v>1.0381</v>
      </c>
      <c r="V37" s="2026"/>
      <c r="W37" s="2026">
        <f t="shared" si="68"/>
        <v>1.0114000000000001</v>
      </c>
      <c r="X37" s="2904"/>
      <c r="Y37" s="2027"/>
      <c r="Z37" s="2900">
        <f t="shared" si="69"/>
        <v>4.1000000000000003E-3</v>
      </c>
      <c r="AA37" s="2901">
        <f t="shared" si="69"/>
        <v>2.7000000000000001E-3</v>
      </c>
      <c r="AB37" s="2027">
        <f t="shared" si="69"/>
        <v>7.9000000000000008E-3</v>
      </c>
      <c r="AC37" s="2902"/>
      <c r="AD37" s="2027">
        <f t="shared" si="69"/>
        <v>2.7000000000000001E-3</v>
      </c>
    </row>
    <row r="38" spans="1:30" s="2044" customFormat="1" ht="13.2">
      <c r="A38" s="2903" t="s">
        <v>2835</v>
      </c>
      <c r="B38" s="2030">
        <v>2022</v>
      </c>
      <c r="C38" s="2041">
        <v>1</v>
      </c>
      <c r="D38" s="2006"/>
      <c r="E38" s="2006">
        <v>0.6</v>
      </c>
      <c r="F38" s="2006">
        <v>0.45</v>
      </c>
      <c r="G38" s="2006">
        <v>0.53</v>
      </c>
      <c r="H38" s="2915"/>
      <c r="I38" s="2007">
        <f t="shared" si="52"/>
        <v>0.45</v>
      </c>
      <c r="J38" s="2904"/>
      <c r="K38" s="2042"/>
      <c r="L38" s="2027">
        <f t="shared" si="53"/>
        <v>6.0000000000000001E-3</v>
      </c>
      <c r="M38" s="2027">
        <f t="shared" si="53"/>
        <v>4.5000000000000005E-3</v>
      </c>
      <c r="N38" s="2027">
        <f t="shared" si="53"/>
        <v>5.3E-3</v>
      </c>
      <c r="O38" s="2027"/>
      <c r="P38" s="2027">
        <f t="shared" si="67"/>
        <v>4.5000000000000005E-3</v>
      </c>
      <c r="Q38" s="2904"/>
      <c r="R38" s="2026"/>
      <c r="S38" s="2026">
        <f>ROUND(IF(项目基本情况!$B$8="出让",SUMPRODUCT(PRODUCT(1+L38:L$42)),SUMPRODUCT(PRODUCT(1+L38:L$41))),4)</f>
        <v>1.0222</v>
      </c>
      <c r="T38" s="2026">
        <f>ROUND(IF(项目基本情况!$B$8="出让",SUMPRODUCT(PRODUCT(1+M38:M$42)),SUMPRODUCT(PRODUCT(1+M38:M$41))),4)</f>
        <v>1.0127999999999999</v>
      </c>
      <c r="U38" s="2026">
        <f>ROUND(IF(项目基本情况!$B$8="出让",SUMPRODUCT(PRODUCT(1+N38:N$42)),SUMPRODUCT(PRODUCT(1+N38:N$41))),4)</f>
        <v>1.0326</v>
      </c>
      <c r="V38" s="2026"/>
      <c r="W38" s="2026">
        <f t="shared" si="68"/>
        <v>1.0127999999999999</v>
      </c>
      <c r="X38" s="2904"/>
      <c r="Y38" s="2027"/>
      <c r="Z38" s="2900">
        <f t="shared" si="69"/>
        <v>5.1000000000000004E-3</v>
      </c>
      <c r="AA38" s="2901">
        <f t="shared" si="69"/>
        <v>3.5000000000000001E-3</v>
      </c>
      <c r="AB38" s="2027">
        <f t="shared" si="69"/>
        <v>8.3999999999999995E-3</v>
      </c>
      <c r="AC38" s="2902"/>
      <c r="AD38" s="2027">
        <f t="shared" si="69"/>
        <v>3.5000000000000001E-3</v>
      </c>
    </row>
    <row r="39" spans="1:30" s="2044" customFormat="1" ht="13.2">
      <c r="A39" s="2903" t="s">
        <v>2836</v>
      </c>
      <c r="B39" s="2030">
        <v>2021</v>
      </c>
      <c r="C39" s="2041">
        <v>4</v>
      </c>
      <c r="D39" s="2006"/>
      <c r="E39" s="2006">
        <v>0.57999999999999996</v>
      </c>
      <c r="F39" s="2006">
        <v>0.08</v>
      </c>
      <c r="G39" s="2006">
        <v>0.68</v>
      </c>
      <c r="H39" s="2915"/>
      <c r="I39" s="2007">
        <f t="shared" si="52"/>
        <v>0.08</v>
      </c>
      <c r="J39" s="2904"/>
      <c r="K39" s="2042"/>
      <c r="L39" s="2027">
        <f t="shared" si="53"/>
        <v>5.7999999999999996E-3</v>
      </c>
      <c r="M39" s="2027">
        <f t="shared" si="53"/>
        <v>8.0000000000000004E-4</v>
      </c>
      <c r="N39" s="2027">
        <f t="shared" si="53"/>
        <v>6.8000000000000005E-3</v>
      </c>
      <c r="O39" s="2027"/>
      <c r="P39" s="2027">
        <f t="shared" si="67"/>
        <v>8.0000000000000004E-4</v>
      </c>
      <c r="Q39" s="2904"/>
      <c r="R39" s="2026"/>
      <c r="S39" s="2026">
        <f>ROUND(IF(项目基本情况!$B$8="出让",SUMPRODUCT(PRODUCT(1+L39:L$42)),SUMPRODUCT(PRODUCT(1+L39:L$41))),4)</f>
        <v>1.0161</v>
      </c>
      <c r="T39" s="2026">
        <f>ROUND(IF(项目基本情况!$B$8="出让",SUMPRODUCT(PRODUCT(1+M39:M$42)),SUMPRODUCT(PRODUCT(1+M39:M$41))),4)</f>
        <v>1.0082</v>
      </c>
      <c r="U39" s="2026">
        <f>ROUND(IF(项目基本情况!$B$8="出让",SUMPRODUCT(PRODUCT(1+N39:N$42)),SUMPRODUCT(PRODUCT(1+N39:N$41))),4)</f>
        <v>1.0270999999999999</v>
      </c>
      <c r="V39" s="2026"/>
      <c r="W39" s="2026">
        <f t="shared" si="68"/>
        <v>1.0082</v>
      </c>
      <c r="X39" s="2904"/>
      <c r="Y39" s="2027"/>
      <c r="Z39" s="2900">
        <f t="shared" si="69"/>
        <v>4.8999999999999998E-3</v>
      </c>
      <c r="AA39" s="2901">
        <f t="shared" si="69"/>
        <v>3.3E-3</v>
      </c>
      <c r="AB39" s="2027">
        <f t="shared" si="69"/>
        <v>9.1999999999999998E-3</v>
      </c>
      <c r="AC39" s="2902"/>
      <c r="AD39" s="2027">
        <f t="shared" si="69"/>
        <v>3.3E-3</v>
      </c>
    </row>
    <row r="40" spans="1:30" s="2044" customFormat="1" ht="13.2">
      <c r="A40" s="2903" t="s">
        <v>2837</v>
      </c>
      <c r="B40" s="2030">
        <v>2021</v>
      </c>
      <c r="C40" s="2041">
        <v>3</v>
      </c>
      <c r="D40" s="2006"/>
      <c r="E40" s="2006">
        <v>0.47</v>
      </c>
      <c r="F40" s="2006">
        <v>0.28000000000000003</v>
      </c>
      <c r="G40" s="2006">
        <v>0.91</v>
      </c>
      <c r="H40" s="2915"/>
      <c r="I40" s="2007">
        <f t="shared" si="52"/>
        <v>0.28000000000000003</v>
      </c>
      <c r="J40" s="2904"/>
      <c r="K40" s="2042"/>
      <c r="L40" s="2027">
        <f t="shared" si="53"/>
        <v>4.6999999999999993E-3</v>
      </c>
      <c r="M40" s="2027">
        <f t="shared" si="53"/>
        <v>2.8000000000000004E-3</v>
      </c>
      <c r="N40" s="2027">
        <f t="shared" si="53"/>
        <v>9.1000000000000004E-3</v>
      </c>
      <c r="O40" s="2027"/>
      <c r="P40" s="2027">
        <f t="shared" si="67"/>
        <v>2.8000000000000004E-3</v>
      </c>
      <c r="Q40" s="2904"/>
      <c r="R40" s="2026"/>
      <c r="S40" s="2026">
        <f>ROUND(IF(项目基本情况!$B$8="出让",SUMPRODUCT(PRODUCT(1+L40:L$42)),SUMPRODUCT(PRODUCT(1+L40:L$41))),4)</f>
        <v>1.0102</v>
      </c>
      <c r="T40" s="2026">
        <f>ROUND(IF(项目基本情况!$B$8="出让",SUMPRODUCT(PRODUCT(1+M40:M$42)),SUMPRODUCT(PRODUCT(1+M40:M$41))),4)</f>
        <v>1.0074000000000001</v>
      </c>
      <c r="U40" s="2026">
        <f>ROUND(IF(项目基本情况!$B$8="出让",SUMPRODUCT(PRODUCT(1+N40:N$42)),SUMPRODUCT(PRODUCT(1+N40:N$41))),4)</f>
        <v>1.0202</v>
      </c>
      <c r="V40" s="2026"/>
      <c r="W40" s="2026">
        <f t="shared" si="68"/>
        <v>1.0074000000000001</v>
      </c>
      <c r="X40" s="2904"/>
      <c r="Y40" s="2027"/>
      <c r="Z40" s="2900">
        <f t="shared" si="69"/>
        <v>4.5999999999999999E-3</v>
      </c>
      <c r="AA40" s="2901">
        <f t="shared" si="69"/>
        <v>4.1000000000000003E-3</v>
      </c>
      <c r="AB40" s="2027">
        <f t="shared" si="69"/>
        <v>0.01</v>
      </c>
      <c r="AC40" s="2902"/>
      <c r="AD40" s="2027">
        <f t="shared" si="69"/>
        <v>4.1000000000000003E-3</v>
      </c>
    </row>
    <row r="41" spans="1:30" s="2044" customFormat="1" ht="13.2">
      <c r="A41" s="2903" t="s">
        <v>2838</v>
      </c>
      <c r="B41" s="2030">
        <v>2021</v>
      </c>
      <c r="C41" s="2041">
        <v>2</v>
      </c>
      <c r="D41" s="2006"/>
      <c r="E41" s="2006">
        <v>0.55000000000000004</v>
      </c>
      <c r="F41" s="2006">
        <v>0.46</v>
      </c>
      <c r="G41" s="2006">
        <v>1.1000000000000001</v>
      </c>
      <c r="H41" s="2915"/>
      <c r="I41" s="2007">
        <f t="shared" si="52"/>
        <v>0.46</v>
      </c>
      <c r="J41" s="2904"/>
      <c r="K41" s="2042"/>
      <c r="L41" s="2027">
        <f t="shared" si="53"/>
        <v>5.5000000000000005E-3</v>
      </c>
      <c r="M41" s="2027">
        <f t="shared" si="53"/>
        <v>4.5999999999999999E-3</v>
      </c>
      <c r="N41" s="2027">
        <f t="shared" si="53"/>
        <v>1.1000000000000001E-2</v>
      </c>
      <c r="O41" s="2027"/>
      <c r="P41" s="2027">
        <f t="shared" si="67"/>
        <v>4.5999999999999999E-3</v>
      </c>
      <c r="Q41" s="2904"/>
      <c r="R41" s="2026"/>
      <c r="S41" s="2026">
        <f>ROUND(IF(项目基本情况!$B$8="出让",SUMPRODUCT(PRODUCT(1+L41:L$42)),SUMPRODUCT(PRODUCT(1+L41:L$41))),4)</f>
        <v>1.0055000000000001</v>
      </c>
      <c r="T41" s="2026">
        <f>ROUND(IF(项目基本情况!$B$8="出让",SUMPRODUCT(PRODUCT(1+M41:M$42)),SUMPRODUCT(PRODUCT(1+M41:M$41))),4)</f>
        <v>1.0045999999999999</v>
      </c>
      <c r="U41" s="2026">
        <f>ROUND(IF(项目基本情况!$B$8="出让",SUMPRODUCT(PRODUCT(1+N41:N$42)),SUMPRODUCT(PRODUCT(1+N41:N$41))),4)</f>
        <v>1.0109999999999999</v>
      </c>
      <c r="V41" s="2026"/>
      <c r="W41" s="2026">
        <f t="shared" si="68"/>
        <v>1.0045999999999999</v>
      </c>
      <c r="X41" s="2904"/>
      <c r="Y41" s="2027"/>
      <c r="Z41" s="2900">
        <f t="shared" si="69"/>
        <v>4.4999999999999997E-3</v>
      </c>
      <c r="AA41" s="2901">
        <f t="shared" si="69"/>
        <v>4.7000000000000002E-3</v>
      </c>
      <c r="AB41" s="2027">
        <f t="shared" si="69"/>
        <v>1.04E-2</v>
      </c>
      <c r="AC41" s="2902"/>
      <c r="AD41" s="2027">
        <f t="shared" si="69"/>
        <v>4.7000000000000002E-3</v>
      </c>
    </row>
    <row r="42" spans="1:30" s="2926" customFormat="1" ht="13.8" thickBot="1">
      <c r="A42" s="2916" t="s">
        <v>2824</v>
      </c>
      <c r="B42" s="2917">
        <v>2021</v>
      </c>
      <c r="C42" s="2918">
        <v>1</v>
      </c>
      <c r="D42" s="2919"/>
      <c r="E42" s="2919">
        <v>0.35</v>
      </c>
      <c r="F42" s="2919">
        <v>0.48</v>
      </c>
      <c r="G42" s="2919">
        <v>0.98</v>
      </c>
      <c r="H42" s="2920"/>
      <c r="I42" s="2921">
        <f t="shared" si="52"/>
        <v>0.48</v>
      </c>
      <c r="J42" s="2922"/>
      <c r="K42" s="2923"/>
      <c r="L42" s="2924">
        <f t="shared" si="53"/>
        <v>3.4999999999999996E-3</v>
      </c>
      <c r="M42" s="2924">
        <f>F42/100</f>
        <v>4.7999999999999996E-3</v>
      </c>
      <c r="N42" s="2924">
        <f t="shared" si="53"/>
        <v>9.7999999999999997E-3</v>
      </c>
      <c r="O42" s="2924"/>
      <c r="P42" s="2924">
        <f t="shared" si="67"/>
        <v>4.7999999999999996E-3</v>
      </c>
      <c r="Q42" s="2922"/>
      <c r="R42" s="2925"/>
      <c r="S42" s="2925">
        <v>1</v>
      </c>
      <c r="T42" s="2925">
        <v>1</v>
      </c>
      <c r="U42" s="2925">
        <v>1</v>
      </c>
      <c r="V42" s="2925"/>
      <c r="W42" s="2925">
        <f t="shared" si="68"/>
        <v>1</v>
      </c>
      <c r="X42" s="2922"/>
      <c r="Y42" s="2924"/>
      <c r="Z42" s="2932">
        <f t="shared" si="69"/>
        <v>3.5000000000000001E-3</v>
      </c>
      <c r="AA42" s="2933">
        <f t="shared" si="69"/>
        <v>4.7999999999999996E-3</v>
      </c>
      <c r="AB42" s="2924">
        <f t="shared" si="69"/>
        <v>9.7999999999999997E-3</v>
      </c>
      <c r="AC42" s="2934"/>
      <c r="AD42" s="2924">
        <f t="shared" si="69"/>
        <v>4.7999999999999996E-3</v>
      </c>
    </row>
    <row r="43" spans="1:30" ht="15" thickTop="1"/>
    <row r="44" spans="1:30">
      <c r="A44" s="3141" t="s">
        <v>3365</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23" t="s">
        <v>452</v>
      </c>
      <c r="C1" s="3523"/>
      <c r="D1" s="3523"/>
      <c r="E1" s="3523"/>
      <c r="F1" s="3523"/>
      <c r="G1" s="3519" t="s">
        <v>453</v>
      </c>
      <c r="H1" s="3519"/>
      <c r="I1" s="3519"/>
      <c r="J1" s="3519"/>
      <c r="K1" s="3519"/>
      <c r="L1" s="3519"/>
      <c r="N1" s="3519" t="s">
        <v>454</v>
      </c>
      <c r="O1" s="3519"/>
      <c r="P1" s="3519"/>
      <c r="Q1" s="3519"/>
      <c r="S1" s="3519" t="s">
        <v>455</v>
      </c>
      <c r="T1" s="3519"/>
      <c r="U1" s="3519"/>
      <c r="V1" s="3519"/>
      <c r="X1" s="3518" t="s">
        <v>456</v>
      </c>
      <c r="Y1" s="3519"/>
      <c r="Z1" s="3519"/>
      <c r="AA1" s="3519"/>
      <c r="AB1" s="3519"/>
      <c r="AD1" s="3518" t="s">
        <v>457</v>
      </c>
      <c r="AE1" s="3519"/>
      <c r="AF1" s="3519"/>
      <c r="AG1" s="3519"/>
      <c r="AH1" s="3519"/>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3361</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3358</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3359</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3360</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21">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21"/>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21"/>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28"/>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24">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21"/>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21"/>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28"/>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24">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21"/>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21"/>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22"/>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20">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21"/>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21"/>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22"/>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20">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21"/>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21"/>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22"/>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25">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26"/>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26"/>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27"/>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20">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21"/>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21"/>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22"/>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20">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21">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21">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22">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20">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21">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21">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22">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20">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21">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21">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22">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20">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21">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21">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22">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20">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21">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21">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22">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20">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21">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21">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22">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20">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21">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21">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22">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20">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21">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21">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22">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20">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21">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21">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22">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20">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21">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21">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22">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6"/>
  <sheetViews>
    <sheetView workbookViewId="0">
      <selection activeCell="C13" sqref="C13:H14"/>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45562</v>
      </c>
      <c r="D1" s="1216" t="s">
        <v>603</v>
      </c>
      <c r="E1" s="1211">
        <f>'数据-取费表'!B22</f>
        <v>1</v>
      </c>
      <c r="F1" s="1216" t="s">
        <v>604</v>
      </c>
      <c r="G1" s="1212">
        <f ca="1">INDIRECT("d"&amp;$K$1)/100</f>
        <v>3.3500000000000002E-2</v>
      </c>
      <c r="H1" s="1216" t="s">
        <v>634</v>
      </c>
      <c r="I1" s="1212">
        <f ca="1">F4/100</f>
        <v>1.4999999999999999E-2</v>
      </c>
      <c r="J1" s="1217">
        <f>IF(C1&gt;C13,0,MATCH(C1,C$13:C$113,-1))+IF(SUMIF(C13:C113,C1,D13:D113)=0,13,12)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3.35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3.35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3.35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3.35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3.85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3">
        <v>45495</v>
      </c>
      <c r="D13" s="1200">
        <v>3.35</v>
      </c>
      <c r="E13" s="1200">
        <f>D13</f>
        <v>3.35</v>
      </c>
      <c r="F13" s="1200">
        <f>D13</f>
        <v>3.35</v>
      </c>
      <c r="G13" s="1200">
        <f>D13</f>
        <v>3.35</v>
      </c>
      <c r="H13" s="1200">
        <v>3.85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45342</v>
      </c>
      <c r="D14" s="1204">
        <v>3.45</v>
      </c>
      <c r="E14" s="1204">
        <f>D14</f>
        <v>3.45</v>
      </c>
      <c r="F14" s="1204">
        <f>D14</f>
        <v>3.45</v>
      </c>
      <c r="G14" s="1204">
        <f>D14</f>
        <v>3.45</v>
      </c>
      <c r="H14" s="1204">
        <v>3.95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45159</v>
      </c>
      <c r="D15" s="1204">
        <v>3.45</v>
      </c>
      <c r="E15" s="1204">
        <f>D15</f>
        <v>3.45</v>
      </c>
      <c r="F15" s="1204">
        <f>D15</f>
        <v>3.45</v>
      </c>
      <c r="G15" s="1204">
        <f>D15</f>
        <v>3.45</v>
      </c>
      <c r="H15" s="1204">
        <v>4.2</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45097</v>
      </c>
      <c r="D16" s="1204">
        <v>3.55</v>
      </c>
      <c r="E16" s="1204">
        <f>D16</f>
        <v>3.55</v>
      </c>
      <c r="F16" s="1204">
        <f>D16</f>
        <v>3.55</v>
      </c>
      <c r="G16" s="1204">
        <f>D16</f>
        <v>3.55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44795</v>
      </c>
      <c r="D17" s="1204">
        <v>3.65</v>
      </c>
      <c r="E17" s="1204">
        <v>3.65</v>
      </c>
      <c r="F17" s="1204">
        <v>3.65</v>
      </c>
      <c r="G17" s="1204">
        <v>3.65</v>
      </c>
      <c r="H17" s="1204">
        <v>4.3</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44701</v>
      </c>
      <c r="D18" s="1204">
        <v>3.7</v>
      </c>
      <c r="E18" s="1204">
        <f>D18</f>
        <v>3.7</v>
      </c>
      <c r="F18" s="1204">
        <f>D18</f>
        <v>3.7</v>
      </c>
      <c r="G18" s="1204">
        <f>D18</f>
        <v>3.7</v>
      </c>
      <c r="H18" s="1204">
        <v>4.45</v>
      </c>
      <c r="I18" s="1200"/>
      <c r="J18" s="1200"/>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8"/>
      <c r="B19" s="1199"/>
      <c r="C19" s="1205">
        <v>44581</v>
      </c>
      <c r="D19" s="1204">
        <v>3.7</v>
      </c>
      <c r="E19" s="1204">
        <f>D19</f>
        <v>3.7</v>
      </c>
      <c r="F19" s="1204">
        <f>D19</f>
        <v>3.7</v>
      </c>
      <c r="G19" s="1204">
        <f>D19</f>
        <v>3.7</v>
      </c>
      <c r="H19" s="1204">
        <v>4.5999999999999996</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204"/>
      <c r="C20" s="1205">
        <v>44550</v>
      </c>
      <c r="D20" s="1204">
        <v>3.8</v>
      </c>
      <c r="E20" s="1204">
        <f>D20</f>
        <v>3.8</v>
      </c>
      <c r="F20" s="1204">
        <f>D20</f>
        <v>3.8</v>
      </c>
      <c r="G20" s="1204">
        <f>D20</f>
        <v>3.8</v>
      </c>
      <c r="H20" s="1204">
        <v>4.6500000000000004</v>
      </c>
      <c r="I20" s="1204"/>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204"/>
      <c r="C21" s="1205">
        <v>43941</v>
      </c>
      <c r="D21" s="1204">
        <v>3.85</v>
      </c>
      <c r="E21" s="1204">
        <v>3.85</v>
      </c>
      <c r="F21" s="1204">
        <v>3.85</v>
      </c>
      <c r="G21" s="1204">
        <v>3.85</v>
      </c>
      <c r="H21" s="1204">
        <v>4.6500000000000004</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43881</v>
      </c>
      <c r="D22" s="1204">
        <v>4.05</v>
      </c>
      <c r="E22" s="1204">
        <v>4.05</v>
      </c>
      <c r="F22" s="1204">
        <v>4.05</v>
      </c>
      <c r="G22" s="1204">
        <v>4.05</v>
      </c>
      <c r="H22" s="1204">
        <v>4.75</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4"/>
      <c r="B23" s="1204"/>
      <c r="C23" s="1205">
        <v>43789</v>
      </c>
      <c r="D23" s="1204">
        <v>4.1500000000000004</v>
      </c>
      <c r="E23" s="1204">
        <v>4.1500000000000004</v>
      </c>
      <c r="F23" s="1204">
        <v>4.1500000000000004</v>
      </c>
      <c r="G23" s="1204">
        <v>4.1500000000000004</v>
      </c>
      <c r="H23" s="1204">
        <v>4.8</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43728</v>
      </c>
      <c r="D24" s="1204">
        <v>4.2</v>
      </c>
      <c r="E24" s="1204">
        <v>4.2</v>
      </c>
      <c r="F24" s="1204">
        <v>4.2</v>
      </c>
      <c r="G24" s="1204">
        <v>4.2</v>
      </c>
      <c r="H24" s="1204">
        <v>4.8499999999999996</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ht="15.6">
      <c r="B25" s="1199" t="s">
        <v>2309</v>
      </c>
      <c r="C25" s="1206">
        <v>43697</v>
      </c>
      <c r="D25" s="2572">
        <v>4.25</v>
      </c>
      <c r="E25" s="2572">
        <v>4.25</v>
      </c>
      <c r="F25" s="2572">
        <v>4.25</v>
      </c>
      <c r="G25" s="2572">
        <v>4.25</v>
      </c>
      <c r="H25" s="2572">
        <v>4.8499999999999996</v>
      </c>
      <c r="I25" s="2572"/>
      <c r="J25" s="2572"/>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5.6">
      <c r="B26" s="2575"/>
      <c r="C26" s="2576">
        <v>42301</v>
      </c>
      <c r="D26" s="2577">
        <v>4.3499999999999996</v>
      </c>
      <c r="E26" s="2577">
        <v>4.3499999999999996</v>
      </c>
      <c r="F26" s="2577">
        <v>4.75</v>
      </c>
      <c r="G26" s="2577">
        <v>4.75</v>
      </c>
      <c r="H26" s="2577">
        <v>4.9000000000000004</v>
      </c>
      <c r="I26" s="2577"/>
      <c r="J26" s="2577"/>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42242</v>
      </c>
      <c r="D27" s="1204">
        <v>4.5999999999999996</v>
      </c>
      <c r="E27" s="1204">
        <v>4.5999999999999996</v>
      </c>
      <c r="F27" s="1204">
        <v>5</v>
      </c>
      <c r="G27" s="1204">
        <v>5</v>
      </c>
      <c r="H27" s="1204">
        <v>5.15</v>
      </c>
      <c r="I27" s="1204">
        <v>2.75</v>
      </c>
      <c r="J27" s="1204">
        <v>3.25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42183</v>
      </c>
      <c r="D28" s="1204">
        <v>4.8499999999999996</v>
      </c>
      <c r="E28" s="1204">
        <v>4.8499999999999996</v>
      </c>
      <c r="F28" s="1204">
        <v>5.25</v>
      </c>
      <c r="G28" s="1204">
        <v>5.25</v>
      </c>
      <c r="H28" s="1204">
        <v>5.4</v>
      </c>
      <c r="I28" s="1204">
        <v>3</v>
      </c>
      <c r="J28" s="1204">
        <v>3.5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42135</v>
      </c>
      <c r="D29" s="1204">
        <v>5.0999999999999996</v>
      </c>
      <c r="E29" s="1204">
        <v>5.0999999999999996</v>
      </c>
      <c r="F29" s="1204">
        <v>5.5</v>
      </c>
      <c r="G29" s="1204">
        <v>5.5</v>
      </c>
      <c r="H29" s="1204">
        <v>5.65</v>
      </c>
      <c r="I29" s="1204">
        <v>3.25</v>
      </c>
      <c r="J29" s="1204">
        <v>3.75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42064</v>
      </c>
      <c r="D30" s="1204">
        <v>5.35</v>
      </c>
      <c r="E30" s="1204">
        <v>5.35</v>
      </c>
      <c r="F30" s="1204">
        <v>5.75</v>
      </c>
      <c r="G30" s="1204">
        <v>5.75</v>
      </c>
      <c r="H30" s="1204">
        <v>5.9</v>
      </c>
      <c r="I30" s="1204"/>
      <c r="J30" s="1204"/>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41965</v>
      </c>
      <c r="D31" s="1204">
        <v>5.6</v>
      </c>
      <c r="E31" s="1204">
        <v>5.6</v>
      </c>
      <c r="F31" s="1204">
        <v>6</v>
      </c>
      <c r="G31" s="1204">
        <v>6</v>
      </c>
      <c r="H31" s="1204">
        <v>6.15</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41096</v>
      </c>
      <c r="D32" s="1204">
        <v>5.6</v>
      </c>
      <c r="E32" s="1204">
        <v>6</v>
      </c>
      <c r="F32" s="1204">
        <v>6.15</v>
      </c>
      <c r="G32" s="1204">
        <v>6.4</v>
      </c>
      <c r="H32" s="1204">
        <v>6.55</v>
      </c>
      <c r="I32" s="1204">
        <v>4</v>
      </c>
      <c r="J32" s="1204">
        <v>4.5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41068</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40731</v>
      </c>
      <c r="D34" s="1204">
        <v>6.1</v>
      </c>
      <c r="E34" s="1204">
        <v>6.56</v>
      </c>
      <c r="F34" s="1204">
        <v>6.65</v>
      </c>
      <c r="G34" s="1204">
        <v>6.9</v>
      </c>
      <c r="H34" s="1204">
        <v>7.05</v>
      </c>
      <c r="I34" s="1204">
        <v>4.45</v>
      </c>
      <c r="J34" s="1204">
        <v>4.9000000000000004</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40639</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40583</v>
      </c>
      <c r="D36" s="1204">
        <v>5.6</v>
      </c>
      <c r="E36" s="1204">
        <v>6.06</v>
      </c>
      <c r="F36" s="1204">
        <v>6.1</v>
      </c>
      <c r="G36" s="1204">
        <v>6.45</v>
      </c>
      <c r="H36" s="1204">
        <v>6.6</v>
      </c>
      <c r="I36" s="1204">
        <v>4</v>
      </c>
      <c r="J36" s="1204">
        <v>4.5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40538</v>
      </c>
      <c r="D37" s="1204">
        <v>5.35</v>
      </c>
      <c r="E37" s="1204">
        <v>5.81</v>
      </c>
      <c r="F37" s="1204">
        <v>5.85</v>
      </c>
      <c r="G37" s="1204">
        <v>6.22</v>
      </c>
      <c r="H37" s="1204">
        <v>6.4</v>
      </c>
      <c r="I37" s="1204">
        <v>3.75</v>
      </c>
      <c r="J37" s="1204">
        <v>4.3</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40471</v>
      </c>
      <c r="D38" s="1204">
        <v>5.0999999999999996</v>
      </c>
      <c r="E38" s="1204">
        <v>5.56</v>
      </c>
      <c r="F38" s="1204">
        <v>5.6</v>
      </c>
      <c r="G38" s="1204">
        <v>5.96</v>
      </c>
      <c r="H38" s="1204">
        <v>6.14</v>
      </c>
      <c r="I38" s="1204">
        <v>3.5</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39805</v>
      </c>
      <c r="D39" s="1204">
        <v>4.8600000000000003</v>
      </c>
      <c r="E39" s="1204">
        <v>5.31</v>
      </c>
      <c r="F39" s="1204">
        <v>5.4</v>
      </c>
      <c r="G39" s="1204">
        <v>5.76</v>
      </c>
      <c r="H39" s="1204">
        <v>5.94</v>
      </c>
      <c r="I39" s="1204">
        <v>3.33</v>
      </c>
      <c r="J39" s="1204">
        <v>3.87</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39779</v>
      </c>
      <c r="D40" s="1204">
        <v>5.04</v>
      </c>
      <c r="E40" s="1204">
        <v>5.58</v>
      </c>
      <c r="F40" s="1204">
        <v>5.67</v>
      </c>
      <c r="G40" s="1204">
        <v>5.94</v>
      </c>
      <c r="H40" s="1204">
        <v>6.12</v>
      </c>
      <c r="I40" s="1204">
        <v>3.51</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39751</v>
      </c>
      <c r="D41" s="1204">
        <v>6.03</v>
      </c>
      <c r="E41" s="1204">
        <v>6.66</v>
      </c>
      <c r="F41" s="1204">
        <v>6.75</v>
      </c>
      <c r="G41" s="1204">
        <v>7.02</v>
      </c>
      <c r="H41" s="1204">
        <v>7.2</v>
      </c>
      <c r="I41" s="1204">
        <v>4.05</v>
      </c>
      <c r="J41" s="1204">
        <v>4.59</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6">
        <v>39748</v>
      </c>
      <c r="D42" s="1204">
        <v>6.12</v>
      </c>
      <c r="E42" s="1204">
        <v>6.93</v>
      </c>
      <c r="F42" s="1204">
        <v>7.02</v>
      </c>
      <c r="G42" s="1204">
        <v>7.29</v>
      </c>
      <c r="H42" s="1204">
        <v>7.47</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39730</v>
      </c>
      <c r="D43" s="1204">
        <v>6.12</v>
      </c>
      <c r="E43" s="1204">
        <v>6.93</v>
      </c>
      <c r="F43" s="1204">
        <v>7.02</v>
      </c>
      <c r="G43" s="1204">
        <v>7.29</v>
      </c>
      <c r="H43" s="1204">
        <v>7.47</v>
      </c>
      <c r="I43" s="1204">
        <v>4.32</v>
      </c>
      <c r="J43" s="1204">
        <v>4.8600000000000003</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39707</v>
      </c>
      <c r="D44" s="1204">
        <v>6.21</v>
      </c>
      <c r="E44" s="1204">
        <v>7.2</v>
      </c>
      <c r="F44" s="1204">
        <v>7.29</v>
      </c>
      <c r="G44" s="1204">
        <v>7.56</v>
      </c>
      <c r="H44" s="1204">
        <v>7.74</v>
      </c>
      <c r="I44" s="1204">
        <v>4.59</v>
      </c>
      <c r="J44" s="1204">
        <v>5.13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39437</v>
      </c>
      <c r="D45" s="1204">
        <v>6.57</v>
      </c>
      <c r="E45" s="1204">
        <v>7.47</v>
      </c>
      <c r="F45" s="1204">
        <v>7.56</v>
      </c>
      <c r="G45" s="1204">
        <v>7.74</v>
      </c>
      <c r="H45" s="1204">
        <v>7.83</v>
      </c>
      <c r="I45" s="1204">
        <v>4.7699999999999996</v>
      </c>
      <c r="J45" s="1204">
        <v>5.22</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39340</v>
      </c>
      <c r="D46" s="1204">
        <v>6.48</v>
      </c>
      <c r="E46" s="1204">
        <v>7.29</v>
      </c>
      <c r="F46" s="1204">
        <v>7.47</v>
      </c>
      <c r="G46" s="1204">
        <v>7.65</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39316</v>
      </c>
      <c r="D47" s="1204">
        <v>6.21</v>
      </c>
      <c r="E47" s="1204">
        <v>7.02</v>
      </c>
      <c r="F47" s="1204">
        <v>7.2</v>
      </c>
      <c r="G47" s="1204">
        <v>7.38</v>
      </c>
      <c r="H47" s="1204">
        <v>7.56</v>
      </c>
      <c r="I47" s="1204">
        <v>4.59</v>
      </c>
      <c r="J47" s="1204">
        <v>5.04</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39284</v>
      </c>
      <c r="D48" s="1204">
        <v>6.03</v>
      </c>
      <c r="E48" s="1204">
        <v>6.84</v>
      </c>
      <c r="F48" s="1204">
        <v>7.02</v>
      </c>
      <c r="G48" s="1204">
        <v>7.2</v>
      </c>
      <c r="H48" s="1204">
        <v>7.38</v>
      </c>
      <c r="I48" s="1204">
        <v>4.5</v>
      </c>
      <c r="J48" s="1204">
        <v>4.95</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39221</v>
      </c>
      <c r="D49" s="1204">
        <v>5.85</v>
      </c>
      <c r="E49" s="1204">
        <v>6.57</v>
      </c>
      <c r="F49" s="1204">
        <v>6.75</v>
      </c>
      <c r="G49" s="1204">
        <v>6.93</v>
      </c>
      <c r="H49" s="1204">
        <v>7.2</v>
      </c>
      <c r="I49" s="1204">
        <v>4.41</v>
      </c>
      <c r="J49" s="1204">
        <v>4.8600000000000003</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39159</v>
      </c>
      <c r="D50" s="1204">
        <v>5.67</v>
      </c>
      <c r="E50" s="1204">
        <v>6.39</v>
      </c>
      <c r="F50" s="1204">
        <v>6.57</v>
      </c>
      <c r="G50" s="1204">
        <v>6.75</v>
      </c>
      <c r="H50" s="1204">
        <v>7.11</v>
      </c>
      <c r="I50" s="1204">
        <v>4.32</v>
      </c>
      <c r="J50" s="1204">
        <v>4.7699999999999996</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38948</v>
      </c>
      <c r="D51" s="1204">
        <v>5.58</v>
      </c>
      <c r="E51" s="1204">
        <v>6.12</v>
      </c>
      <c r="F51" s="1204">
        <v>6.3</v>
      </c>
      <c r="G51" s="1204">
        <v>6.48</v>
      </c>
      <c r="H51" s="1204">
        <v>6.84</v>
      </c>
      <c r="I51" s="1204">
        <v>4.1399999999999997</v>
      </c>
      <c r="J51" s="1204">
        <v>4.59</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38835</v>
      </c>
      <c r="D52" s="1204">
        <v>5.4</v>
      </c>
      <c r="E52" s="1204">
        <v>5.85</v>
      </c>
      <c r="F52" s="1204">
        <v>6.03</v>
      </c>
      <c r="G52" s="1204">
        <v>6.12</v>
      </c>
      <c r="H52" s="1204">
        <v>6.39</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38428</v>
      </c>
      <c r="D53" s="1204">
        <v>5.22</v>
      </c>
      <c r="E53" s="1204">
        <v>5.58</v>
      </c>
      <c r="F53" s="1204">
        <v>5.76</v>
      </c>
      <c r="G53" s="1204">
        <v>5.85</v>
      </c>
      <c r="H53" s="1204">
        <v>6.12</v>
      </c>
      <c r="I53" s="1204">
        <v>3.96</v>
      </c>
      <c r="J53" s="1204">
        <v>4.41</v>
      </c>
      <c r="L53" s="1204"/>
      <c r="M53" s="1205"/>
      <c r="N53" s="1204"/>
      <c r="O53" s="1204"/>
      <c r="P53" s="1204"/>
      <c r="Q53" s="1204"/>
      <c r="R53" s="1204"/>
      <c r="S53" s="1204"/>
      <c r="T53" s="1204"/>
      <c r="U53" s="1204"/>
      <c r="V53" s="1204"/>
      <c r="W53" s="1204"/>
      <c r="X53" s="1204"/>
      <c r="Y53" s="1204"/>
      <c r="Z53" s="1204"/>
    </row>
    <row r="54" spans="2:26">
      <c r="B54" s="1204"/>
      <c r="C54" s="1205">
        <v>38289</v>
      </c>
      <c r="D54" s="1204">
        <v>5.22</v>
      </c>
      <c r="E54" s="1204">
        <v>5.58</v>
      </c>
      <c r="F54" s="1204">
        <v>5.76</v>
      </c>
      <c r="G54" s="1204">
        <v>5.85</v>
      </c>
      <c r="H54" s="1204">
        <v>6.12</v>
      </c>
      <c r="I54" s="1204">
        <v>3.78</v>
      </c>
      <c r="J54" s="1204">
        <v>4.2300000000000004</v>
      </c>
      <c r="L54" s="1204"/>
      <c r="M54" s="1205"/>
      <c r="N54" s="1204"/>
      <c r="O54" s="1204"/>
      <c r="P54" s="1204"/>
      <c r="Q54" s="1204"/>
      <c r="R54" s="1204"/>
      <c r="S54" s="1204"/>
      <c r="T54" s="1204"/>
      <c r="U54" s="1204"/>
      <c r="V54" s="1204"/>
      <c r="W54" s="1204"/>
      <c r="X54" s="1204"/>
      <c r="Y54" s="1204"/>
      <c r="Z54" s="1204"/>
    </row>
    <row r="55" spans="2:26">
      <c r="B55" s="1204"/>
      <c r="C55" s="1205">
        <v>37308</v>
      </c>
      <c r="D55" s="1204">
        <v>5.04</v>
      </c>
      <c r="E55" s="1204">
        <v>5.31</v>
      </c>
      <c r="F55" s="1204">
        <v>5.49</v>
      </c>
      <c r="G55" s="1204">
        <v>5.58</v>
      </c>
      <c r="H55" s="1204">
        <v>5.76</v>
      </c>
      <c r="I55" s="1204">
        <v>3.6</v>
      </c>
      <c r="J55" s="1204">
        <v>4.05</v>
      </c>
      <c r="L55" s="1204"/>
      <c r="M55" s="1205"/>
      <c r="N55" s="1204"/>
      <c r="O55" s="1204"/>
      <c r="P55" s="1204"/>
      <c r="Q55" s="1204"/>
      <c r="R55" s="1204"/>
      <c r="S55" s="1204"/>
      <c r="T55" s="1204"/>
      <c r="U55" s="1204"/>
      <c r="V55" s="1204"/>
      <c r="W55" s="1204"/>
      <c r="X55" s="1204"/>
      <c r="Y55" s="1204"/>
      <c r="Z55" s="1204"/>
    </row>
    <row r="56" spans="2:26">
      <c r="B56" s="1204"/>
      <c r="C56" s="1205">
        <v>36321</v>
      </c>
      <c r="D56" s="1204">
        <v>5.58</v>
      </c>
      <c r="E56" s="1204">
        <v>5.85</v>
      </c>
      <c r="F56" s="1204">
        <v>5.94</v>
      </c>
      <c r="G56" s="1204">
        <v>6.03</v>
      </c>
      <c r="H56" s="1204">
        <v>6.21</v>
      </c>
      <c r="I56" s="1204">
        <v>4.1399999999999997</v>
      </c>
      <c r="J56" s="1204">
        <v>4.59</v>
      </c>
      <c r="L56" s="1204"/>
      <c r="M56" s="1205"/>
      <c r="N56" s="1204"/>
      <c r="O56" s="1204"/>
      <c r="P56" s="1204"/>
      <c r="Q56" s="1204"/>
      <c r="R56" s="1204"/>
      <c r="S56" s="1204"/>
      <c r="T56" s="1204"/>
      <c r="U56" s="1204"/>
      <c r="V56" s="1204"/>
      <c r="W56" s="1204"/>
      <c r="X56" s="1204"/>
      <c r="Y56" s="1204"/>
      <c r="Z56" s="1204"/>
    </row>
    <row r="57" spans="2:26">
      <c r="B57" s="1204"/>
      <c r="C57" s="1205">
        <v>36136</v>
      </c>
      <c r="D57" s="1204">
        <v>6.12</v>
      </c>
      <c r="E57" s="1204">
        <v>6.39</v>
      </c>
      <c r="F57" s="1204">
        <v>6.66</v>
      </c>
      <c r="G57" s="1204">
        <v>7.2</v>
      </c>
      <c r="H57" s="1204">
        <v>7.56</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35977</v>
      </c>
      <c r="D58" s="1204">
        <v>6.57</v>
      </c>
      <c r="E58" s="1204">
        <v>6.93</v>
      </c>
      <c r="F58" s="1204">
        <v>7.11</v>
      </c>
      <c r="G58" s="1204">
        <v>7.65</v>
      </c>
      <c r="H58" s="1204">
        <v>8.01</v>
      </c>
      <c r="I58" s="1204">
        <v>0</v>
      </c>
      <c r="J58" s="1204">
        <v>0</v>
      </c>
    </row>
    <row r="59" spans="2:26">
      <c r="B59" s="1204"/>
      <c r="C59" s="1205">
        <v>35879</v>
      </c>
      <c r="D59" s="1204">
        <v>7.02</v>
      </c>
      <c r="E59" s="1204">
        <v>7.92</v>
      </c>
      <c r="F59" s="1204">
        <v>9</v>
      </c>
      <c r="G59" s="1204">
        <v>9.7200000000000006</v>
      </c>
      <c r="H59" s="1204">
        <v>10.35</v>
      </c>
      <c r="I59" s="1204">
        <v>0</v>
      </c>
      <c r="J59" s="1204">
        <v>0</v>
      </c>
    </row>
    <row r="60" spans="2:26">
      <c r="B60" s="1204"/>
      <c r="C60" s="1205">
        <v>35726</v>
      </c>
      <c r="D60" s="1204">
        <v>7.65</v>
      </c>
      <c r="E60" s="1204">
        <v>8.64</v>
      </c>
      <c r="F60" s="1204">
        <v>9.36</v>
      </c>
      <c r="G60" s="1204">
        <v>9.9</v>
      </c>
      <c r="H60" s="1204">
        <v>10.53</v>
      </c>
      <c r="I60" s="1204">
        <v>0</v>
      </c>
      <c r="J60" s="1204">
        <v>0</v>
      </c>
    </row>
    <row r="61" spans="2:26">
      <c r="B61" s="1204"/>
      <c r="C61" s="1205">
        <v>35300</v>
      </c>
      <c r="D61" s="1204">
        <v>9.18</v>
      </c>
      <c r="E61" s="1204">
        <v>10.08</v>
      </c>
      <c r="F61" s="1204">
        <v>10.98</v>
      </c>
      <c r="G61" s="1204">
        <v>11.7</v>
      </c>
      <c r="H61" s="1204">
        <v>12.42</v>
      </c>
      <c r="I61" s="1204">
        <v>0</v>
      </c>
      <c r="J61" s="1204">
        <v>0</v>
      </c>
    </row>
    <row r="62" spans="2:26">
      <c r="B62" s="1204"/>
      <c r="C62" s="1205">
        <v>35186</v>
      </c>
      <c r="D62" s="1204">
        <v>9.7200000000000006</v>
      </c>
      <c r="E62" s="1204">
        <v>10.98</v>
      </c>
      <c r="F62" s="1204">
        <v>13.14</v>
      </c>
      <c r="G62" s="1204">
        <v>14.94</v>
      </c>
      <c r="H62" s="1204">
        <v>15.12</v>
      </c>
      <c r="I62" s="1204">
        <v>0</v>
      </c>
      <c r="J62" s="1204">
        <v>0</v>
      </c>
    </row>
    <row r="63" spans="2:26">
      <c r="B63" s="1204"/>
      <c r="C63" s="1205">
        <v>34881</v>
      </c>
      <c r="D63" s="1204">
        <v>10.08</v>
      </c>
      <c r="E63" s="1204">
        <v>12.06</v>
      </c>
      <c r="F63" s="1204">
        <v>13.5</v>
      </c>
      <c r="G63" s="1204">
        <v>15.12</v>
      </c>
      <c r="H63" s="1204">
        <v>15.3</v>
      </c>
      <c r="I63" s="1204">
        <v>0</v>
      </c>
      <c r="J63" s="1204">
        <v>0</v>
      </c>
    </row>
    <row r="64" spans="2:26">
      <c r="B64" s="1204"/>
      <c r="C64" s="1205">
        <v>34700</v>
      </c>
      <c r="D64" s="1204">
        <v>9</v>
      </c>
      <c r="E64" s="1204">
        <v>10.98</v>
      </c>
      <c r="F64" s="1204">
        <v>12.96</v>
      </c>
      <c r="G64" s="1204">
        <v>14.58</v>
      </c>
      <c r="H64" s="1204">
        <v>14.76</v>
      </c>
      <c r="I64" s="1204">
        <v>0</v>
      </c>
      <c r="J64" s="1204">
        <v>0</v>
      </c>
    </row>
    <row r="65" spans="2:10">
      <c r="B65" s="1204"/>
      <c r="C65" s="1205">
        <v>34161</v>
      </c>
      <c r="D65" s="1204">
        <v>9</v>
      </c>
      <c r="E65" s="1204">
        <v>10.98</v>
      </c>
      <c r="F65" s="1204">
        <v>12.24</v>
      </c>
      <c r="G65" s="1204">
        <v>13.86</v>
      </c>
      <c r="H65" s="1204">
        <v>14.04</v>
      </c>
      <c r="I65" s="1204">
        <v>0</v>
      </c>
      <c r="J65" s="1204">
        <v>0</v>
      </c>
    </row>
    <row r="66" spans="2:10">
      <c r="B66" s="1204"/>
      <c r="C66" s="1205">
        <v>34104</v>
      </c>
      <c r="D66" s="1204">
        <v>8.82</v>
      </c>
      <c r="E66" s="1204">
        <v>9.36</v>
      </c>
      <c r="F66" s="1204">
        <v>10.8</v>
      </c>
      <c r="G66" s="1204">
        <v>12.06</v>
      </c>
      <c r="H66" s="1204">
        <v>12.24</v>
      </c>
      <c r="I66" s="1204">
        <v>0</v>
      </c>
      <c r="J66" s="1204">
        <v>0</v>
      </c>
    </row>
    <row r="67" spans="2:10">
      <c r="B67" s="1204"/>
      <c r="C67" s="1205">
        <v>33349</v>
      </c>
      <c r="D67" s="1204">
        <v>8.1</v>
      </c>
      <c r="E67" s="1204">
        <v>8.64</v>
      </c>
      <c r="F67" s="1204">
        <v>9</v>
      </c>
      <c r="G67" s="1204">
        <v>9.5399999999999991</v>
      </c>
      <c r="H67" s="1204">
        <v>9.7200000000000006</v>
      </c>
      <c r="I67" s="1204">
        <v>0</v>
      </c>
      <c r="J67" s="1204">
        <v>0</v>
      </c>
    </row>
    <row r="68" spans="2:10">
      <c r="B68" s="1204"/>
      <c r="C68" s="1205">
        <v>33318</v>
      </c>
      <c r="D68" s="1204">
        <v>9</v>
      </c>
      <c r="E68" s="1204">
        <v>10.08</v>
      </c>
      <c r="F68" s="1204">
        <v>10.8</v>
      </c>
      <c r="G68" s="1204">
        <v>11.52</v>
      </c>
      <c r="H68" s="1204">
        <v>11.88</v>
      </c>
      <c r="I68" s="1204" t="s">
        <v>633</v>
      </c>
      <c r="J68" s="1204" t="s">
        <v>633</v>
      </c>
    </row>
    <row r="69" spans="2:10">
      <c r="B69" s="1204"/>
      <c r="C69" s="1205">
        <v>33106</v>
      </c>
      <c r="D69" s="1204">
        <v>8.64</v>
      </c>
      <c r="E69" s="1204">
        <v>9.36</v>
      </c>
      <c r="F69" s="1204">
        <v>10.08</v>
      </c>
      <c r="G69" s="1204">
        <v>10.8</v>
      </c>
      <c r="H69" s="1204">
        <v>11.16</v>
      </c>
      <c r="I69" s="1204">
        <v>0</v>
      </c>
      <c r="J69" s="1204">
        <v>0</v>
      </c>
    </row>
    <row r="70" spans="2:10">
      <c r="B70" s="1204"/>
      <c r="C70" s="1205">
        <v>32540</v>
      </c>
      <c r="D70" s="1204">
        <v>11.34</v>
      </c>
      <c r="E70" s="1204">
        <v>11.34</v>
      </c>
      <c r="F70" s="1204">
        <v>12.78</v>
      </c>
      <c r="G70" s="1204">
        <v>14.4</v>
      </c>
      <c r="H70" s="1204">
        <v>19.260000000000002</v>
      </c>
      <c r="I70" s="1204">
        <v>0</v>
      </c>
      <c r="J70" s="1204">
        <v>0</v>
      </c>
    </row>
    <row r="71" spans="2:10">
      <c r="B71" s="1204"/>
      <c r="C71" s="1205"/>
      <c r="D71" s="1204"/>
      <c r="E71" s="1204"/>
      <c r="F71" s="1204"/>
      <c r="G71" s="1204"/>
      <c r="H71" s="1204"/>
      <c r="I71" s="1204"/>
      <c r="J71" s="1204"/>
    </row>
    <row r="72" spans="2:10">
      <c r="B72" s="1207"/>
      <c r="C72" s="1208"/>
      <c r="D72" s="1207"/>
      <c r="E72" s="1207"/>
      <c r="F72" s="1207"/>
      <c r="G72" s="1207"/>
      <c r="H72" s="1207"/>
      <c r="I72" s="1207"/>
      <c r="J72" s="1207"/>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158"/>
      <c r="C75" s="1158"/>
      <c r="D75" s="1158"/>
      <c r="E75" s="1158"/>
      <c r="F75" s="1158"/>
      <c r="G75" s="1158"/>
      <c r="H75" s="1158"/>
      <c r="I75" s="1158"/>
      <c r="J75" s="1158"/>
    </row>
    <row r="76" spans="2:10">
      <c r="B76" s="1158"/>
      <c r="C76" s="1158"/>
      <c r="D76" s="1158"/>
      <c r="E76" s="1158"/>
      <c r="F76" s="1158"/>
      <c r="G76" s="1158"/>
      <c r="H76" s="1158"/>
      <c r="I76" s="1158"/>
      <c r="J76" s="1158"/>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213" t="s">
        <v>949</v>
      </c>
      <c r="B1" s="3213"/>
      <c r="C1" s="3213"/>
      <c r="D1" s="3213"/>
    </row>
    <row r="2" spans="1:4" ht="17.399999999999999">
      <c r="A2" s="3214" t="s">
        <v>933</v>
      </c>
      <c r="B2" s="3214"/>
      <c r="C2" s="3214"/>
      <c r="D2" s="3214"/>
    </row>
    <row r="3" spans="1:4" ht="17.399999999999999">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7.399999999999999">
      <c r="A6" s="3214" t="s">
        <v>939</v>
      </c>
      <c r="B6" s="3214"/>
      <c r="C6" s="3214"/>
      <c r="D6" s="3214"/>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215" t="s">
        <v>942</v>
      </c>
      <c r="B11" s="3207"/>
      <c r="C11" s="3207"/>
      <c r="D11" s="3207"/>
    </row>
    <row r="12" spans="1:4" ht="15.6">
      <c r="A12" s="32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2"/>
      <c r="C12" s="3212"/>
      <c r="D12" s="3212"/>
    </row>
    <row r="13" spans="1:4" ht="30" customHeight="1">
      <c r="A13" s="3207" t="str">
        <f>IF(项目基本情况!B8="抵押","3.抵押双方在办理抵押登记手续时，应使用本公司出具的正式《房地产评估报告》，特提醒报告使用者注意。","——")</f>
        <v>——</v>
      </c>
      <c r="B13" s="3212"/>
      <c r="C13" s="3212"/>
      <c r="D13" s="3212"/>
    </row>
    <row r="14" spans="1:4" ht="15.75" customHeight="1">
      <c r="A14" s="3207" t="str">
        <f>IF(项目基本情况!B8="抵押","4.本次评估估价师所知悉的法定优先受偿款情况说明如下：","——")</f>
        <v>——</v>
      </c>
      <c r="B14" s="3212"/>
      <c r="C14" s="3212"/>
      <c r="D14" s="3212"/>
    </row>
    <row r="15" spans="1:4" ht="42" customHeight="1">
      <c r="A15" s="3207" t="str">
        <f>IF(项目基本情况!B8="抵押","（1）"&amp;CONCATENATE(项目基本情况!L20,项目基本情况!L21,项目基本情况!L22),"——")</f>
        <v>——</v>
      </c>
      <c r="B15" s="3207"/>
      <c r="C15" s="3207"/>
      <c r="D15" s="3207"/>
    </row>
    <row r="16" spans="1:4" ht="30" customHeight="1">
      <c r="A16" s="3209" t="s">
        <v>943</v>
      </c>
      <c r="B16" s="3209"/>
      <c r="C16" s="3209"/>
      <c r="D16" s="3209"/>
    </row>
    <row r="17" spans="1:4" ht="144" customHeight="1">
      <c r="A17" s="3209" t="s">
        <v>944</v>
      </c>
      <c r="B17" s="3209"/>
      <c r="C17" s="3209"/>
      <c r="D17" s="3209"/>
    </row>
    <row r="18" spans="1:4" ht="15.75" customHeight="1">
      <c r="A18" s="3207" t="str">
        <f>IF(项目基本情况!B8="抵押",结果表1号!K120,"——")</f>
        <v>——</v>
      </c>
      <c r="B18" s="3207"/>
      <c r="C18" s="3207"/>
      <c r="D18" s="3207"/>
    </row>
    <row r="19" spans="1:4" ht="46.5" customHeight="1">
      <c r="A19" s="32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7"/>
      <c r="C19" s="3207"/>
      <c r="D19" s="3207"/>
    </row>
    <row r="20" spans="1:4" ht="57.75" customHeight="1">
      <c r="A20" s="3207" t="str">
        <f>IF(结果表1号!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7"/>
      <c r="C20" s="3207"/>
      <c r="D20" s="3207"/>
    </row>
    <row r="21" spans="1:4" ht="57.75" customHeight="1">
      <c r="A21" s="3210" t="str">
        <f>IF(结果表1号!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0"/>
      <c r="C21" s="3210"/>
      <c r="D21" s="3210"/>
    </row>
    <row r="22" spans="1:4" ht="18.75" customHeight="1">
      <c r="A22" s="3211" t="s">
        <v>945</v>
      </c>
      <c r="B22" s="3211"/>
      <c r="C22" s="3211"/>
      <c r="D22" s="3211"/>
    </row>
    <row r="23" spans="1:4">
      <c r="A23" s="1414"/>
      <c r="B23" s="458"/>
      <c r="C23" s="458"/>
      <c r="D23" s="458"/>
    </row>
    <row r="24" spans="1:4">
      <c r="A24" s="1414"/>
      <c r="B24" s="458"/>
      <c r="C24" s="458"/>
      <c r="D24" s="458"/>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208">
        <v>42551</v>
      </c>
      <c r="D31" s="320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221" t="s">
        <v>956</v>
      </c>
      <c r="B15" s="3216" t="s">
        <v>109</v>
      </c>
      <c r="C15" s="3217"/>
    </row>
    <row r="16" spans="1:7" ht="14.4">
      <c r="A16" s="3222"/>
      <c r="B16" s="3216" t="s">
        <v>42</v>
      </c>
      <c r="C16" s="3217"/>
    </row>
    <row r="17" spans="1:3" ht="14.4">
      <c r="A17" s="3222"/>
      <c r="B17" s="3219" t="s">
        <v>957</v>
      </c>
      <c r="C17" s="1428" t="s">
        <v>956</v>
      </c>
    </row>
    <row r="18" spans="1:3" ht="14.4">
      <c r="A18" s="3222"/>
      <c r="B18" s="3219"/>
      <c r="C18" s="1428" t="s">
        <v>958</v>
      </c>
    </row>
    <row r="19" spans="1:3" ht="14.4">
      <c r="A19" s="3222"/>
      <c r="B19" s="3219"/>
      <c r="C19" s="1428" t="s">
        <v>959</v>
      </c>
    </row>
    <row r="20" spans="1:3" ht="14.4">
      <c r="A20" s="3223"/>
      <c r="B20" s="3218" t="s">
        <v>960</v>
      </c>
      <c r="C20" s="3217"/>
    </row>
    <row r="21" spans="1:3" ht="14.4">
      <c r="A21" s="1429" t="s">
        <v>961</v>
      </c>
      <c r="B21" s="1430"/>
      <c r="C21" s="1431"/>
    </row>
    <row r="22" spans="1:3" ht="14.4">
      <c r="A22" s="3220" t="s">
        <v>962</v>
      </c>
      <c r="B22" s="3218" t="s">
        <v>963</v>
      </c>
      <c r="C22" s="3217"/>
    </row>
    <row r="23" spans="1:3" ht="14.4">
      <c r="A23" s="3220"/>
      <c r="B23" s="3218" t="s">
        <v>964</v>
      </c>
      <c r="C23" s="3217"/>
    </row>
    <row r="24" spans="1:3" ht="14.4">
      <c r="A24" s="3220"/>
      <c r="B24" s="3218" t="s">
        <v>965</v>
      </c>
      <c r="C24" s="3217"/>
    </row>
    <row r="25" spans="1:3" ht="14.4">
      <c r="A25" s="3220"/>
      <c r="B25" s="3219" t="s">
        <v>966</v>
      </c>
      <c r="C25" s="1428" t="s">
        <v>967</v>
      </c>
    </row>
    <row r="26" spans="1:3" ht="14.4">
      <c r="A26" s="3220"/>
      <c r="B26" s="3219"/>
      <c r="C26" s="1428" t="s">
        <v>968</v>
      </c>
    </row>
    <row r="27" spans="1:3" ht="14.4">
      <c r="A27" s="3220"/>
      <c r="B27" s="3219"/>
      <c r="C27" s="1428" t="s">
        <v>969</v>
      </c>
    </row>
    <row r="28" spans="1:3" ht="14.4">
      <c r="A28" s="3220"/>
      <c r="B28" s="3219"/>
      <c r="C28" s="1428" t="s">
        <v>970</v>
      </c>
    </row>
    <row r="29" spans="1:3" ht="14.4">
      <c r="A29" s="3220"/>
      <c r="B29" s="3219"/>
      <c r="C29" s="1428" t="s">
        <v>971</v>
      </c>
    </row>
    <row r="30" spans="1:3" ht="14.4">
      <c r="A30" s="3220"/>
      <c r="B30" s="3219"/>
      <c r="C30" s="1428" t="s">
        <v>972</v>
      </c>
    </row>
    <row r="31" spans="1:3" ht="14.4">
      <c r="A31" s="3220"/>
      <c r="B31" s="3219"/>
      <c r="C31" s="1428" t="s">
        <v>973</v>
      </c>
    </row>
    <row r="32" spans="1:3" ht="14.4">
      <c r="A32" s="3220"/>
      <c r="B32" s="3219"/>
      <c r="C32" s="1428" t="s">
        <v>974</v>
      </c>
    </row>
    <row r="33" spans="1:3" ht="14.4">
      <c r="A33" s="3220"/>
      <c r="B33" s="3219"/>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45574</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f ca="1">IF(C9&lt;B2,"已过期",1120060040)</f>
        <v>1120060040</v>
      </c>
      <c r="C9" s="2166">
        <v>45592</v>
      </c>
      <c r="D9" s="2162" t="str">
        <f t="shared" ca="1" si="0"/>
        <v>陈颖（注册号：1120060040）</v>
      </c>
      <c r="E9" s="2163" t="s">
        <v>2153</v>
      </c>
      <c r="F9" s="1218">
        <f ca="1">IF(G9&lt;B2,"已过期",2004110096)</f>
        <v>2004110096</v>
      </c>
      <c r="G9" s="2164">
        <v>47118</v>
      </c>
      <c r="H9" s="2165" t="str">
        <f t="shared" ca="1" si="1"/>
        <v>陈颖（注册号：2004110096）</v>
      </c>
    </row>
    <row r="10" spans="1:8" ht="24" customHeight="1">
      <c r="A10" s="1218" t="s">
        <v>2154</v>
      </c>
      <c r="B10" s="1218">
        <f ca="1">IF(C10&lt;B2,"已过期",1120100036)</f>
        <v>1120100036</v>
      </c>
      <c r="C10" s="2166">
        <v>45752</v>
      </c>
      <c r="D10" s="2162" t="str">
        <f t="shared" ca="1" si="0"/>
        <v>崔锴（注册号：1120100036）</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2437</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24" t="s">
        <v>2160</v>
      </c>
      <c r="B17" s="3224"/>
      <c r="C17" s="3224"/>
      <c r="D17" s="3224"/>
      <c r="E17" s="3224"/>
      <c r="F17" s="3224"/>
      <c r="G17" s="3224"/>
      <c r="H17" s="3224"/>
    </row>
    <row r="18" spans="1:8" ht="24" customHeight="1">
      <c r="A18" s="3225" t="s">
        <v>2161</v>
      </c>
      <c r="B18" s="3225"/>
      <c r="C18" s="3225"/>
      <c r="D18" s="2159"/>
      <c r="E18" s="3226" t="s">
        <v>2162</v>
      </c>
      <c r="F18" s="3225"/>
      <c r="G18" s="3225"/>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90" priority="32" stopIfTrue="1" operator="equal">
      <formula>"已过期"</formula>
    </cfRule>
  </conditionalFormatting>
  <conditionalFormatting sqref="B4:B15">
    <cfRule type="cellIs" dxfId="189" priority="4" stopIfTrue="1" operator="equal">
      <formula>"已过期"</formula>
    </cfRule>
  </conditionalFormatting>
  <conditionalFormatting sqref="C7:C12">
    <cfRule type="expression" dxfId="188" priority="22">
      <formula>AND($C7-TODAY()&lt;30,TODAY()&lt;$C7)</formula>
    </cfRule>
    <cfRule type="cellIs" dxfId="187" priority="23" stopIfTrue="1" operator="lessThan">
      <formula>$B$2</formula>
    </cfRule>
  </conditionalFormatting>
  <conditionalFormatting sqref="C14:C15">
    <cfRule type="expression" dxfId="186" priority="7">
      <formula>AND($C14-TODAY()&lt;30,TODAY()&lt;$C14)</formula>
    </cfRule>
    <cfRule type="cellIs" dxfId="185" priority="8" stopIfTrue="1" operator="lessThan">
      <formula>$B$2</formula>
    </cfRule>
  </conditionalFormatting>
  <conditionalFormatting sqref="C4:D6 D14">
    <cfRule type="cellIs" dxfId="184" priority="50" stopIfTrue="1" operator="lessThan">
      <formula>$B$2</formula>
    </cfRule>
  </conditionalFormatting>
  <conditionalFormatting sqref="C12:D13">
    <cfRule type="expression" dxfId="183" priority="47">
      <formula>AND($C12-TODAY()&lt;30,TODAY()&lt;$C12)</formula>
    </cfRule>
  </conditionalFormatting>
  <conditionalFormatting sqref="C13:D14">
    <cfRule type="expression" dxfId="182" priority="18">
      <formula>AND($C13-TODAY()&lt;30,TODAY()&lt;$C13)</formula>
    </cfRule>
    <cfRule type="cellIs" dxfId="181" priority="19" stopIfTrue="1" operator="lessThan">
      <formula>$B$2</formula>
    </cfRule>
  </conditionalFormatting>
  <conditionalFormatting sqref="C15:D15">
    <cfRule type="expression" dxfId="180" priority="5">
      <formula>AND($C15-TODAY()&lt;30,TODAY()&lt;$C15)</formula>
    </cfRule>
    <cfRule type="cellIs" dxfId="179" priority="6" stopIfTrue="1" operator="lessThan">
      <formula>$B$2</formula>
    </cfRule>
  </conditionalFormatting>
  <conditionalFormatting sqref="C20:D20 C13:D13">
    <cfRule type="cellIs" dxfId="178" priority="54" stopIfTrue="1" operator="lessThan">
      <formula>$B$2</formula>
    </cfRule>
  </conditionalFormatting>
  <conditionalFormatting sqref="C20:D20">
    <cfRule type="expression" dxfId="177" priority="52">
      <formula>AND($C20-TODAY()&lt;30,TODAY()&lt;$C20)</formula>
    </cfRule>
  </conditionalFormatting>
  <conditionalFormatting sqref="D7:D12 D16">
    <cfRule type="expression" dxfId="176" priority="53">
      <formula>AND($C7-TODAY()&lt;30,TODAY()&lt;$C7)</formula>
    </cfRule>
  </conditionalFormatting>
  <conditionalFormatting sqref="D7:D12">
    <cfRule type="cellIs" dxfId="175" priority="48" stopIfTrue="1" operator="lessThan">
      <formula>$B$2</formula>
    </cfRule>
  </conditionalFormatting>
  <conditionalFormatting sqref="D14 C4:D6">
    <cfRule type="expression" dxfId="174" priority="49">
      <formula>AND($C4-TODAY()&lt;30,TODAY()&lt;$C4)</formula>
    </cfRule>
  </conditionalFormatting>
  <conditionalFormatting sqref="D15:D16">
    <cfRule type="expression" dxfId="173" priority="12">
      <formula>AND($C15-TODAY()&lt;30,TODAY()&lt;$C15)</formula>
    </cfRule>
    <cfRule type="cellIs" dxfId="172" priority="13" stopIfTrue="1" operator="lessThan">
      <formula>$B$2</formula>
    </cfRule>
  </conditionalFormatting>
  <conditionalFormatting sqref="E16:G16">
    <cfRule type="cellIs" dxfId="171" priority="31" stopIfTrue="1" operator="equal">
      <formula>"已过期"</formula>
    </cfRule>
  </conditionalFormatting>
  <conditionalFormatting sqref="F4:F15">
    <cfRule type="cellIs" dxfId="170" priority="9" stopIfTrue="1" operator="equal">
      <formula>"已过期"</formula>
    </cfRule>
  </conditionalFormatting>
  <conditionalFormatting sqref="G4:G15">
    <cfRule type="cellIs" dxfId="169" priority="3" stopIfTrue="1" operator="lessThan">
      <formula>$B$2</formula>
    </cfRule>
  </conditionalFormatting>
  <conditionalFormatting sqref="G20:G21">
    <cfRule type="expression" dxfId="168" priority="1" stopIfTrue="1">
      <formula>AND(#REF!-TODAY()&lt;30,TODAY()&lt;#REF!)</formula>
    </cfRule>
    <cfRule type="cellIs" dxfId="16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169</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中指文成商务中心</vt:lpstr>
      <vt:lpstr>项目基本情况</vt:lpstr>
      <vt:lpstr>数据-基础表</vt:lpstr>
      <vt:lpstr>数据-汇总表</vt:lpstr>
      <vt:lpstr>数据-取费表</vt:lpstr>
      <vt:lpstr>估价对象房地状况</vt:lpstr>
      <vt:lpstr>系统读取表</vt:lpstr>
      <vt:lpstr>成本法</vt:lpstr>
      <vt:lpstr>假设开发法</vt:lpstr>
      <vt:lpstr>收益法</vt:lpstr>
      <vt:lpstr>中指辉煌云上</vt:lpstr>
      <vt:lpstr>信息</vt:lpstr>
      <vt:lpstr>案例</vt:lpstr>
      <vt:lpstr>结果表1号</vt:lpstr>
      <vt:lpstr>比较法-商业1号</vt:lpstr>
      <vt:lpstr>收益法 (元)1号</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结果表2号</vt:lpstr>
      <vt:lpstr>比较法-商业2号</vt:lpstr>
      <vt:lpstr>收益法 (元)2号</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'比较法-商业1号'!Print_Area</vt:lpstr>
      <vt:lpstr>'比较法-商业2号'!Print_Area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结果表1号!Print_Area</vt:lpstr>
      <vt:lpstr>结果表2号!Print_Area</vt:lpstr>
      <vt:lpstr>收益法!Print_Area</vt:lpstr>
      <vt:lpstr>'收益法 (元)1号'!Print_Area</vt:lpstr>
      <vt:lpstr>'收益法 (元)2号'!Print_Area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'比较法-商业2号'!商业层高</vt:lpstr>
      <vt:lpstr>商业层高</vt:lpstr>
      <vt:lpstr>'比较法-商业2号'!商业成新度</vt:lpstr>
      <vt:lpstr>商业成新度</vt:lpstr>
      <vt:lpstr>商业繁华度</vt:lpstr>
      <vt:lpstr>'比较法-商业2号'!商业公共部分装修</vt:lpstr>
      <vt:lpstr>商业公共部分装修</vt:lpstr>
      <vt:lpstr>'比较法-商业2号'!商业基础设施水平</vt:lpstr>
      <vt:lpstr>商业基础设施水平</vt:lpstr>
      <vt:lpstr>'比较法-商业2号'!商业建筑结构</vt:lpstr>
      <vt:lpstr>商业建筑结构</vt:lpstr>
      <vt:lpstr>'比较法-商业2号'!商业交易情况</vt:lpstr>
      <vt:lpstr>商业交易情况</vt:lpstr>
      <vt:lpstr>商业街名称</vt:lpstr>
      <vt:lpstr>'比较法-商业2号'!商业进深比</vt:lpstr>
      <vt:lpstr>商业进深比</vt:lpstr>
      <vt:lpstr>'比较法-商业2号'!商业类型</vt:lpstr>
      <vt:lpstr>商业类型</vt:lpstr>
      <vt:lpstr>'比较法-商业2号'!商业临街状况</vt:lpstr>
      <vt:lpstr>商业临街状况</vt:lpstr>
      <vt:lpstr>'比较法-商业2号'!商业楼层</vt:lpstr>
      <vt:lpstr>商业楼层</vt:lpstr>
      <vt:lpstr>'比较法-商业2号'!商业内部装修</vt:lpstr>
      <vt:lpstr>商业内部装修</vt:lpstr>
      <vt:lpstr>'比较法-商业2号'!商业人流量</vt:lpstr>
      <vt:lpstr>商业人流量</vt:lpstr>
      <vt:lpstr>'比较法-商业2号'!商业业态</vt:lpstr>
      <vt:lpstr>商业业态</vt:lpstr>
      <vt:lpstr>'比较法-商业2号'!商业用途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2024-10-09T06:45:57Z</dcterms:modified>
</cp:coreProperties>
</file>