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珠市口二审-崔锴20230214-154733\"/>
    </mc:Choice>
  </mc:AlternateContent>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state="hidden" r:id="rId20"/>
    <sheet name="收益法-北京银行（万元）" sheetId="15" state="hidden" r:id="rId21"/>
    <sheet name="收益法-其他（万元）" sheetId="82" state="hidden" r:id="rId22"/>
    <sheet name="收益法-北京银行" sheetId="67" r:id="rId23"/>
    <sheet name="收益法-其他" sheetId="83" state="hidden" r:id="rId24"/>
    <sheet name="成本法" sheetId="68" r:id="rId25"/>
    <sheet name="基准地价修正" sheetId="43" r:id="rId26"/>
    <sheet name="成本法 (元)" sheetId="69" state="hidden" r:id="rId27"/>
    <sheet name="假设开发法" sheetId="12"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 name="租约" sheetId="81"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4">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7">假设开发法!$A$1:$K$32</definedName>
    <definedName name="_xlnm.Print_Area" localSheetId="17">结果表!$A$1:$I$127</definedName>
    <definedName name="_xlnm.Print_Area" localSheetId="19">'收益法（汇总）'!$A$1:$F$13</definedName>
    <definedName name="_xlnm.Print_Area" localSheetId="22">'收益法-北京银行'!$A$1:$F$43,'收益法-北京银行'!$H$3:$M$29,'收益法-北京银行'!$A$45:$F$71,'收益法-北京银行'!$I$46:$N$65</definedName>
    <definedName name="_xlnm.Print_Area" localSheetId="20">'收益法-北京银行（万元）'!$A$1:$F$43,'收益法-北京银行（万元）'!$H$3:$M$29,'收益法-北京银行（万元）'!$A$46:$F$71,'收益法-北京银行（万元）'!$I$46:$N$65</definedName>
    <definedName name="_xlnm.Print_Area" localSheetId="23">'收益法-其他'!$A$1:$F$43,'收益法-其他'!$H$3:$M$29,'收益法-其他'!$A$45:$F$71,'收益法-其他'!$I$46:$N$65</definedName>
    <definedName name="_xlnm.Print_Area" localSheetId="21">'收益法-其他（万元）'!$A$1:$F$43,'收益法-其他（万元）'!$H$3:$M$29,'收益法-其他（万元）'!$A$46:$F$71,'收益法-其他（万元）'!$I$46:$N$65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U6" i="1" l="1"/>
  <c r="F19" i="6"/>
  <c r="E104" i="33" l="1"/>
  <c r="Q72" i="83" l="1"/>
  <c r="Q59" i="83"/>
  <c r="K59" i="83"/>
  <c r="P74" i="83" s="1"/>
  <c r="F59" i="83"/>
  <c r="Q58" i="83"/>
  <c r="J52" i="83"/>
  <c r="Q51" i="83" s="1"/>
  <c r="J50" i="83"/>
  <c r="J49" i="83"/>
  <c r="M47" i="83"/>
  <c r="D46" i="83"/>
  <c r="F33" i="83"/>
  <c r="F61" i="83" s="1"/>
  <c r="F31" i="83"/>
  <c r="F23" i="83"/>
  <c r="D24" i="83" s="1"/>
  <c r="F21" i="83"/>
  <c r="F20" i="83"/>
  <c r="M19" i="83"/>
  <c r="F18" i="83"/>
  <c r="M17" i="83"/>
  <c r="F15" i="83"/>
  <c r="J52" i="67"/>
  <c r="J49" i="67"/>
  <c r="D22" i="83" l="1"/>
  <c r="D23" i="83"/>
  <c r="P61" i="83"/>
  <c r="G16" i="81" l="1"/>
  <c r="G15" i="81"/>
  <c r="J52" i="15"/>
  <c r="J52" i="82" s="1"/>
  <c r="J49" i="15"/>
  <c r="J49" i="82"/>
  <c r="C60" i="80" l="1"/>
  <c r="E58" i="80"/>
  <c r="T44" i="80"/>
  <c r="Q72" i="82"/>
  <c r="Q59" i="82"/>
  <c r="K59" i="82"/>
  <c r="P74" i="82" s="1"/>
  <c r="F59" i="82"/>
  <c r="Q58" i="82"/>
  <c r="Q51" i="82"/>
  <c r="J50" i="82"/>
  <c r="M47" i="82"/>
  <c r="D46" i="82"/>
  <c r="F33" i="82"/>
  <c r="F61" i="82" s="1"/>
  <c r="F31" i="82"/>
  <c r="F23" i="82"/>
  <c r="D23" i="82" s="1"/>
  <c r="F21" i="82"/>
  <c r="F20" i="82"/>
  <c r="M19" i="82"/>
  <c r="F18" i="82"/>
  <c r="M17" i="82"/>
  <c r="F15" i="82"/>
  <c r="I47" i="33"/>
  <c r="G47" i="33"/>
  <c r="E47" i="33"/>
  <c r="I33" i="33"/>
  <c r="G33" i="33"/>
  <c r="E33" i="33"/>
  <c r="G10" i="33"/>
  <c r="I10" i="33" s="1"/>
  <c r="F4" i="80"/>
  <c r="G4" i="80" s="1"/>
  <c r="F3" i="80"/>
  <c r="G3" i="80" s="1"/>
  <c r="F2" i="80"/>
  <c r="G2" i="80" s="1"/>
  <c r="C10" i="33"/>
  <c r="E10" i="33" s="1"/>
  <c r="F122" i="33"/>
  <c r="E122" i="33"/>
  <c r="D122" i="33"/>
  <c r="C122" i="33"/>
  <c r="G112" i="33"/>
  <c r="F112" i="33"/>
  <c r="E112" i="33"/>
  <c r="D112" i="33"/>
  <c r="C112" i="33"/>
  <c r="F104" i="33"/>
  <c r="G104" i="33" s="1"/>
  <c r="C89" i="33"/>
  <c r="G88" i="33"/>
  <c r="F88" i="33"/>
  <c r="E88" i="33"/>
  <c r="D88" i="33"/>
  <c r="C88" i="33"/>
  <c r="I5" i="33"/>
  <c r="G5" i="33"/>
  <c r="E5" i="33"/>
  <c r="D24" i="82" l="1"/>
  <c r="P61" i="82"/>
  <c r="D22" i="82"/>
  <c r="N6" i="1"/>
  <c r="C36" i="33" l="1"/>
  <c r="AD6" i="1"/>
  <c r="I5" i="81"/>
  <c r="I4" i="81"/>
  <c r="I3" i="81"/>
  <c r="O20" i="1"/>
  <c r="O22" i="1" s="1"/>
  <c r="N20" i="1"/>
  <c r="N22" i="1" s="1"/>
  <c r="G36" i="33" l="1"/>
  <c r="I36" i="33"/>
  <c r="E36" i="33"/>
  <c r="I13" i="4"/>
  <c r="B6" i="81" l="1"/>
  <c r="G6" i="81"/>
  <c r="B35" i="1" l="1"/>
  <c r="Y6" i="1"/>
  <c r="D3" i="4"/>
  <c r="F17" i="82" l="1"/>
  <c r="F17" i="83"/>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I34" i="79"/>
  <c r="AB33" i="79"/>
  <c r="AA33" i="79"/>
  <c r="Z33" i="79"/>
  <c r="N33" i="79"/>
  <c r="M33" i="79"/>
  <c r="T33" i="79" s="1"/>
  <c r="W33" i="79" s="1"/>
  <c r="L33" i="79"/>
  <c r="I33" i="79"/>
  <c r="AB32" i="79"/>
  <c r="AB23" i="79" s="1"/>
  <c r="AA32" i="79"/>
  <c r="Z32" i="79"/>
  <c r="N32" i="79"/>
  <c r="U32" i="79" s="1"/>
  <c r="M32" i="79"/>
  <c r="L32" i="79"/>
  <c r="I32" i="79"/>
  <c r="AB31" i="79"/>
  <c r="AA31" i="79"/>
  <c r="Z31" i="79"/>
  <c r="N31" i="79"/>
  <c r="M31" i="79"/>
  <c r="T31" i="79" s="1"/>
  <c r="W31" i="79" s="1"/>
  <c r="L31" i="79"/>
  <c r="I31" i="79"/>
  <c r="AB30" i="79"/>
  <c r="AA30" i="79"/>
  <c r="Z30" i="79"/>
  <c r="N30" i="79"/>
  <c r="U30" i="79" s="1"/>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Y9" i="79"/>
  <c r="O9" i="79"/>
  <c r="N9" i="79"/>
  <c r="M9" i="79"/>
  <c r="L9" i="79"/>
  <c r="K9" i="79"/>
  <c r="I9" i="79"/>
  <c r="AC5" i="79"/>
  <c r="AB5" i="79"/>
  <c r="AA5" i="79"/>
  <c r="AD5" i="79" s="1"/>
  <c r="Z5" i="79"/>
  <c r="Y5" i="79"/>
  <c r="O5" i="79"/>
  <c r="N5" i="79"/>
  <c r="U3" i="79" s="1"/>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23" i="79" l="1"/>
  <c r="AD33" i="79"/>
  <c r="S34" i="79"/>
  <c r="N3" i="79"/>
  <c r="T14" i="79"/>
  <c r="W14" i="79" s="1"/>
  <c r="Y3" i="79"/>
  <c r="V11" i="79"/>
  <c r="AA23" i="79"/>
  <c r="AD23" i="79" s="1"/>
  <c r="AD31" i="79"/>
  <c r="S32" i="79"/>
  <c r="S12" i="79"/>
  <c r="AA3" i="79"/>
  <c r="AD3" i="79" s="1"/>
  <c r="V14" i="79"/>
  <c r="N23" i="79"/>
  <c r="S10" i="79"/>
  <c r="U12" i="79"/>
  <c r="AD29" i="79"/>
  <c r="S30" i="79"/>
  <c r="S3" i="79"/>
  <c r="AC3" i="79"/>
  <c r="Z3" i="79"/>
  <c r="U10" i="79"/>
  <c r="R11" i="79"/>
  <c r="L23" i="79"/>
  <c r="L3" i="79"/>
  <c r="R5" i="79"/>
  <c r="V5" i="79"/>
  <c r="S13" i="79"/>
  <c r="U13" i="79"/>
  <c r="F10" i="1"/>
  <c r="AF6" i="1"/>
  <c r="Z6" i="1" s="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F24" i="71" s="1"/>
  <c r="F23" i="71" s="1"/>
  <c r="F22" i="71" s="1"/>
  <c r="P24" i="71"/>
  <c r="E24" i="71" s="1"/>
  <c r="E23" i="71" s="1"/>
  <c r="E22"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s="1"/>
  <c r="E68" i="71"/>
  <c r="P68" i="71" s="1"/>
  <c r="C68" i="71"/>
  <c r="B68" i="71"/>
  <c r="N68" i="71" s="1"/>
  <c r="F67" i="71"/>
  <c r="F66" i="71" s="1"/>
  <c r="Q66" i="71" s="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P41" i="71"/>
  <c r="E42" i="71" s="1"/>
  <c r="O41" i="71"/>
  <c r="C42" i="71" s="1"/>
  <c r="N41" i="71"/>
  <c r="B42" i="71" s="1"/>
  <c r="D41" i="71"/>
  <c r="Q40" i="71"/>
  <c r="P40" i="71"/>
  <c r="O40" i="71"/>
  <c r="N40" i="71"/>
  <c r="Q39" i="71"/>
  <c r="AB39" i="71" s="1"/>
  <c r="P39" i="71"/>
  <c r="AA39" i="71"/>
  <c r="O39" i="71"/>
  <c r="Y39" i="71"/>
  <c r="Z39" i="71" s="1"/>
  <c r="N39" i="71"/>
  <c r="X39" i="71" s="1"/>
  <c r="Q38" i="71"/>
  <c r="P38" i="71"/>
  <c r="O38" i="71"/>
  <c r="Y37" i="71" s="1"/>
  <c r="Z37" i="71" s="1"/>
  <c r="N38" i="71"/>
  <c r="Q37" i="71"/>
  <c r="F38" i="71" s="1"/>
  <c r="P37" i="71"/>
  <c r="AA37" i="71" s="1"/>
  <c r="O37" i="71"/>
  <c r="N37" i="71"/>
  <c r="B38" i="71" s="1"/>
  <c r="B39" i="71" s="1"/>
  <c r="B40" i="71" s="1"/>
  <c r="S40" i="71" s="1"/>
  <c r="D37" i="71"/>
  <c r="Q36" i="71"/>
  <c r="P36" i="71"/>
  <c r="O36" i="71"/>
  <c r="Y36" i="71" s="1"/>
  <c r="Z36" i="71" s="1"/>
  <c r="N36" i="71"/>
  <c r="Q35" i="71"/>
  <c r="P35" i="71"/>
  <c r="O35" i="71"/>
  <c r="N35" i="71"/>
  <c r="X35" i="71" s="1"/>
  <c r="Q34" i="71"/>
  <c r="P34" i="71"/>
  <c r="O34" i="71"/>
  <c r="Y34" i="71"/>
  <c r="Z34" i="71" s="1"/>
  <c r="N34" i="71"/>
  <c r="X34" i="71" s="1"/>
  <c r="Q33" i="71"/>
  <c r="F34" i="71" s="1"/>
  <c r="F35" i="71" s="1"/>
  <c r="F36" i="71" s="1"/>
  <c r="V36" i="71" s="1"/>
  <c r="P33" i="71"/>
  <c r="O33" i="71"/>
  <c r="Y32" i="71" s="1"/>
  <c r="Z32" i="71" s="1"/>
  <c r="N33" i="71"/>
  <c r="D33" i="71"/>
  <c r="Q32" i="71"/>
  <c r="P32" i="71"/>
  <c r="AA25" i="71" s="1"/>
  <c r="O32" i="71"/>
  <c r="N32" i="71"/>
  <c r="Q31" i="71"/>
  <c r="AB31" i="71" s="1"/>
  <c r="P31" i="71"/>
  <c r="AA31" i="71" s="1"/>
  <c r="O31" i="71"/>
  <c r="N31" i="71"/>
  <c r="Q30" i="71"/>
  <c r="P30" i="71"/>
  <c r="O30" i="71"/>
  <c r="N30" i="71"/>
  <c r="Q29" i="71"/>
  <c r="F30" i="71" s="1"/>
  <c r="P29" i="71"/>
  <c r="O29" i="71"/>
  <c r="N29" i="71"/>
  <c r="B30" i="71" s="1"/>
  <c r="B31" i="71" s="1"/>
  <c r="B32" i="71" s="1"/>
  <c r="S32" i="71" s="1"/>
  <c r="D29" i="71"/>
  <c r="O28" i="71"/>
  <c r="C28" i="71" s="1"/>
  <c r="N28" i="71"/>
  <c r="X26" i="71" s="1"/>
  <c r="B34" i="71"/>
  <c r="B35" i="71" s="1"/>
  <c r="B36" i="71" s="1"/>
  <c r="S36" i="71" s="1"/>
  <c r="E34" i="71"/>
  <c r="C30" i="71"/>
  <c r="C31" i="71" s="1"/>
  <c r="C34" i="71"/>
  <c r="C35" i="71" s="1"/>
  <c r="X36" i="71"/>
  <c r="C38" i="71"/>
  <c r="D38" i="71" s="1"/>
  <c r="X38" i="71"/>
  <c r="F51" i="71"/>
  <c r="F52" i="71" s="1"/>
  <c r="V52" i="71" s="1"/>
  <c r="B28" i="71"/>
  <c r="B27" i="71" s="1"/>
  <c r="B26" i="71" s="1"/>
  <c r="D30" i="71"/>
  <c r="P28" i="71"/>
  <c r="AA27" i="71" s="1"/>
  <c r="E59" i="71"/>
  <c r="E60" i="71" s="1"/>
  <c r="U60" i="71" s="1"/>
  <c r="Q65" i="71"/>
  <c r="E67" i="71"/>
  <c r="E66" i="71" s="1"/>
  <c r="Q28" i="71"/>
  <c r="F28" i="71" s="1"/>
  <c r="F27" i="71" s="1"/>
  <c r="F26" i="71" s="1"/>
  <c r="C59" i="71"/>
  <c r="D59" i="71" s="1"/>
  <c r="D58" i="71"/>
  <c r="C63" i="71"/>
  <c r="C64" i="71" s="1"/>
  <c r="Q67" i="71"/>
  <c r="T68" i="71"/>
  <c r="O68" i="71"/>
  <c r="D68" i="71"/>
  <c r="C67" i="71"/>
  <c r="O67" i="71" s="1"/>
  <c r="Q68" i="71"/>
  <c r="E71" i="71"/>
  <c r="E70" i="71"/>
  <c r="C75" i="71"/>
  <c r="C74" i="71" s="1"/>
  <c r="D74" i="71" s="1"/>
  <c r="D76" i="71"/>
  <c r="C79" i="71"/>
  <c r="C78" i="71" s="1"/>
  <c r="D78" i="71" s="1"/>
  <c r="E79" i="71"/>
  <c r="E78" i="71"/>
  <c r="D80" i="71"/>
  <c r="C83" i="71"/>
  <c r="D83" i="71" s="1"/>
  <c r="C87" i="71"/>
  <c r="C86" i="71" s="1"/>
  <c r="D86" i="71" s="1"/>
  <c r="T28" i="71"/>
  <c r="C27" i="71"/>
  <c r="C26" i="71" s="1"/>
  <c r="D26" i="71" s="1"/>
  <c r="AB28" i="71"/>
  <c r="E28" i="71"/>
  <c r="E27" i="71" s="1"/>
  <c r="E26" i="71" s="1"/>
  <c r="D28" i="71"/>
  <c r="C82" i="71"/>
  <c r="D82" i="71" s="1"/>
  <c r="D75" i="71"/>
  <c r="D87" i="71"/>
  <c r="D79" i="71"/>
  <c r="P67" i="71"/>
  <c r="D27" i="7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S25" i="40"/>
  <c r="S21" i="34"/>
  <c r="F94" i="40"/>
  <c r="G94" i="40" s="1"/>
  <c r="H25" i="40"/>
  <c r="AB25" i="40" s="1"/>
  <c r="J25" i="40"/>
  <c r="AC25" i="40" s="1"/>
  <c r="H29" i="39"/>
  <c r="AB29" i="39" s="1"/>
  <c r="J29" i="39"/>
  <c r="AC29" i="39" s="1"/>
  <c r="J18" i="36"/>
  <c r="AC18" i="36" s="1"/>
  <c r="H18" i="35"/>
  <c r="AB18" i="35" s="1"/>
  <c r="S18" i="35"/>
  <c r="J18" i="35"/>
  <c r="W18" i="35" s="1"/>
  <c r="H21" i="37"/>
  <c r="AB21" i="37" s="1"/>
  <c r="F21" i="37"/>
  <c r="AA21" i="37" s="1"/>
  <c r="H21" i="34"/>
  <c r="AB21" i="34" s="1"/>
  <c r="H21" i="33"/>
  <c r="U21" i="33" s="1"/>
  <c r="F21" i="33"/>
  <c r="S21" i="33" s="1"/>
  <c r="E83" i="21"/>
  <c r="F83" i="21" s="1"/>
  <c r="G83" i="21" s="1"/>
  <c r="H1" i="69"/>
  <c r="W25" i="40"/>
  <c r="U29" i="39"/>
  <c r="W29" i="39"/>
  <c r="W18" i="36"/>
  <c r="AB21" i="33"/>
  <c r="AC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L107" i="3" s="1"/>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A88" i="3" s="1"/>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L59" i="3" s="1"/>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A49" i="3" s="1"/>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A46" i="3" s="1"/>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A25" i="3" s="1"/>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A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A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A367" i="3" s="1"/>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A366" i="3" s="1"/>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A482" i="3" s="1"/>
  <c r="BG482" i="3"/>
  <c r="BF482" i="3"/>
  <c r="BE482" i="3"/>
  <c r="BD482" i="3"/>
  <c r="BC482" i="3"/>
  <c r="BB482" i="3"/>
  <c r="AX482" i="3"/>
  <c r="AW482" i="3"/>
  <c r="AV482" i="3"/>
  <c r="AC482" i="3"/>
  <c r="H482" i="3"/>
  <c r="BT481" i="3"/>
  <c r="BS481" i="3"/>
  <c r="BR481" i="3"/>
  <c r="BQ481" i="3"/>
  <c r="BP481" i="3"/>
  <c r="BL481" i="3" s="1"/>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A480" i="3" s="1"/>
  <c r="BG480" i="3"/>
  <c r="BF480" i="3"/>
  <c r="BE480" i="3"/>
  <c r="BD480" i="3"/>
  <c r="BC480" i="3"/>
  <c r="BB480" i="3"/>
  <c r="AX480" i="3"/>
  <c r="AW480" i="3"/>
  <c r="AV480" i="3"/>
  <c r="AC480" i="3"/>
  <c r="H480" i="3"/>
  <c r="BT479" i="3"/>
  <c r="BS479" i="3"/>
  <c r="BR479" i="3"/>
  <c r="BQ479" i="3"/>
  <c r="BP479" i="3"/>
  <c r="BL479" i="3" s="1"/>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A464" i="3" s="1"/>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A436" i="3" s="1"/>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A415" i="3" s="1"/>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L404" i="3" s="1"/>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L494" i="3" s="1"/>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L496" i="3" s="1"/>
  <c r="BS496" i="3"/>
  <c r="BT496" i="3"/>
  <c r="H497" i="3"/>
  <c r="AC497" i="3"/>
  <c r="BB497" i="3"/>
  <c r="BC497" i="3"/>
  <c r="BD497" i="3"/>
  <c r="BE497" i="3"/>
  <c r="BA497" i="3" s="1"/>
  <c r="BF497" i="3"/>
  <c r="BG497" i="3"/>
  <c r="BH497" i="3"/>
  <c r="BI497" i="3"/>
  <c r="BJ497" i="3"/>
  <c r="BK497" i="3"/>
  <c r="BM497" i="3"/>
  <c r="BN497" i="3"/>
  <c r="BL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L498" i="3" s="1"/>
  <c r="BT498" i="3"/>
  <c r="H499" i="3"/>
  <c r="AC499" i="3"/>
  <c r="BB499" i="3"/>
  <c r="BC499" i="3"/>
  <c r="BD499" i="3"/>
  <c r="BE499" i="3"/>
  <c r="BF499" i="3"/>
  <c r="BA499" i="3" s="1"/>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A508" i="3" s="1"/>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A519" i="3" s="1"/>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A522" i="3" s="1"/>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A529" i="3" s="1"/>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A532" i="3" s="1"/>
  <c r="AZ532" i="3" s="1"/>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H5" i="3" s="1"/>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E5"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L542" i="3" s="1"/>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A545" i="3" s="1"/>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L551" i="3" s="1"/>
  <c r="BS551" i="3"/>
  <c r="BT551" i="3"/>
  <c r="H552" i="3"/>
  <c r="AC552" i="3"/>
  <c r="G552" i="3" s="1"/>
  <c r="BB552" i="3"/>
  <c r="BC552" i="3"/>
  <c r="BD552" i="3"/>
  <c r="BE552" i="3"/>
  <c r="BA552" i="3" s="1"/>
  <c r="AZ552" i="3" s="1"/>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A560" i="3" s="1"/>
  <c r="BJ560" i="3"/>
  <c r="BK560" i="3"/>
  <c r="BM560" i="3"/>
  <c r="BN560" i="3"/>
  <c r="BO560" i="3"/>
  <c r="BP560" i="3"/>
  <c r="BQ560" i="3"/>
  <c r="BR560" i="3"/>
  <c r="BL560" i="3" s="1"/>
  <c r="AZ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A567" i="3" s="1"/>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A576" i="3" s="1"/>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N578" i="3"/>
  <c r="BO578" i="3"/>
  <c r="BP578" i="3"/>
  <c r="BQ578" i="3"/>
  <c r="BR578" i="3"/>
  <c r="BS578" i="3"/>
  <c r="BL578" i="3" s="1"/>
  <c r="BT578" i="3"/>
  <c r="H579" i="3"/>
  <c r="AC579" i="3"/>
  <c r="BB579" i="3"/>
  <c r="BC579" i="3"/>
  <c r="BD579" i="3"/>
  <c r="BE579" i="3"/>
  <c r="BF579" i="3"/>
  <c r="BG579" i="3"/>
  <c r="BH579" i="3"/>
  <c r="BI579" i="3"/>
  <c r="BJ579" i="3"/>
  <c r="BK579" i="3"/>
  <c r="BM579" i="3"/>
  <c r="BN579" i="3"/>
  <c r="BO579" i="3"/>
  <c r="BL579" i="3" s="1"/>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BL580" i="3" s="1"/>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A583" i="3" s="1"/>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09" i="39"/>
  <c r="F35" i="39" s="1"/>
  <c r="AA35" i="39" s="1"/>
  <c r="B111" i="39"/>
  <c r="J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c r="F40" i="40"/>
  <c r="Q39" i="40"/>
  <c r="Z39" i="40"/>
  <c r="Q38" i="40"/>
  <c r="Z38" i="40" s="1"/>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E71" i="37" s="1"/>
  <c r="F71" i="37" s="1"/>
  <c r="G71" i="37" s="1"/>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AC34" i="35" s="1"/>
  <c r="B77" i="35"/>
  <c r="B75" i="35"/>
  <c r="J24" i="35" s="1"/>
  <c r="AC24" i="35" s="1"/>
  <c r="B73" i="35"/>
  <c r="H23" i="35" s="1"/>
  <c r="U23" i="35" s="1"/>
  <c r="B57" i="35"/>
  <c r="J11" i="35" s="1"/>
  <c r="B61" i="35"/>
  <c r="F13" i="35" s="1"/>
  <c r="S13" i="35" s="1"/>
  <c r="B59" i="35"/>
  <c r="H12" i="35" s="1"/>
  <c r="U12" i="35" s="1"/>
  <c r="B131" i="34"/>
  <c r="B129" i="34"/>
  <c r="B127" i="34"/>
  <c r="H45" i="34" s="1"/>
  <c r="U45" i="34" s="1"/>
  <c r="B99" i="34"/>
  <c r="H32" i="34" s="1"/>
  <c r="B97" i="34"/>
  <c r="B95" i="34"/>
  <c r="J30" i="34" s="1"/>
  <c r="W30" i="34" s="1"/>
  <c r="B93" i="34"/>
  <c r="H29" i="34" s="1"/>
  <c r="AB29" i="34" s="1"/>
  <c r="B75" i="34"/>
  <c r="B73" i="34"/>
  <c r="B71" i="34"/>
  <c r="J12" i="34" s="1"/>
  <c r="W12" i="34" s="1"/>
  <c r="B130" i="33"/>
  <c r="J46" i="33" s="1"/>
  <c r="AC46" i="33" s="1"/>
  <c r="B128" i="33"/>
  <c r="H45" i="33" s="1"/>
  <c r="U45" i="33" s="1"/>
  <c r="B126" i="33"/>
  <c r="B98" i="33"/>
  <c r="J31" i="33" s="1"/>
  <c r="W31" i="33" s="1"/>
  <c r="B96" i="33"/>
  <c r="B94" i="33"/>
  <c r="B74" i="33"/>
  <c r="B72" i="33"/>
  <c r="B70" i="33"/>
  <c r="J12" i="33" s="1"/>
  <c r="D96" i="35"/>
  <c r="E96" i="35"/>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J41" i="33" s="1"/>
  <c r="W4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J39" i="33"/>
  <c r="AC39" i="33" s="1"/>
  <c r="Q38" i="33"/>
  <c r="Z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21" i="39"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F46" i="21" s="1"/>
  <c r="AA46" i="21" s="1"/>
  <c r="B128" i="21"/>
  <c r="B126" i="21"/>
  <c r="B98" i="21"/>
  <c r="H31" i="21"/>
  <c r="B96" i="21"/>
  <c r="B94" i="21"/>
  <c r="J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c r="F35" i="21"/>
  <c r="AA35" i="21"/>
  <c r="J10" i="21"/>
  <c r="AC10" i="21" s="1"/>
  <c r="H26" i="21"/>
  <c r="AB26" i="21" s="1"/>
  <c r="AB19" i="21"/>
  <c r="J19" i="21"/>
  <c r="W19" i="21" s="1"/>
  <c r="J12" i="21"/>
  <c r="AC12" i="21" s="1"/>
  <c r="H12" i="21"/>
  <c r="J26" i="21"/>
  <c r="W26" i="21" s="1"/>
  <c r="F26" i="21"/>
  <c r="S26" i="21" s="1"/>
  <c r="AB41" i="21"/>
  <c r="F45" i="39"/>
  <c r="S45" i="39" s="1"/>
  <c r="J45" i="39"/>
  <c r="W45" i="39" s="1"/>
  <c r="J44" i="39"/>
  <c r="H36" i="39"/>
  <c r="AB36" i="39" s="1"/>
  <c r="J35" i="39"/>
  <c r="AC35" i="39" s="1"/>
  <c r="W40" i="39"/>
  <c r="W25" i="37"/>
  <c r="W31" i="37"/>
  <c r="E103" i="37"/>
  <c r="F103" i="37" s="1"/>
  <c r="G103" i="37" s="1"/>
  <c r="H103" i="37" s="1"/>
  <c r="I103" i="37" s="1"/>
  <c r="J103" i="37" s="1"/>
  <c r="K103" i="37" s="1"/>
  <c r="L103" i="37" s="1"/>
  <c r="M103" i="37" s="1"/>
  <c r="U14" i="37"/>
  <c r="F29" i="36"/>
  <c r="AA29" i="36" s="1"/>
  <c r="F16" i="36"/>
  <c r="AA16" i="36" s="1"/>
  <c r="U9" i="36"/>
  <c r="U31" i="36"/>
  <c r="J33" i="36"/>
  <c r="AC33" i="36" s="1"/>
  <c r="H22" i="35"/>
  <c r="AB22" i="35" s="1"/>
  <c r="U31" i="35"/>
  <c r="W34" i="35"/>
  <c r="S31" i="35"/>
  <c r="F36" i="34"/>
  <c r="J35" i="34"/>
  <c r="H39" i="33"/>
  <c r="AB39" i="33" s="1"/>
  <c r="S40" i="33"/>
  <c r="H39" i="37"/>
  <c r="S27" i="35"/>
  <c r="F11" i="40"/>
  <c r="AA11" i="40" s="1"/>
  <c r="H11" i="40"/>
  <c r="AB11" i="40" s="1"/>
  <c r="AC40" i="40"/>
  <c r="AA9" i="40"/>
  <c r="AC9" i="40"/>
  <c r="U9" i="40"/>
  <c r="S34" i="40"/>
  <c r="U34" i="40"/>
  <c r="U40" i="40"/>
  <c r="F42" i="39"/>
  <c r="AA42" i="39" s="1"/>
  <c r="F41" i="39"/>
  <c r="S41" i="39" s="1"/>
  <c r="H40" i="39"/>
  <c r="AB40" i="39" s="1"/>
  <c r="H39" i="39"/>
  <c r="U39" i="39" s="1"/>
  <c r="S38" i="39"/>
  <c r="S34" i="39"/>
  <c r="H34" i="39"/>
  <c r="E108" i="39"/>
  <c r="H31" i="39"/>
  <c r="AB31" i="39" s="1"/>
  <c r="F31" i="39"/>
  <c r="AA31" i="39" s="1"/>
  <c r="E100" i="39"/>
  <c r="F100" i="39" s="1"/>
  <c r="G100"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C27" i="39"/>
  <c r="H11" i="39"/>
  <c r="C15" i="39"/>
  <c r="H11" i="21"/>
  <c r="U11" i="21" s="1"/>
  <c r="J11" i="21"/>
  <c r="W11" i="21" s="1"/>
  <c r="H37" i="40"/>
  <c r="U37" i="40" s="1"/>
  <c r="H36" i="40"/>
  <c r="AB36" i="40" s="1"/>
  <c r="F35" i="40"/>
  <c r="AA35" i="40" s="1"/>
  <c r="H23" i="40"/>
  <c r="AB23" i="40" s="1"/>
  <c r="H17" i="40"/>
  <c r="U17" i="40" s="1"/>
  <c r="J15" i="40"/>
  <c r="W15" i="40" s="1"/>
  <c r="J11" i="40"/>
  <c r="W11" i="40" s="1"/>
  <c r="AB8" i="39"/>
  <c r="AC12" i="34"/>
  <c r="AB12" i="35"/>
  <c r="AB12" i="36"/>
  <c r="F37" i="39"/>
  <c r="AA37" i="39" s="1"/>
  <c r="J34" i="36"/>
  <c r="W34" i="36" s="1"/>
  <c r="U30" i="36"/>
  <c r="J30" i="35"/>
  <c r="W30" i="35" s="1"/>
  <c r="H30" i="35"/>
  <c r="AB30" i="35" s="1"/>
  <c r="F22" i="35"/>
  <c r="AA22" i="35" s="1"/>
  <c r="H10" i="35"/>
  <c r="U10" i="35" s="1"/>
  <c r="AC16" i="36"/>
  <c r="F33" i="36"/>
  <c r="AA33" i="36" s="1"/>
  <c r="W30" i="36"/>
  <c r="H16" i="36"/>
  <c r="AB16"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c r="J33" i="37"/>
  <c r="AC33" i="37" s="1"/>
  <c r="U42" i="34"/>
  <c r="H40" i="34"/>
  <c r="U40" i="34"/>
  <c r="H36" i="34"/>
  <c r="U36" i="34" s="1"/>
  <c r="F37" i="34"/>
  <c r="AA37" i="34" s="1"/>
  <c r="F28" i="34"/>
  <c r="F27" i="34"/>
  <c r="F25" i="34"/>
  <c r="S25" i="34" s="1"/>
  <c r="H23" i="34"/>
  <c r="U23" i="34" s="1"/>
  <c r="J23" i="34"/>
  <c r="F19" i="34"/>
  <c r="H17" i="34"/>
  <c r="U17" i="34" s="1"/>
  <c r="F15" i="34"/>
  <c r="AA15" i="34" s="1"/>
  <c r="J15" i="34"/>
  <c r="H15" i="34"/>
  <c r="AB15" i="34" s="1"/>
  <c r="W8" i="34"/>
  <c r="F41" i="33"/>
  <c r="AA41" i="33" s="1"/>
  <c r="E113" i="33"/>
  <c r="F37" i="33" s="1"/>
  <c r="AA37" i="33" s="1"/>
  <c r="F32" i="33"/>
  <c r="AA32"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15" i="33"/>
  <c r="AB15" i="33" s="1"/>
  <c r="H11" i="33"/>
  <c r="AB11" i="33" s="1"/>
  <c r="F28" i="40"/>
  <c r="AA28" i="40"/>
  <c r="AA42" i="34"/>
  <c r="S42" i="34"/>
  <c r="AC38"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J44" i="21"/>
  <c r="AC44" i="21" s="1"/>
  <c r="H44" i="21"/>
  <c r="U44" i="21" s="1"/>
  <c r="F44" i="21"/>
  <c r="AA44" i="21" s="1"/>
  <c r="H28" i="33"/>
  <c r="U28" i="33" s="1"/>
  <c r="F28" i="33"/>
  <c r="AA28" i="33" s="1"/>
  <c r="J28" i="33"/>
  <c r="W28" i="33" s="1"/>
  <c r="F33" i="35"/>
  <c r="S33" i="35" s="1"/>
  <c r="J33" i="35"/>
  <c r="AC33" i="35" s="1"/>
  <c r="F30" i="35"/>
  <c r="S30" i="35" s="1"/>
  <c r="H10" i="36"/>
  <c r="AB10" i="36" s="1"/>
  <c r="J14" i="36"/>
  <c r="AC14" i="36"/>
  <c r="H14" i="36"/>
  <c r="U14" i="36" s="1"/>
  <c r="F28" i="36"/>
  <c r="AA28" i="36" s="1"/>
  <c r="J13" i="21"/>
  <c r="H29" i="21"/>
  <c r="U29" i="21" s="1"/>
  <c r="J31" i="21"/>
  <c r="AC31" i="21" s="1"/>
  <c r="F31" i="21"/>
  <c r="S31" i="21" s="1"/>
  <c r="J13" i="33"/>
  <c r="H13" i="33"/>
  <c r="U13" i="33" s="1"/>
  <c r="F13" i="33"/>
  <c r="S13" i="33" s="1"/>
  <c r="J29" i="33"/>
  <c r="AC29" i="33" s="1"/>
  <c r="H29" i="33"/>
  <c r="U29" i="33" s="1"/>
  <c r="F29" i="33"/>
  <c r="S29" i="33" s="1"/>
  <c r="H31" i="33"/>
  <c r="AB31" i="33" s="1"/>
  <c r="F31" i="33"/>
  <c r="F45" i="33"/>
  <c r="AA45" i="33" s="1"/>
  <c r="J14" i="34"/>
  <c r="W14" i="34" s="1"/>
  <c r="F14" i="34"/>
  <c r="S14" i="34" s="1"/>
  <c r="H14" i="34"/>
  <c r="H30" i="34"/>
  <c r="F30" i="34"/>
  <c r="S30" i="34" s="1"/>
  <c r="F32" i="34"/>
  <c r="J32" i="34"/>
  <c r="W32" i="34" s="1"/>
  <c r="H46" i="34"/>
  <c r="F46" i="34"/>
  <c r="J46" i="34"/>
  <c r="H11" i="35"/>
  <c r="AB11" i="35" s="1"/>
  <c r="F11" i="35"/>
  <c r="S11" i="35" s="1"/>
  <c r="J26" i="36"/>
  <c r="W26" i="36" s="1"/>
  <c r="H28" i="36"/>
  <c r="U28" i="36" s="1"/>
  <c r="H32" i="36"/>
  <c r="AB32" i="36" s="1"/>
  <c r="J32" i="36"/>
  <c r="W32" i="36" s="1"/>
  <c r="J11" i="36"/>
  <c r="AC11" i="36" s="1"/>
  <c r="H13" i="36"/>
  <c r="AB13" i="36" s="1"/>
  <c r="J13" i="36"/>
  <c r="F13" i="36"/>
  <c r="S13" i="36" s="1"/>
  <c r="E89" i="37"/>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44" i="33"/>
  <c r="J44" i="33"/>
  <c r="AC44" i="33" s="1"/>
  <c r="F44" i="33"/>
  <c r="S44" i="33" s="1"/>
  <c r="F46" i="33"/>
  <c r="AA46" i="33" s="1"/>
  <c r="H46" i="33"/>
  <c r="AB46" i="33" s="1"/>
  <c r="H13" i="34"/>
  <c r="U13" i="34" s="1"/>
  <c r="J13" i="34"/>
  <c r="W13" i="34" s="1"/>
  <c r="F13" i="34"/>
  <c r="AA13" i="34" s="1"/>
  <c r="F29" i="34"/>
  <c r="S29" i="34" s="1"/>
  <c r="J31" i="34"/>
  <c r="AC31" i="34" s="1"/>
  <c r="H31" i="34"/>
  <c r="AB31" i="34" s="1"/>
  <c r="F31" i="34"/>
  <c r="S31" i="34" s="1"/>
  <c r="J45" i="34"/>
  <c r="W45" i="34" s="1"/>
  <c r="F45" i="34"/>
  <c r="S45" i="34" s="1"/>
  <c r="H47" i="34"/>
  <c r="U47" i="34" s="1"/>
  <c r="F47" i="34"/>
  <c r="S47" i="34" s="1"/>
  <c r="J47" i="34"/>
  <c r="AC47" i="34"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U28" i="37" s="1"/>
  <c r="J38" i="37"/>
  <c r="AC38" i="37" s="1"/>
  <c r="F38" i="37"/>
  <c r="S38" i="37" s="1"/>
  <c r="F43" i="39"/>
  <c r="AA43" i="39" s="1"/>
  <c r="J14" i="39"/>
  <c r="AC14" i="39" s="1"/>
  <c r="F14" i="39"/>
  <c r="F12" i="40"/>
  <c r="S12" i="40" s="1"/>
  <c r="H12" i="40"/>
  <c r="AB12" i="40" s="1"/>
  <c r="H30" i="40"/>
  <c r="AB30" i="40"/>
  <c r="F33" i="40"/>
  <c r="AA33" i="40"/>
  <c r="H33" i="40"/>
  <c r="U33" i="40"/>
  <c r="J35" i="40"/>
  <c r="AC35" i="40" s="1"/>
  <c r="J37" i="40"/>
  <c r="AC37" i="40" s="1"/>
  <c r="J13" i="40"/>
  <c r="W13" i="40"/>
  <c r="F13" i="40"/>
  <c r="AA13" i="40" s="1"/>
  <c r="F14" i="37"/>
  <c r="S14" i="37"/>
  <c r="F27" i="37"/>
  <c r="AA27" i="37"/>
  <c r="F13" i="39"/>
  <c r="J13" i="39"/>
  <c r="W13" i="39" s="1"/>
  <c r="H13" i="39"/>
  <c r="AB13" i="39" s="1"/>
  <c r="H14" i="40"/>
  <c r="AB14" i="40" s="1"/>
  <c r="J14" i="40"/>
  <c r="W14" i="40" s="1"/>
  <c r="F14" i="40"/>
  <c r="AA14" i="40" s="1"/>
  <c r="J14" i="37"/>
  <c r="AC14" i="37" s="1"/>
  <c r="J27" i="37"/>
  <c r="AC27" i="37" s="1"/>
  <c r="AA14" i="33"/>
  <c r="J36" i="37"/>
  <c r="AC36" i="37" s="1"/>
  <c r="J10" i="36"/>
  <c r="AC10" i="36" s="1"/>
  <c r="AA14" i="37"/>
  <c r="AC30" i="34"/>
  <c r="AA14" i="34"/>
  <c r="AB45" i="33"/>
  <c r="W29" i="33"/>
  <c r="BA585" i="3"/>
  <c r="F17" i="21"/>
  <c r="AA17" i="21" s="1"/>
  <c r="H17" i="21"/>
  <c r="AB17" i="21" s="1"/>
  <c r="F15" i="21"/>
  <c r="S15" i="21" s="1"/>
  <c r="J41" i="39"/>
  <c r="W41" i="39" s="1"/>
  <c r="W35" i="39"/>
  <c r="U36" i="39"/>
  <c r="S35" i="39"/>
  <c r="G544" i="3"/>
  <c r="G540" i="3"/>
  <c r="G536" i="3"/>
  <c r="G535" i="3"/>
  <c r="G532" i="3"/>
  <c r="G531" i="3"/>
  <c r="G528" i="3"/>
  <c r="G527" i="3"/>
  <c r="G523" i="3"/>
  <c r="G518" i="3"/>
  <c r="G514" i="3"/>
  <c r="G504" i="3"/>
  <c r="G500" i="3"/>
  <c r="G496" i="3"/>
  <c r="G584" i="3"/>
  <c r="G580" i="3"/>
  <c r="G576" i="3"/>
  <c r="G568" i="3"/>
  <c r="G564" i="3"/>
  <c r="G560" i="3"/>
  <c r="G554" i="3"/>
  <c r="G550" i="3"/>
  <c r="BL584" i="3"/>
  <c r="AZ584" i="3" s="1"/>
  <c r="BL568" i="3"/>
  <c r="BL564" i="3"/>
  <c r="BL546" i="3"/>
  <c r="BL530" i="3"/>
  <c r="BL526" i="3"/>
  <c r="BL522" i="3"/>
  <c r="BL512" i="3"/>
  <c r="BL506" i="3"/>
  <c r="BL582" i="3"/>
  <c r="BL566" i="3"/>
  <c r="BL552" i="3"/>
  <c r="BL544" i="3"/>
  <c r="BL540" i="3"/>
  <c r="BL532" i="3"/>
  <c r="G525" i="3"/>
  <c r="BL524" i="3"/>
  <c r="BL518" i="3"/>
  <c r="BL510" i="3"/>
  <c r="BL504" i="3"/>
  <c r="G493" i="3"/>
  <c r="BA582" i="3"/>
  <c r="AZ582" i="3" s="1"/>
  <c r="BA570" i="3"/>
  <c r="AZ570" i="3" s="1"/>
  <c r="BA566" i="3"/>
  <c r="BA562" i="3"/>
  <c r="BA554" i="3"/>
  <c r="AZ554" i="3" s="1"/>
  <c r="BA544" i="3"/>
  <c r="AZ544" i="3" s="1"/>
  <c r="BA542" i="3"/>
  <c r="BA536" i="3"/>
  <c r="AZ536" i="3" s="1"/>
  <c r="BA534" i="3"/>
  <c r="AZ534" i="3" s="1"/>
  <c r="BA528" i="3"/>
  <c r="BA520" i="3"/>
  <c r="BA518" i="3"/>
  <c r="BA516" i="3"/>
  <c r="AZ516" i="3" s="1"/>
  <c r="BA512" i="3"/>
  <c r="AZ512" i="3"/>
  <c r="BA506" i="3"/>
  <c r="BA504" i="3"/>
  <c r="BA502" i="3"/>
  <c r="BA500" i="3"/>
  <c r="BA496" i="3"/>
  <c r="AZ496" i="3" s="1"/>
  <c r="BA494" i="3"/>
  <c r="AZ494" i="3" s="1"/>
  <c r="BA587" i="3"/>
  <c r="AZ587" i="3" s="1"/>
  <c r="BA581" i="3"/>
  <c r="BA571" i="3"/>
  <c r="BA565" i="3"/>
  <c r="BA559" i="3"/>
  <c r="BA553" i="3"/>
  <c r="BA539" i="3"/>
  <c r="BA537" i="3"/>
  <c r="BA535" i="3"/>
  <c r="BA531" i="3"/>
  <c r="BA523" i="3"/>
  <c r="BA517" i="3"/>
  <c r="BA513" i="3"/>
  <c r="BA511" i="3"/>
  <c r="BA503" i="3"/>
  <c r="BA501" i="3"/>
  <c r="AZ501" i="3" s="1"/>
  <c r="BA495" i="3"/>
  <c r="BA493" i="3"/>
  <c r="G581" i="3"/>
  <c r="G579" i="3"/>
  <c r="G577" i="3"/>
  <c r="G575" i="3"/>
  <c r="G573" i="3"/>
  <c r="G571" i="3"/>
  <c r="G569" i="3"/>
  <c r="G563" i="3"/>
  <c r="G561" i="3"/>
  <c r="BL558" i="3"/>
  <c r="AC557" i="3"/>
  <c r="G557" i="3" s="1"/>
  <c r="BQ557" i="3"/>
  <c r="BL557" i="3" s="1"/>
  <c r="BQ583" i="3"/>
  <c r="BQ581" i="3"/>
  <c r="BL581" i="3"/>
  <c r="BQ579" i="3"/>
  <c r="BQ577" i="3"/>
  <c r="BQ575" i="3"/>
  <c r="BQ573" i="3"/>
  <c r="BL573" i="3" s="1"/>
  <c r="BQ571" i="3"/>
  <c r="BQ569" i="3"/>
  <c r="BQ567" i="3"/>
  <c r="BL567" i="3" s="1"/>
  <c r="BQ565" i="3"/>
  <c r="BQ563" i="3"/>
  <c r="BL563" i="3"/>
  <c r="BQ561" i="3"/>
  <c r="BQ559" i="3"/>
  <c r="G559" i="3"/>
  <c r="G555" i="3"/>
  <c r="G553" i="3"/>
  <c r="G547" i="3"/>
  <c r="G545" i="3"/>
  <c r="G543" i="3"/>
  <c r="G541" i="3"/>
  <c r="G539" i="3"/>
  <c r="G537" i="3"/>
  <c r="BQ555" i="3"/>
  <c r="BQ553" i="3"/>
  <c r="BQ551" i="3"/>
  <c r="BQ549" i="3"/>
  <c r="BQ547" i="3"/>
  <c r="BQ545" i="3"/>
  <c r="BL545" i="3"/>
  <c r="BQ543" i="3"/>
  <c r="BQ541" i="3"/>
  <c r="BQ539" i="3"/>
  <c r="BQ537" i="3"/>
  <c r="BQ535" i="3"/>
  <c r="BQ533" i="3"/>
  <c r="BL533" i="3" s="1"/>
  <c r="BQ531" i="3"/>
  <c r="BL531" i="3" s="1"/>
  <c r="BQ529" i="3"/>
  <c r="BQ527" i="3"/>
  <c r="BQ525" i="3"/>
  <c r="BL525" i="3" s="1"/>
  <c r="AZ525" i="3" s="1"/>
  <c r="BQ523" i="3"/>
  <c r="AC521" i="3"/>
  <c r="G521" i="3" s="1"/>
  <c r="BQ521" i="3"/>
  <c r="BL521" i="3" s="1"/>
  <c r="BL520" i="3"/>
  <c r="AZ520" i="3" s="1"/>
  <c r="G517" i="3"/>
  <c r="G515" i="3"/>
  <c r="G513" i="3"/>
  <c r="G511" i="3"/>
  <c r="BQ519" i="3"/>
  <c r="BQ517" i="3"/>
  <c r="BL517" i="3" s="1"/>
  <c r="BQ515" i="3"/>
  <c r="BL515" i="3" s="1"/>
  <c r="AZ515" i="3" s="1"/>
  <c r="BQ513" i="3"/>
  <c r="BL513" i="3"/>
  <c r="BQ511" i="3"/>
  <c r="BL511" i="3" s="1"/>
  <c r="AC509" i="3"/>
  <c r="BQ509" i="3"/>
  <c r="BL509" i="3" s="1"/>
  <c r="AZ509" i="3" s="1"/>
  <c r="BL508" i="3"/>
  <c r="G507" i="3"/>
  <c r="G503" i="3"/>
  <c r="G501" i="3"/>
  <c r="G499" i="3"/>
  <c r="G497" i="3"/>
  <c r="G495" i="3"/>
  <c r="BQ507" i="3"/>
  <c r="BL507" i="3" s="1"/>
  <c r="BQ505" i="3"/>
  <c r="BL505" i="3" s="1"/>
  <c r="BQ503" i="3"/>
  <c r="BQ501" i="3"/>
  <c r="BL501" i="3" s="1"/>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H19" i="37"/>
  <c r="AB19" i="37" s="1"/>
  <c r="H42" i="33"/>
  <c r="AB42" i="33" s="1"/>
  <c r="J43" i="33"/>
  <c r="AC43" i="33" s="1"/>
  <c r="S28" i="31"/>
  <c r="S27" i="31"/>
  <c r="S26" i="31"/>
  <c r="U35" i="35"/>
  <c r="W14" i="37"/>
  <c r="AB28" i="37"/>
  <c r="U33" i="37"/>
  <c r="U26" i="37"/>
  <c r="AB13" i="34"/>
  <c r="AC36" i="34"/>
  <c r="AA13" i="33"/>
  <c r="U19" i="21"/>
  <c r="U26" i="21"/>
  <c r="AB38" i="21"/>
  <c r="F43" i="33"/>
  <c r="AA43" i="33" s="1"/>
  <c r="W15" i="34"/>
  <c r="AC15" i="34"/>
  <c r="W16" i="35"/>
  <c r="W40" i="37"/>
  <c r="H37" i="21"/>
  <c r="U37" i="21" s="1"/>
  <c r="S42" i="21"/>
  <c r="H19" i="34"/>
  <c r="AB19" i="34" s="1"/>
  <c r="F36" i="35"/>
  <c r="S36" i="35" s="1"/>
  <c r="J9" i="37"/>
  <c r="W9" i="37" s="1"/>
  <c r="H9" i="37"/>
  <c r="U9" i="37" s="1"/>
  <c r="F9" i="37"/>
  <c r="S9" i="37" s="1"/>
  <c r="F12" i="37"/>
  <c r="S12"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U45" i="39"/>
  <c r="AB45" i="39"/>
  <c r="H37" i="39"/>
  <c r="AB37" i="39" s="1"/>
  <c r="AC37" i="39"/>
  <c r="W37" i="39"/>
  <c r="H25" i="39"/>
  <c r="AB25" i="39" s="1"/>
  <c r="J25" i="39"/>
  <c r="F25" i="39"/>
  <c r="AA25" i="39" s="1"/>
  <c r="F15" i="39"/>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s="1"/>
  <c r="F11" i="39"/>
  <c r="AA11" i="39" s="1"/>
  <c r="S11" i="39"/>
  <c r="G4" i="4"/>
  <c r="I4" i="4"/>
  <c r="A2" i="9"/>
  <c r="F61" i="43"/>
  <c r="H64" i="43" s="1"/>
  <c r="BL549" i="3"/>
  <c r="AZ549" i="3" s="1"/>
  <c r="AZ502" i="3"/>
  <c r="AZ522" i="3"/>
  <c r="AZ530"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AZ167" i="3" s="1"/>
  <c r="BL168" i="3"/>
  <c r="G169" i="3"/>
  <c r="BA171" i="3"/>
  <c r="BL172" i="3"/>
  <c r="G173" i="3"/>
  <c r="BA175" i="3"/>
  <c r="BL176" i="3"/>
  <c r="G177" i="3"/>
  <c r="BA179" i="3"/>
  <c r="BL180" i="3"/>
  <c r="AZ180" i="3" s="1"/>
  <c r="G181" i="3"/>
  <c r="BA183" i="3"/>
  <c r="AZ183" i="3" s="1"/>
  <c r="BL184" i="3"/>
  <c r="G185" i="3"/>
  <c r="BA187" i="3"/>
  <c r="BL188" i="3"/>
  <c r="G189" i="3"/>
  <c r="BA191" i="3"/>
  <c r="BL192" i="3"/>
  <c r="G193" i="3"/>
  <c r="BA195" i="3"/>
  <c r="BL196" i="3"/>
  <c r="G197" i="3"/>
  <c r="BA199" i="3"/>
  <c r="AZ199" i="3" s="1"/>
  <c r="BL200" i="3"/>
  <c r="G201" i="3"/>
  <c r="BA203" i="3"/>
  <c r="BL204"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BA364" i="3"/>
  <c r="AZ364" i="3" s="1"/>
  <c r="BL364" i="3"/>
  <c r="G365" i="3"/>
  <c r="G368" i="3"/>
  <c r="BL369" i="3"/>
  <c r="BA371" i="3"/>
  <c r="AZ371" i="3" s="1"/>
  <c r="BA372" i="3"/>
  <c r="AZ372" i="3" s="1"/>
  <c r="BL372" i="3"/>
  <c r="G373" i="3"/>
  <c r="G376" i="3"/>
  <c r="BL377" i="3"/>
  <c r="BL379" i="3"/>
  <c r="BA381" i="3"/>
  <c r="BA382" i="3"/>
  <c r="BL382" i="3"/>
  <c r="G383" i="3"/>
  <c r="G386" i="3"/>
  <c r="BL387" i="3"/>
  <c r="BA389" i="3"/>
  <c r="BA390" i="3"/>
  <c r="AZ390" i="3" s="1"/>
  <c r="BL390" i="3"/>
  <c r="G391" i="3"/>
  <c r="G394" i="3"/>
  <c r="BA16" i="3"/>
  <c r="AZ16" i="3" s="1"/>
  <c r="BL303" i="3"/>
  <c r="G304" i="3"/>
  <c r="BA306" i="3"/>
  <c r="AZ306" i="3"/>
  <c r="BL307" i="3"/>
  <c r="G308" i="3"/>
  <c r="BA310" i="3"/>
  <c r="AZ310" i="3" s="1"/>
  <c r="BL311" i="3"/>
  <c r="G312" i="3"/>
  <c r="BA314" i="3"/>
  <c r="BL315" i="3"/>
  <c r="AZ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AZ366" i="3" s="1"/>
  <c r="G367" i="3"/>
  <c r="BA369" i="3"/>
  <c r="BL370" i="3"/>
  <c r="G371" i="3"/>
  <c r="BA373" i="3"/>
  <c r="AZ373" i="3" s="1"/>
  <c r="BL374" i="3"/>
  <c r="G375" i="3"/>
  <c r="BA377" i="3"/>
  <c r="BA379" i="3"/>
  <c r="BL380" i="3"/>
  <c r="G381" i="3"/>
  <c r="BA383" i="3"/>
  <c r="AZ383" i="3" s="1"/>
  <c r="BL384" i="3"/>
  <c r="AZ384" i="3" s="1"/>
  <c r="G385" i="3"/>
  <c r="BA387" i="3"/>
  <c r="BL388" i="3"/>
  <c r="G389" i="3"/>
  <c r="BA391" i="3"/>
  <c r="BL392" i="3"/>
  <c r="G393" i="3"/>
  <c r="BO5" i="3"/>
  <c r="BM5" i="3"/>
  <c r="BJ5" i="3"/>
  <c r="BH5" i="3"/>
  <c r="BF5" i="3"/>
  <c r="AZ309" i="3"/>
  <c r="AC5" i="3"/>
  <c r="AZ506" i="3"/>
  <c r="G548" i="3"/>
  <c r="G520" i="3"/>
  <c r="G502" i="3"/>
  <c r="BS5" i="3"/>
  <c r="BP5" i="3"/>
  <c r="BN5" i="3"/>
  <c r="G29" i="6" s="1"/>
  <c r="BI5" i="3"/>
  <c r="BG5" i="3"/>
  <c r="BC5" i="3"/>
  <c r="G17" i="3"/>
  <c r="BA17" i="3"/>
  <c r="BT5" i="3"/>
  <c r="BA15" i="3"/>
  <c r="BB5" i="3"/>
  <c r="BR5" i="3"/>
  <c r="AZ380" i="3"/>
  <c r="AZ499" i="3"/>
  <c r="G509" i="3"/>
  <c r="BL493" i="3"/>
  <c r="AZ493" i="3" s="1"/>
  <c r="U36" i="40"/>
  <c r="F83" i="43"/>
  <c r="H85" i="43" s="1"/>
  <c r="F50" i="43"/>
  <c r="H54" i="43" s="1"/>
  <c r="F72" i="43"/>
  <c r="H75" i="43" s="1"/>
  <c r="U17" i="39"/>
  <c r="S14" i="35"/>
  <c r="U43" i="21"/>
  <c r="U35" i="21"/>
  <c r="AC35" i="21"/>
  <c r="G8" i="1"/>
  <c r="G10" i="1"/>
  <c r="AC11" i="39"/>
  <c r="W37" i="37"/>
  <c r="W44" i="34"/>
  <c r="AC44" i="34"/>
  <c r="S15"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AA40" i="34" s="1"/>
  <c r="S40" i="34"/>
  <c r="F43" i="34"/>
  <c r="AA43" i="34"/>
  <c r="H44" i="34"/>
  <c r="AB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AC39" i="40"/>
  <c r="W39" i="40"/>
  <c r="W12" i="33"/>
  <c r="AC12" i="33"/>
  <c r="AA32" i="36"/>
  <c r="S32" i="36"/>
  <c r="AZ441" i="3"/>
  <c r="BL14" i="3"/>
  <c r="AZ14" i="3" s="1"/>
  <c r="AC13" i="34"/>
  <c r="AA47" i="34"/>
  <c r="W28" i="37"/>
  <c r="S19" i="39"/>
  <c r="F12" i="33"/>
  <c r="H12" i="39"/>
  <c r="AB12" i="39" s="1"/>
  <c r="F39" i="40"/>
  <c r="S39" i="40" s="1"/>
  <c r="BA14" i="3"/>
  <c r="B12" i="1"/>
  <c r="E12" i="1" s="1"/>
  <c r="B10" i="1"/>
  <c r="E10" i="1" s="1"/>
  <c r="K12" i="1"/>
  <c r="M12" i="1" s="1"/>
  <c r="S13" i="1"/>
  <c r="AR13" i="1" s="1"/>
  <c r="R13" i="1"/>
  <c r="J51" i="67"/>
  <c r="B41" i="1"/>
  <c r="AB37" i="40"/>
  <c r="S35" i="40"/>
  <c r="U35" i="40"/>
  <c r="AC36" i="40"/>
  <c r="AA32" i="40"/>
  <c r="S17" i="40"/>
  <c r="S23" i="40"/>
  <c r="AC17" i="40"/>
  <c r="AC15" i="40"/>
  <c r="S30" i="40"/>
  <c r="AA19" i="40"/>
  <c r="S28" i="40"/>
  <c r="U21" i="40"/>
  <c r="AB19" i="40"/>
  <c r="S43" i="39"/>
  <c r="S37" i="39"/>
  <c r="U35" i="39"/>
  <c r="F32" i="39"/>
  <c r="S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AA12" i="39"/>
  <c r="S9" i="39"/>
  <c r="U14" i="39"/>
  <c r="AC13" i="39"/>
  <c r="U13" i="36"/>
  <c r="U26" i="36"/>
  <c r="S33" i="36"/>
  <c r="AA34" i="36"/>
  <c r="AC26"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AC20" i="35"/>
  <c r="S22" i="35"/>
  <c r="U14" i="35"/>
  <c r="AA11" i="35"/>
  <c r="AC9" i="35"/>
  <c r="W9" i="35"/>
  <c r="F9" i="35"/>
  <c r="S9" i="35" s="1"/>
  <c r="H9" i="35"/>
  <c r="U9" i="35" s="1"/>
  <c r="W27" i="37"/>
  <c r="AC29" i="37"/>
  <c r="U29" i="37"/>
  <c r="S32" i="37"/>
  <c r="AB31" i="37"/>
  <c r="W30" i="37"/>
  <c r="S36" i="37"/>
  <c r="AA38" i="37"/>
  <c r="U32" i="37"/>
  <c r="W38" i="37"/>
  <c r="AC35" i="37"/>
  <c r="W39" i="37"/>
  <c r="S30" i="37"/>
  <c r="S37" i="37"/>
  <c r="J17" i="37"/>
  <c r="W17" i="37" s="1"/>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45" i="34"/>
  <c r="AA25" i="34"/>
  <c r="S17" i="34"/>
  <c r="AA29" i="34"/>
  <c r="U27" i="34"/>
  <c r="S23" i="34"/>
  <c r="S13" i="34"/>
  <c r="H10" i="34"/>
  <c r="AB10" i="34" s="1"/>
  <c r="F11" i="34"/>
  <c r="S11" i="34" s="1"/>
  <c r="F70" i="34"/>
  <c r="W42" i="33"/>
  <c r="AA29" i="33"/>
  <c r="AB29" i="33"/>
  <c r="H41" i="33"/>
  <c r="U41" i="33" s="1"/>
  <c r="F36" i="33"/>
  <c r="AA36" i="33" s="1"/>
  <c r="G111" i="33"/>
  <c r="J35" i="33"/>
  <c r="AC35" i="33" s="1"/>
  <c r="S37" i="33"/>
  <c r="F101" i="33"/>
  <c r="J32" i="33" s="1"/>
  <c r="W32" i="33" s="1"/>
  <c r="S46" i="33"/>
  <c r="H27" i="33"/>
  <c r="AB27" i="33" s="1"/>
  <c r="F87" i="33"/>
  <c r="G87" i="33" s="1"/>
  <c r="H87" i="33" s="1"/>
  <c r="I87" i="33" s="1"/>
  <c r="J87" i="33" s="1"/>
  <c r="K87" i="33" s="1"/>
  <c r="L87" i="33" s="1"/>
  <c r="M87" i="33" s="1"/>
  <c r="H25" i="33"/>
  <c r="U25" i="33" s="1"/>
  <c r="F25" i="33"/>
  <c r="AA25" i="33" s="1"/>
  <c r="J23" i="33"/>
  <c r="AC23" i="33" s="1"/>
  <c r="H23" i="33"/>
  <c r="U23" i="33" s="1"/>
  <c r="F19" i="33"/>
  <c r="S19" i="33" s="1"/>
  <c r="J17" i="33"/>
  <c r="W17" i="33" s="1"/>
  <c r="F79" i="33"/>
  <c r="G79" i="33" s="1"/>
  <c r="S15" i="33"/>
  <c r="W15" i="33"/>
  <c r="U9" i="33"/>
  <c r="J10" i="33"/>
  <c r="W10" i="33" s="1"/>
  <c r="H10" i="33"/>
  <c r="U10" i="33" s="1"/>
  <c r="AC11"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L20" i="6"/>
  <c r="B6" i="1"/>
  <c r="E6" i="1" s="1"/>
  <c r="K11" i="1"/>
  <c r="M11" i="1" s="1"/>
  <c r="O11" i="1" s="1"/>
  <c r="B9" i="1"/>
  <c r="E9" i="1" s="1"/>
  <c r="G1" i="15"/>
  <c r="G1" i="69"/>
  <c r="G1" i="67"/>
  <c r="W23"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A13" i="39"/>
  <c r="S13" i="39"/>
  <c r="S14" i="39"/>
  <c r="AA14"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U24" i="35"/>
  <c r="S35" i="35"/>
  <c r="W35"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44" i="33"/>
  <c r="AB44" i="33"/>
  <c r="AC14" i="33"/>
  <c r="W14" i="33"/>
  <c r="S31" i="33"/>
  <c r="AA31" i="33"/>
  <c r="W13" i="33"/>
  <c r="AC13" i="33"/>
  <c r="U15" i="33"/>
  <c r="S11" i="33"/>
  <c r="S28" i="33"/>
  <c r="W8" i="33"/>
  <c r="S44" i="21"/>
  <c r="AB42" i="21"/>
  <c r="U28" i="21"/>
  <c r="F33" i="21"/>
  <c r="AA33" i="21" s="1"/>
  <c r="J33" i="21"/>
  <c r="AC33" i="21" s="1"/>
  <c r="H33" i="21"/>
  <c r="AB33" i="21" s="1"/>
  <c r="F37" i="21"/>
  <c r="AA26" i="21"/>
  <c r="AB14" i="21"/>
  <c r="U40" i="21"/>
  <c r="AB31" i="21"/>
  <c r="U31" i="21"/>
  <c r="S35" i="21"/>
  <c r="J37" i="21"/>
  <c r="W37" i="21" s="1"/>
  <c r="H15" i="21"/>
  <c r="U15" i="21" s="1"/>
  <c r="J17" i="21"/>
  <c r="AC17" i="21" s="1"/>
  <c r="AC19" i="21"/>
  <c r="W39" i="21"/>
  <c r="AC14" i="21"/>
  <c r="S46" i="21"/>
  <c r="H45" i="21"/>
  <c r="U45" i="21" s="1"/>
  <c r="F29" i="21"/>
  <c r="S29" i="21" s="1"/>
  <c r="F13" i="21"/>
  <c r="AA13" i="21" s="1"/>
  <c r="AC38" i="21"/>
  <c r="H32" i="21"/>
  <c r="AB32" i="21" s="1"/>
  <c r="H9" i="21"/>
  <c r="AB9" i="21" s="1"/>
  <c r="J9" i="21"/>
  <c r="W9" i="21" s="1"/>
  <c r="J32" i="21"/>
  <c r="W32" i="21" s="1"/>
  <c r="F32" i="21"/>
  <c r="AA31" i="21"/>
  <c r="U17" i="21"/>
  <c r="S19" i="21"/>
  <c r="S9" i="21"/>
  <c r="AA9" i="21"/>
  <c r="K141" i="21"/>
  <c r="K144" i="21"/>
  <c r="K143" i="21"/>
  <c r="AB25" i="21"/>
  <c r="AB44" i="21"/>
  <c r="W42" i="21"/>
  <c r="F10" i="21"/>
  <c r="AA10" i="21" s="1"/>
  <c r="K145" i="21"/>
  <c r="W25" i="21"/>
  <c r="W31"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21" i="39"/>
  <c r="S17" i="37"/>
  <c r="J19" i="37"/>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H19" i="33"/>
  <c r="U19" i="33" s="1"/>
  <c r="H17" i="33"/>
  <c r="F17" i="33"/>
  <c r="S17" i="33" s="1"/>
  <c r="J23" i="21"/>
  <c r="W23" i="21" s="1"/>
  <c r="F85" i="21"/>
  <c r="G85" i="21" s="1"/>
  <c r="H23" i="21"/>
  <c r="U23" i="21" s="1"/>
  <c r="AP7" i="1"/>
  <c r="AB45" i="21"/>
  <c r="U9" i="21"/>
  <c r="AA32" i="21"/>
  <c r="S32" i="21"/>
  <c r="AC9" i="21"/>
  <c r="AC32" i="39"/>
  <c r="W19" i="37"/>
  <c r="AC19" i="37"/>
  <c r="H63" i="37"/>
  <c r="I63" i="37"/>
  <c r="J63" i="37" s="1"/>
  <c r="K63" i="37" s="1"/>
  <c r="L63" i="37" s="1"/>
  <c r="M63" i="37" s="1"/>
  <c r="J11" i="37"/>
  <c r="AC11" i="37" s="1"/>
  <c r="J11" i="34"/>
  <c r="W11" i="34" s="1"/>
  <c r="AB36" i="33"/>
  <c r="H109" i="9"/>
  <c r="H112" i="9"/>
  <c r="D21" i="53" s="1"/>
  <c r="B39" i="72" s="1"/>
  <c r="H111" i="9"/>
  <c r="AD3" i="71"/>
  <c r="J1" i="73"/>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E8" i="76"/>
  <c r="M28" i="15"/>
  <c r="E13" i="76"/>
  <c r="F40" i="15"/>
  <c r="M22" i="15"/>
  <c r="AO13" i="1"/>
  <c r="F7" i="73"/>
  <c r="F20" i="31"/>
  <c r="E9" i="76"/>
  <c r="B8" i="76"/>
  <c r="F3" i="73"/>
  <c r="B7" i="76"/>
  <c r="E2" i="68"/>
  <c r="M22" i="67"/>
  <c r="C76" i="15"/>
  <c r="F37" i="67"/>
  <c r="F5" i="73"/>
  <c r="M6" i="15"/>
  <c r="F36" i="15"/>
  <c r="F38" i="15"/>
  <c r="F42" i="15"/>
  <c r="B12" i="76"/>
  <c r="D6" i="73"/>
  <c r="F4" i="73"/>
  <c r="M9" i="15"/>
  <c r="B9" i="76"/>
  <c r="F37" i="15"/>
  <c r="E11" i="76"/>
  <c r="B11" i="76"/>
  <c r="J15" i="67"/>
  <c r="F36" i="67"/>
  <c r="F8" i="15"/>
  <c r="F26" i="15"/>
  <c r="F42" i="67"/>
  <c r="L47" i="67"/>
  <c r="F40" i="67"/>
  <c r="D35" i="9"/>
  <c r="L47" i="15"/>
  <c r="F9" i="15"/>
  <c r="E7" i="76"/>
  <c r="L48" i="15"/>
  <c r="J15" i="15"/>
  <c r="F16" i="15"/>
  <c r="M9" i="67"/>
  <c r="D4" i="73"/>
  <c r="M24" i="15"/>
  <c r="B13" i="76"/>
  <c r="D34" i="9"/>
  <c r="E12" i="76"/>
  <c r="B10" i="76"/>
  <c r="F6" i="73"/>
  <c r="M26" i="15"/>
  <c r="M23" i="15"/>
  <c r="E2" i="69"/>
  <c r="M8" i="15"/>
  <c r="E10" i="76"/>
  <c r="F16" i="67"/>
  <c r="AA27" i="34" l="1"/>
  <c r="S27" i="34"/>
  <c r="U32" i="21"/>
  <c r="D6" i="52"/>
  <c r="W23" i="33"/>
  <c r="U21" i="39"/>
  <c r="W33" i="34"/>
  <c r="AZ518" i="3"/>
  <c r="AA29" i="21"/>
  <c r="U32" i="40"/>
  <c r="AA22" i="36"/>
  <c r="AA34" i="33"/>
  <c r="BQ5" i="3"/>
  <c r="F28" i="6" s="1"/>
  <c r="AB13" i="37"/>
  <c r="U13" i="37"/>
  <c r="W23" i="37"/>
  <c r="AC23" i="37"/>
  <c r="AA15" i="39"/>
  <c r="S15" i="39"/>
  <c r="C20" i="71"/>
  <c r="C19" i="71" s="1"/>
  <c r="S37" i="21"/>
  <c r="AA37" i="21"/>
  <c r="AB15" i="21"/>
  <c r="AZ379" i="3"/>
  <c r="S24" i="35"/>
  <c r="AB14" i="33"/>
  <c r="U15" i="34"/>
  <c r="AC13" i="21"/>
  <c r="W13" i="21"/>
  <c r="AZ526" i="3"/>
  <c r="D22" i="71"/>
  <c r="AC23" i="21"/>
  <c r="U17" i="33"/>
  <c r="AB17" i="33"/>
  <c r="AC17" i="37"/>
  <c r="AC13" i="36"/>
  <c r="W13" i="36"/>
  <c r="AZ578" i="3"/>
  <c r="AZ369" i="3"/>
  <c r="AZ311" i="3"/>
  <c r="AZ320" i="3"/>
  <c r="AZ378" i="3"/>
  <c r="AZ505" i="3"/>
  <c r="AZ508" i="3"/>
  <c r="BL519" i="3"/>
  <c r="BL539" i="3"/>
  <c r="AZ539" i="3" s="1"/>
  <c r="BL565" i="3"/>
  <c r="AZ565" i="3" s="1"/>
  <c r="AZ504" i="3"/>
  <c r="AC45" i="39"/>
  <c r="U31" i="34"/>
  <c r="AB17" i="34"/>
  <c r="AB12" i="33"/>
  <c r="AB39" i="37"/>
  <c r="U39" i="37"/>
  <c r="J31" i="40"/>
  <c r="F31" i="40"/>
  <c r="F38" i="40"/>
  <c r="J38" i="40"/>
  <c r="AZ319" i="3"/>
  <c r="H30" i="21"/>
  <c r="F30" i="21"/>
  <c r="E115" i="33"/>
  <c r="F115" i="33" s="1"/>
  <c r="G115" i="33" s="1"/>
  <c r="H115" i="33" s="1"/>
  <c r="I115" i="33" s="1"/>
  <c r="J115" i="33" s="1"/>
  <c r="K115" i="33" s="1"/>
  <c r="L115" i="33" s="1"/>
  <c r="M115" i="33" s="1"/>
  <c r="J38" i="33"/>
  <c r="AC38" i="33" s="1"/>
  <c r="F38" i="33"/>
  <c r="S38" i="33" s="1"/>
  <c r="F30" i="33"/>
  <c r="J30" i="33"/>
  <c r="J13" i="35"/>
  <c r="H13" i="35"/>
  <c r="AC22" i="35"/>
  <c r="W22" i="35"/>
  <c r="AC32" i="40"/>
  <c r="W32" i="40"/>
  <c r="AC36" i="39"/>
  <c r="W36" i="39"/>
  <c r="BL572" i="3"/>
  <c r="BA572" i="3"/>
  <c r="AZ572" i="3" s="1"/>
  <c r="BL571" i="3"/>
  <c r="BA563" i="3"/>
  <c r="AZ563" i="3" s="1"/>
  <c r="BL562" i="3"/>
  <c r="BA561" i="3"/>
  <c r="BA558" i="3"/>
  <c r="AZ558" i="3" s="1"/>
  <c r="BL556" i="3"/>
  <c r="BA556" i="3"/>
  <c r="AZ556" i="3" s="1"/>
  <c r="AZ538" i="3"/>
  <c r="U46" i="34"/>
  <c r="AB46" i="34"/>
  <c r="H50" i="43"/>
  <c r="AB36" i="34"/>
  <c r="W27" i="40"/>
  <c r="H67" i="43"/>
  <c r="AC15" i="37"/>
  <c r="AB40" i="37"/>
  <c r="AA26" i="36"/>
  <c r="U37" i="39"/>
  <c r="F32" i="83"/>
  <c r="F60" i="83" s="1"/>
  <c r="M18" i="83"/>
  <c r="F28" i="83"/>
  <c r="S39" i="34"/>
  <c r="G538" i="3"/>
  <c r="AZ377" i="3"/>
  <c r="BL527" i="3"/>
  <c r="AZ527" i="3" s="1"/>
  <c r="BL543" i="3"/>
  <c r="AZ543" i="3" s="1"/>
  <c r="BL555" i="3"/>
  <c r="AZ555" i="3" s="1"/>
  <c r="BL569" i="3"/>
  <c r="J29" i="34"/>
  <c r="J46" i="21"/>
  <c r="W46" i="21" s="1"/>
  <c r="W11" i="35"/>
  <c r="AC11" i="35"/>
  <c r="BA579" i="3"/>
  <c r="BL576" i="3"/>
  <c r="AZ576" i="3" s="1"/>
  <c r="BA574" i="3"/>
  <c r="AZ545" i="3"/>
  <c r="AZ562" i="3"/>
  <c r="H30" i="33"/>
  <c r="H46" i="21"/>
  <c r="AB33" i="35"/>
  <c r="U33" i="35"/>
  <c r="AB12" i="21"/>
  <c r="U12" i="21"/>
  <c r="BA586" i="3"/>
  <c r="J43" i="39"/>
  <c r="H43" i="39"/>
  <c r="AA40" i="40"/>
  <c r="S40" i="40"/>
  <c r="H37" i="33"/>
  <c r="AB37" i="33" s="1"/>
  <c r="AZ531" i="3"/>
  <c r="AZ573" i="3"/>
  <c r="AZ566" i="3"/>
  <c r="AA21" i="40"/>
  <c r="S21" i="40"/>
  <c r="J9" i="34"/>
  <c r="H9" i="34"/>
  <c r="AC28" i="36"/>
  <c r="W28" i="36"/>
  <c r="H11" i="36"/>
  <c r="U11" i="36" s="1"/>
  <c r="F11" i="36"/>
  <c r="AA11" i="36" s="1"/>
  <c r="H44" i="39"/>
  <c r="F44" i="39"/>
  <c r="AA16" i="35"/>
  <c r="AZ391" i="3"/>
  <c r="BL575" i="3"/>
  <c r="AZ542" i="3"/>
  <c r="S12" i="36"/>
  <c r="AC44" i="39"/>
  <c r="W44" i="39"/>
  <c r="J45" i="21"/>
  <c r="F45" i="21"/>
  <c r="AB34" i="34"/>
  <c r="U34" i="34"/>
  <c r="AA35" i="34"/>
  <c r="S35" i="34"/>
  <c r="BA569" i="3"/>
  <c r="BA540" i="3"/>
  <c r="AZ540" i="3" s="1"/>
  <c r="BL537" i="3"/>
  <c r="AZ537" i="3" s="1"/>
  <c r="BA533" i="3"/>
  <c r="AZ533" i="3" s="1"/>
  <c r="BL528" i="3"/>
  <c r="AZ528" i="3" s="1"/>
  <c r="BA524" i="3"/>
  <c r="AZ524" i="3" s="1"/>
  <c r="BL514" i="3"/>
  <c r="BA510" i="3"/>
  <c r="AZ510" i="3" s="1"/>
  <c r="BA505" i="3"/>
  <c r="BL500" i="3"/>
  <c r="AZ500" i="3" s="1"/>
  <c r="BD5" i="3"/>
  <c r="U34" i="39"/>
  <c r="AB34" i="39"/>
  <c r="J27" i="21"/>
  <c r="H27" i="21"/>
  <c r="F27" i="21"/>
  <c r="AB40" i="33"/>
  <c r="U40" i="33"/>
  <c r="E81" i="33"/>
  <c r="F81" i="33" s="1"/>
  <c r="G81" i="33" s="1"/>
  <c r="J19" i="33"/>
  <c r="AB9" i="39"/>
  <c r="U9" i="39"/>
  <c r="AB38" i="40"/>
  <c r="U38" i="40"/>
  <c r="BA564" i="3"/>
  <c r="AZ564" i="3" s="1"/>
  <c r="BL561" i="3"/>
  <c r="AZ561" i="3" s="1"/>
  <c r="BA546" i="3"/>
  <c r="AZ546" i="3" s="1"/>
  <c r="BL529" i="3"/>
  <c r="AZ529" i="3" s="1"/>
  <c r="BA521" i="3"/>
  <c r="AZ521" i="3" s="1"/>
  <c r="BA514" i="3"/>
  <c r="BA507" i="3"/>
  <c r="AZ507" i="3" s="1"/>
  <c r="BA498" i="3"/>
  <c r="AZ498" i="3" s="1"/>
  <c r="AZ497" i="3"/>
  <c r="BL495" i="3"/>
  <c r="AZ495" i="3" s="1"/>
  <c r="BK5" i="3"/>
  <c r="AZ389" i="3"/>
  <c r="U31" i="33"/>
  <c r="J30" i="21"/>
  <c r="AA44" i="34"/>
  <c r="S44" i="34"/>
  <c r="AA28" i="34"/>
  <c r="S28" i="34"/>
  <c r="AC28" i="35"/>
  <c r="W28" i="35"/>
  <c r="S41" i="21"/>
  <c r="AA41" i="21"/>
  <c r="BA580" i="3"/>
  <c r="AZ580" i="3" s="1"/>
  <c r="BA577" i="3"/>
  <c r="BL574" i="3"/>
  <c r="BL399" i="3"/>
  <c r="BL414" i="3"/>
  <c r="BL424" i="3"/>
  <c r="BA442" i="3"/>
  <c r="BL503" i="3"/>
  <c r="AZ503" i="3" s="1"/>
  <c r="BL541" i="3"/>
  <c r="AZ541" i="3" s="1"/>
  <c r="BL553" i="3"/>
  <c r="AZ553" i="3" s="1"/>
  <c r="BL577" i="3"/>
  <c r="S34" i="21"/>
  <c r="W39" i="33"/>
  <c r="U30" i="37"/>
  <c r="F36" i="39"/>
  <c r="G585" i="3"/>
  <c r="F26" i="37"/>
  <c r="G562" i="3"/>
  <c r="F7" i="1"/>
  <c r="G7" i="1" s="1"/>
  <c r="M14" i="4"/>
  <c r="G582" i="3"/>
  <c r="BA410" i="3"/>
  <c r="BL412" i="3"/>
  <c r="BA419" i="3"/>
  <c r="BA440" i="3"/>
  <c r="AZ440" i="3" s="1"/>
  <c r="BA407" i="3"/>
  <c r="BL411" i="3"/>
  <c r="G412" i="3"/>
  <c r="S40" i="39"/>
  <c r="W8" i="40"/>
  <c r="BL585" i="3"/>
  <c r="AZ585" i="3" s="1"/>
  <c r="BA405" i="3"/>
  <c r="BL408" i="3"/>
  <c r="BL419" i="3"/>
  <c r="G421" i="3"/>
  <c r="BA437" i="3"/>
  <c r="BL440" i="3"/>
  <c r="AZ387" i="3"/>
  <c r="AZ334" i="3"/>
  <c r="AZ323" i="3"/>
  <c r="AZ359" i="3"/>
  <c r="H12" i="37"/>
  <c r="AB12" i="37" s="1"/>
  <c r="W26" i="37"/>
  <c r="H28" i="34"/>
  <c r="BL535" i="3"/>
  <c r="AZ535" i="3" s="1"/>
  <c r="BL547" i="3"/>
  <c r="AZ547" i="3" s="1"/>
  <c r="BL559" i="3"/>
  <c r="AZ559" i="3" s="1"/>
  <c r="J45" i="33"/>
  <c r="AC27" i="35"/>
  <c r="J12" i="35"/>
  <c r="BA435" i="3"/>
  <c r="BL449" i="3"/>
  <c r="AZ322" i="3"/>
  <c r="AZ328" i="3"/>
  <c r="BL523" i="3"/>
  <c r="AZ523" i="3" s="1"/>
  <c r="BL583" i="3"/>
  <c r="AZ583" i="3" s="1"/>
  <c r="F39" i="37"/>
  <c r="F9" i="36"/>
  <c r="BL403" i="3"/>
  <c r="AZ414" i="3"/>
  <c r="BL417" i="3"/>
  <c r="BA426" i="3"/>
  <c r="BA445" i="3"/>
  <c r="M20" i="83"/>
  <c r="F34" i="83"/>
  <c r="F62" i="83" s="1"/>
  <c r="G14" i="3"/>
  <c r="BA413" i="3"/>
  <c r="AZ413" i="3" s="1"/>
  <c r="BL427" i="3"/>
  <c r="BL435" i="3"/>
  <c r="BA476" i="3"/>
  <c r="BA478" i="3"/>
  <c r="BA479" i="3"/>
  <c r="AZ479" i="3" s="1"/>
  <c r="BA481" i="3"/>
  <c r="AZ481" i="3" s="1"/>
  <c r="BL490" i="3"/>
  <c r="BL308" i="3"/>
  <c r="AZ308" i="3" s="1"/>
  <c r="BA319" i="3"/>
  <c r="BA392" i="3"/>
  <c r="AZ392" i="3" s="1"/>
  <c r="BL234" i="3"/>
  <c r="BL254" i="3"/>
  <c r="BL256" i="3"/>
  <c r="G257" i="3"/>
  <c r="BL267" i="3"/>
  <c r="BL269" i="3"/>
  <c r="BL280" i="3"/>
  <c r="BA287" i="3"/>
  <c r="AZ287" i="3" s="1"/>
  <c r="AZ145" i="3"/>
  <c r="P65" i="71"/>
  <c r="P66" i="71"/>
  <c r="G423" i="3"/>
  <c r="BL445" i="3"/>
  <c r="BL447" i="3"/>
  <c r="AZ447" i="3" s="1"/>
  <c r="BL448" i="3"/>
  <c r="G449" i="3"/>
  <c r="BL450" i="3"/>
  <c r="G451" i="3"/>
  <c r="BA471" i="3"/>
  <c r="BA472" i="3"/>
  <c r="AZ472" i="3" s="1"/>
  <c r="BA473" i="3"/>
  <c r="AZ473" i="3" s="1"/>
  <c r="BL484" i="3"/>
  <c r="AZ484" i="3" s="1"/>
  <c r="BL489" i="3"/>
  <c r="G490" i="3"/>
  <c r="BA316" i="3"/>
  <c r="AZ316" i="3" s="1"/>
  <c r="BL328" i="3"/>
  <c r="BL359" i="3"/>
  <c r="BA370" i="3"/>
  <c r="AZ370" i="3" s="1"/>
  <c r="G382" i="3"/>
  <c r="BA219" i="3"/>
  <c r="AZ219" i="3" s="1"/>
  <c r="BA220" i="3"/>
  <c r="AZ220" i="3" s="1"/>
  <c r="BA222" i="3"/>
  <c r="BA224" i="3"/>
  <c r="BA225" i="3"/>
  <c r="AZ225" i="3" s="1"/>
  <c r="BA227" i="3"/>
  <c r="AZ227" i="3" s="1"/>
  <c r="BA228" i="3"/>
  <c r="AZ228" i="3" s="1"/>
  <c r="BA229" i="3"/>
  <c r="AZ229" i="3" s="1"/>
  <c r="BL233" i="3"/>
  <c r="G234" i="3"/>
  <c r="BL252" i="3"/>
  <c r="G254" i="3"/>
  <c r="BA262" i="3"/>
  <c r="BL266" i="3"/>
  <c r="G267" i="3"/>
  <c r="G269" i="3"/>
  <c r="BA275" i="3"/>
  <c r="AZ275" i="3" s="1"/>
  <c r="BL278" i="3"/>
  <c r="BA286" i="3"/>
  <c r="AZ286" i="3" s="1"/>
  <c r="BL288" i="3"/>
  <c r="AZ288" i="3" s="1"/>
  <c r="G290" i="3"/>
  <c r="BA124" i="3"/>
  <c r="AZ124" i="3" s="1"/>
  <c r="BL126" i="3"/>
  <c r="BA136" i="3"/>
  <c r="AZ136" i="3" s="1"/>
  <c r="BL159" i="3"/>
  <c r="AZ159" i="3" s="1"/>
  <c r="BL106" i="3"/>
  <c r="BL421" i="3"/>
  <c r="G422" i="3"/>
  <c r="BL437" i="3"/>
  <c r="BL439" i="3"/>
  <c r="BL442" i="3"/>
  <c r="BL444" i="3"/>
  <c r="BL446" i="3"/>
  <c r="BL476" i="3"/>
  <c r="BL478" i="3"/>
  <c r="BL483" i="3"/>
  <c r="BL346" i="3"/>
  <c r="AZ346" i="3" s="1"/>
  <c r="BA368" i="3"/>
  <c r="AZ368" i="3" s="1"/>
  <c r="BL232" i="3"/>
  <c r="BL265" i="3"/>
  <c r="BA274" i="3"/>
  <c r="AZ274" i="3" s="1"/>
  <c r="AZ285" i="3"/>
  <c r="BL287" i="3"/>
  <c r="BA100" i="3"/>
  <c r="C36" i="71"/>
  <c r="T36" i="71" s="1"/>
  <c r="D35" i="71"/>
  <c r="BA429" i="3"/>
  <c r="BA430" i="3"/>
  <c r="AZ430" i="3" s="1"/>
  <c r="G435" i="3"/>
  <c r="G437" i="3"/>
  <c r="BL438" i="3"/>
  <c r="G439" i="3"/>
  <c r="BL443" i="3"/>
  <c r="G444" i="3"/>
  <c r="BL471" i="3"/>
  <c r="BL475" i="3"/>
  <c r="G476" i="3"/>
  <c r="BL477" i="3"/>
  <c r="G478" i="3"/>
  <c r="G481" i="3"/>
  <c r="G483" i="3"/>
  <c r="BL314" i="3"/>
  <c r="AZ314" i="3" s="1"/>
  <c r="G327" i="3"/>
  <c r="BA333" i="3"/>
  <c r="AZ333" i="3" s="1"/>
  <c r="BA353" i="3"/>
  <c r="AZ353" i="3" s="1"/>
  <c r="G358" i="3"/>
  <c r="BA211" i="3"/>
  <c r="BA212" i="3"/>
  <c r="AZ212" i="3" s="1"/>
  <c r="BA213" i="3"/>
  <c r="AZ213" i="3" s="1"/>
  <c r="BA214" i="3"/>
  <c r="AZ214" i="3" s="1"/>
  <c r="BA215" i="3"/>
  <c r="AZ215" i="3" s="1"/>
  <c r="BL219" i="3"/>
  <c r="BL222" i="3"/>
  <c r="BL224" i="3"/>
  <c r="BL227" i="3"/>
  <c r="BL231" i="3"/>
  <c r="BL250" i="3"/>
  <c r="BL262" i="3"/>
  <c r="BL264" i="3"/>
  <c r="BA273" i="3"/>
  <c r="AZ273" i="3" s="1"/>
  <c r="BL275" i="3"/>
  <c r="BA284" i="3"/>
  <c r="BL286" i="3"/>
  <c r="BA114" i="3"/>
  <c r="BL115" i="3"/>
  <c r="AZ115" i="3" s="1"/>
  <c r="BA152" i="3"/>
  <c r="AZ152" i="3" s="1"/>
  <c r="BL173" i="3"/>
  <c r="BL190" i="3"/>
  <c r="BL197" i="3"/>
  <c r="BL58" i="3"/>
  <c r="BA80" i="3"/>
  <c r="C32" i="71"/>
  <c r="D31" i="71"/>
  <c r="BA453" i="3"/>
  <c r="BA455" i="3"/>
  <c r="BA456" i="3"/>
  <c r="AZ456" i="3" s="1"/>
  <c r="BA457" i="3"/>
  <c r="AZ457" i="3" s="1"/>
  <c r="BA458" i="3"/>
  <c r="AZ458" i="3" s="1"/>
  <c r="BA460" i="3"/>
  <c r="BA461" i="3"/>
  <c r="AZ461" i="3" s="1"/>
  <c r="BA462" i="3"/>
  <c r="BA463" i="3"/>
  <c r="AZ463" i="3" s="1"/>
  <c r="BA465" i="3"/>
  <c r="AZ465" i="3" s="1"/>
  <c r="BA466" i="3"/>
  <c r="AZ466" i="3" s="1"/>
  <c r="BL470" i="3"/>
  <c r="BA492" i="3"/>
  <c r="BA323" i="3"/>
  <c r="BL365" i="3"/>
  <c r="AZ365" i="3" s="1"/>
  <c r="BA388" i="3"/>
  <c r="AZ388" i="3" s="1"/>
  <c r="BA208" i="3"/>
  <c r="BL218" i="3"/>
  <c r="BA236" i="3"/>
  <c r="AZ236" i="3" s="1"/>
  <c r="BA238" i="3"/>
  <c r="AZ238" i="3" s="1"/>
  <c r="BA239" i="3"/>
  <c r="AZ239" i="3" s="1"/>
  <c r="BA240" i="3"/>
  <c r="AZ240" i="3" s="1"/>
  <c r="BA241" i="3"/>
  <c r="AZ241" i="3" s="1"/>
  <c r="BA243" i="3"/>
  <c r="AZ243" i="3" s="1"/>
  <c r="BA244" i="3"/>
  <c r="AZ244" i="3" s="1"/>
  <c r="BA245" i="3"/>
  <c r="AZ245" i="3" s="1"/>
  <c r="BL249" i="3"/>
  <c r="BA258" i="3"/>
  <c r="BL261" i="3"/>
  <c r="BA271" i="3"/>
  <c r="BL274" i="3"/>
  <c r="BL285" i="3"/>
  <c r="BA292" i="3"/>
  <c r="BA293" i="3"/>
  <c r="AZ293" i="3" s="1"/>
  <c r="BA295" i="3"/>
  <c r="BA297" i="3"/>
  <c r="AZ297" i="3" s="1"/>
  <c r="BA298" i="3"/>
  <c r="AZ298" i="3" s="1"/>
  <c r="BA299" i="3"/>
  <c r="AZ299" i="3" s="1"/>
  <c r="BL113" i="3"/>
  <c r="G115" i="3"/>
  <c r="BA170" i="3"/>
  <c r="BL171" i="3"/>
  <c r="AZ171" i="3" s="1"/>
  <c r="BL189" i="3"/>
  <c r="BL206" i="3"/>
  <c r="BL23" i="3"/>
  <c r="BL39" i="3"/>
  <c r="BA55" i="3"/>
  <c r="BA78" i="3"/>
  <c r="BL79" i="3"/>
  <c r="BA89" i="3"/>
  <c r="AZ89" i="3" s="1"/>
  <c r="BA108" i="3"/>
  <c r="BA400" i="3"/>
  <c r="BA402" i="3"/>
  <c r="AZ402" i="3" s="1"/>
  <c r="BA403" i="3"/>
  <c r="BA404" i="3"/>
  <c r="AZ404" i="3" s="1"/>
  <c r="BA406" i="3"/>
  <c r="AZ406" i="3" s="1"/>
  <c r="BA408" i="3"/>
  <c r="BA409" i="3"/>
  <c r="AZ409" i="3" s="1"/>
  <c r="BL413" i="3"/>
  <c r="BL416" i="3"/>
  <c r="G417" i="3"/>
  <c r="BA424" i="3"/>
  <c r="BA425" i="3"/>
  <c r="AZ425" i="3" s="1"/>
  <c r="BL429" i="3"/>
  <c r="BL432" i="3"/>
  <c r="G433" i="3"/>
  <c r="G470" i="3"/>
  <c r="G313" i="3"/>
  <c r="BA331" i="3"/>
  <c r="AZ331" i="3" s="1"/>
  <c r="BL333" i="3"/>
  <c r="BA350" i="3"/>
  <c r="AZ350" i="3" s="1"/>
  <c r="BA374" i="3"/>
  <c r="AZ374" i="3" s="1"/>
  <c r="BA385" i="3"/>
  <c r="AZ385" i="3" s="1"/>
  <c r="BA395" i="3"/>
  <c r="BL211" i="3"/>
  <c r="BL217" i="3"/>
  <c r="G218" i="3"/>
  <c r="BL248" i="3"/>
  <c r="G249" i="3"/>
  <c r="BA270" i="3"/>
  <c r="AZ270" i="3" s="1"/>
  <c r="G274" i="3"/>
  <c r="G285" i="3"/>
  <c r="BL302" i="3"/>
  <c r="BA130" i="3"/>
  <c r="AZ130" i="3" s="1"/>
  <c r="BA150" i="3"/>
  <c r="BA165" i="3"/>
  <c r="BL169" i="3"/>
  <c r="BA176" i="3"/>
  <c r="AZ176" i="3" s="1"/>
  <c r="BA186" i="3"/>
  <c r="BL187" i="3"/>
  <c r="AZ187" i="3" s="1"/>
  <c r="BL205" i="3"/>
  <c r="BA87" i="3"/>
  <c r="BL112" i="3"/>
  <c r="G413" i="3"/>
  <c r="G416" i="3"/>
  <c r="BL428" i="3"/>
  <c r="G429" i="3"/>
  <c r="G432" i="3"/>
  <c r="BA449" i="3"/>
  <c r="AZ449" i="3" s="1"/>
  <c r="BL453" i="3"/>
  <c r="BL455" i="3"/>
  <c r="BL458" i="3"/>
  <c r="BL460" i="3"/>
  <c r="BL462" i="3"/>
  <c r="BL465" i="3"/>
  <c r="BL468" i="3"/>
  <c r="G469" i="3"/>
  <c r="BL492" i="3"/>
  <c r="BL332" i="3"/>
  <c r="BA349" i="3"/>
  <c r="AZ349" i="3" s="1"/>
  <c r="G364" i="3"/>
  <c r="BL375" i="3"/>
  <c r="AZ375" i="3" s="1"/>
  <c r="BL208" i="3"/>
  <c r="BL210" i="3"/>
  <c r="G211" i="3"/>
  <c r="E211" i="3" s="1"/>
  <c r="G217" i="3"/>
  <c r="BL236" i="3"/>
  <c r="BL238" i="3"/>
  <c r="BL243" i="3"/>
  <c r="BL247" i="3"/>
  <c r="G259" i="3"/>
  <c r="G260" i="3"/>
  <c r="BA267" i="3"/>
  <c r="AZ267" i="3" s="1"/>
  <c r="BA269" i="3"/>
  <c r="BL271" i="3"/>
  <c r="G273" i="3"/>
  <c r="BA281" i="3"/>
  <c r="BL283" i="3"/>
  <c r="G284" i="3"/>
  <c r="BL292" i="3"/>
  <c r="BL295" i="3"/>
  <c r="BA118" i="3"/>
  <c r="BA129" i="3"/>
  <c r="AZ129" i="3" s="1"/>
  <c r="BL141" i="3"/>
  <c r="BL151" i="3"/>
  <c r="AZ151" i="3" s="1"/>
  <c r="BA164" i="3"/>
  <c r="AZ164" i="3" s="1"/>
  <c r="BL166" i="3"/>
  <c r="BL178" i="3"/>
  <c r="BA192" i="3"/>
  <c r="AZ192" i="3" s="1"/>
  <c r="BL194" i="3"/>
  <c r="BA201" i="3"/>
  <c r="BL21" i="3"/>
  <c r="BL29" i="3"/>
  <c r="BL45" i="3"/>
  <c r="BL63" i="3"/>
  <c r="BA73" i="3"/>
  <c r="BL74" i="3"/>
  <c r="AZ485" i="3"/>
  <c r="AZ487" i="3"/>
  <c r="BL130" i="3"/>
  <c r="BA146" i="3"/>
  <c r="AZ146" i="3" s="1"/>
  <c r="BA160" i="3"/>
  <c r="AZ160" i="3" s="1"/>
  <c r="BL177" i="3"/>
  <c r="BL203" i="3"/>
  <c r="AZ203" i="3" s="1"/>
  <c r="BL28" i="3"/>
  <c r="BL5" i="3" s="1"/>
  <c r="BA36" i="3"/>
  <c r="BL44" i="3"/>
  <c r="BL62" i="3"/>
  <c r="BA69" i="3"/>
  <c r="BA113" i="3"/>
  <c r="AZ113" i="3" s="1"/>
  <c r="BL119" i="3"/>
  <c r="AZ119" i="3" s="1"/>
  <c r="BA126" i="3"/>
  <c r="AZ126" i="3" s="1"/>
  <c r="BA128" i="3"/>
  <c r="AZ128" i="3" s="1"/>
  <c r="BA169" i="3"/>
  <c r="BL175" i="3"/>
  <c r="AZ175" i="3" s="1"/>
  <c r="BL179" i="3"/>
  <c r="AZ179" i="3" s="1"/>
  <c r="BL182" i="3"/>
  <c r="BL53" i="3"/>
  <c r="BA68" i="3"/>
  <c r="AZ68" i="3" s="1"/>
  <c r="BA70" i="3"/>
  <c r="AZ70" i="3" s="1"/>
  <c r="BA71" i="3"/>
  <c r="AZ71" i="3" s="1"/>
  <c r="BA72" i="3"/>
  <c r="AZ72" i="3" s="1"/>
  <c r="BA74" i="3"/>
  <c r="BA76" i="3"/>
  <c r="AZ76" i="3" s="1"/>
  <c r="BA77" i="3"/>
  <c r="AZ77" i="3" s="1"/>
  <c r="BA79" i="3"/>
  <c r="AZ79" i="3" s="1"/>
  <c r="BA81" i="3"/>
  <c r="AZ81" i="3" s="1"/>
  <c r="BA82" i="3"/>
  <c r="AZ82" i="3" s="1"/>
  <c r="BL85" i="3"/>
  <c r="BA95" i="3"/>
  <c r="BL98" i="3"/>
  <c r="BL101" i="3"/>
  <c r="BL103" i="3"/>
  <c r="S18" i="36"/>
  <c r="C60" i="71"/>
  <c r="T60" i="71" s="1"/>
  <c r="D67" i="71"/>
  <c r="AB26" i="71"/>
  <c r="C55" i="71"/>
  <c r="Y25" i="71"/>
  <c r="Z25" i="71" s="1"/>
  <c r="E38" i="71"/>
  <c r="E39" i="71" s="1"/>
  <c r="E40" i="71" s="1"/>
  <c r="U40" i="71" s="1"/>
  <c r="AA34" i="71"/>
  <c r="B43" i="71"/>
  <c r="B44" i="71" s="1"/>
  <c r="S44" i="71" s="1"/>
  <c r="F55" i="71"/>
  <c r="F56" i="71" s="1"/>
  <c r="V56" i="71" s="1"/>
  <c r="BL273" i="3"/>
  <c r="BL277" i="3"/>
  <c r="G278" i="3"/>
  <c r="G280" i="3"/>
  <c r="G282" i="3"/>
  <c r="BA302" i="3"/>
  <c r="G119" i="3"/>
  <c r="BL129" i="3"/>
  <c r="BL131" i="3"/>
  <c r="AZ131" i="3" s="1"/>
  <c r="BL134" i="3"/>
  <c r="G135" i="3"/>
  <c r="BA140" i="3"/>
  <c r="AZ140" i="3" s="1"/>
  <c r="BL142" i="3"/>
  <c r="G143" i="3"/>
  <c r="BA157" i="3"/>
  <c r="AZ157" i="3" s="1"/>
  <c r="BA158" i="3"/>
  <c r="AZ158" i="3" s="1"/>
  <c r="BA161" i="3"/>
  <c r="AZ161" i="3" s="1"/>
  <c r="BA162" i="3"/>
  <c r="AZ162" i="3" s="1"/>
  <c r="BA166" i="3"/>
  <c r="AZ166" i="3" s="1"/>
  <c r="BA168" i="3"/>
  <c r="AZ168" i="3" s="1"/>
  <c r="G182" i="3"/>
  <c r="G196" i="3"/>
  <c r="BL22" i="3"/>
  <c r="BL26" i="3"/>
  <c r="BL31" i="3"/>
  <c r="BL33" i="3"/>
  <c r="BL37" i="3"/>
  <c r="BL41" i="3"/>
  <c r="BL43" i="3"/>
  <c r="BL47" i="3"/>
  <c r="BL50" i="3"/>
  <c r="BL52" i="3"/>
  <c r="G53" i="3"/>
  <c r="BL84" i="3"/>
  <c r="G85" i="3"/>
  <c r="BL97" i="3"/>
  <c r="G98" i="3"/>
  <c r="G101" i="3"/>
  <c r="G103" i="3"/>
  <c r="J51" i="15"/>
  <c r="C66" i="71"/>
  <c r="AB25" i="71"/>
  <c r="D72" i="71"/>
  <c r="D34" i="71"/>
  <c r="Y38" i="71"/>
  <c r="Z38" i="71" s="1"/>
  <c r="B47" i="71"/>
  <c r="B48" i="71" s="1"/>
  <c r="S48" i="71" s="1"/>
  <c r="B13" i="1"/>
  <c r="E13" i="1" s="1"/>
  <c r="C25" i="40"/>
  <c r="U28" i="71"/>
  <c r="F31" i="71"/>
  <c r="F32" i="71" s="1"/>
  <c r="V32" i="71" s="1"/>
  <c r="E43" i="71"/>
  <c r="E44" i="71" s="1"/>
  <c r="U44" i="71" s="1"/>
  <c r="G171" i="3"/>
  <c r="BA189" i="3"/>
  <c r="BA190" i="3"/>
  <c r="BL193" i="3"/>
  <c r="G194" i="3"/>
  <c r="BA202" i="3"/>
  <c r="AZ202" i="3" s="1"/>
  <c r="BA204" i="3"/>
  <c r="AZ204" i="3" s="1"/>
  <c r="BA205" i="3"/>
  <c r="BA206" i="3"/>
  <c r="BL20" i="3"/>
  <c r="G21" i="3"/>
  <c r="BA58" i="3"/>
  <c r="AZ58" i="3" s="1"/>
  <c r="BA59" i="3"/>
  <c r="AZ59" i="3" s="1"/>
  <c r="BA61" i="3"/>
  <c r="AZ61" i="3" s="1"/>
  <c r="BA62" i="3"/>
  <c r="AZ62" i="3" s="1"/>
  <c r="BA63" i="3"/>
  <c r="AZ63" i="3" s="1"/>
  <c r="BL67" i="3"/>
  <c r="G68" i="3"/>
  <c r="G70" i="3"/>
  <c r="G71" i="3"/>
  <c r="G74" i="3"/>
  <c r="G76" i="3"/>
  <c r="G79" i="3"/>
  <c r="G81" i="3"/>
  <c r="BA91" i="3"/>
  <c r="BL94" i="3"/>
  <c r="G95" i="3"/>
  <c r="G1" i="83"/>
  <c r="D51" i="43"/>
  <c r="C21" i="68"/>
  <c r="AB21" i="21"/>
  <c r="AA21" i="33"/>
  <c r="U25" i="40"/>
  <c r="B57" i="43"/>
  <c r="U68" i="71"/>
  <c r="X30" i="71"/>
  <c r="AA38" i="71"/>
  <c r="F43" i="71"/>
  <c r="F44" i="71" s="1"/>
  <c r="V44" i="71" s="1"/>
  <c r="E47" i="71"/>
  <c r="E48" i="71" s="1"/>
  <c r="U48" i="71" s="1"/>
  <c r="B63" i="71"/>
  <c r="B64" i="71" s="1"/>
  <c r="S64" i="71" s="1"/>
  <c r="B71" i="71"/>
  <c r="B70" i="71" s="1"/>
  <c r="B18" i="71"/>
  <c r="B17" i="71" s="1"/>
  <c r="C7" i="37"/>
  <c r="C52" i="37" s="1"/>
  <c r="D52" i="37" s="1"/>
  <c r="J51" i="83"/>
  <c r="J51" i="82"/>
  <c r="S28" i="71"/>
  <c r="C71" i="71"/>
  <c r="X28" i="71"/>
  <c r="AB29" i="71"/>
  <c r="AB38" i="71"/>
  <c r="BL138" i="3"/>
  <c r="BA144" i="3"/>
  <c r="AZ144" i="3" s="1"/>
  <c r="BL153" i="3"/>
  <c r="BL155" i="3"/>
  <c r="AZ155" i="3" s="1"/>
  <c r="BA185" i="3"/>
  <c r="AZ185" i="3" s="1"/>
  <c r="BA197" i="3"/>
  <c r="AZ197" i="3" s="1"/>
  <c r="BL202" i="3"/>
  <c r="BL18" i="3"/>
  <c r="BA54" i="3"/>
  <c r="BL61" i="3"/>
  <c r="BL65" i="3"/>
  <c r="BL91" i="3"/>
  <c r="BL92" i="3"/>
  <c r="BA104" i="3"/>
  <c r="AZ104" i="3" s="1"/>
  <c r="BA106" i="3"/>
  <c r="AZ106" i="3" s="1"/>
  <c r="BA107" i="3"/>
  <c r="AZ107" i="3" s="1"/>
  <c r="BA109" i="3"/>
  <c r="BA111" i="3"/>
  <c r="BA112" i="3"/>
  <c r="AZ112" i="3" s="1"/>
  <c r="C40" i="68"/>
  <c r="U21" i="34"/>
  <c r="C39" i="71"/>
  <c r="AB35" i="71"/>
  <c r="N56" i="9"/>
  <c r="BA252" i="3"/>
  <c r="BA254" i="3"/>
  <c r="AZ254" i="3" s="1"/>
  <c r="BA255" i="3"/>
  <c r="AZ255" i="3" s="1"/>
  <c r="BL258" i="3"/>
  <c r="BL260" i="3"/>
  <c r="G261" i="3"/>
  <c r="BA278" i="3"/>
  <c r="AZ278" i="3" s="1"/>
  <c r="BA280" i="3"/>
  <c r="BL284" i="3"/>
  <c r="BL290" i="3"/>
  <c r="G291" i="3"/>
  <c r="BA117" i="3"/>
  <c r="AZ117" i="3" s="1"/>
  <c r="BL122" i="3"/>
  <c r="G123" i="3"/>
  <c r="BL137" i="3"/>
  <c r="G138" i="3"/>
  <c r="BL147" i="3"/>
  <c r="AZ147" i="3" s="1"/>
  <c r="BL150" i="3"/>
  <c r="G155" i="3"/>
  <c r="BA173" i="3"/>
  <c r="AZ173" i="3" s="1"/>
  <c r="BA174" i="3"/>
  <c r="AZ174" i="3" s="1"/>
  <c r="BA177" i="3"/>
  <c r="AZ177" i="3" s="1"/>
  <c r="BA178" i="3"/>
  <c r="AZ178" i="3" s="1"/>
  <c r="BA182" i="3"/>
  <c r="AZ182" i="3" s="1"/>
  <c r="BA184" i="3"/>
  <c r="AZ184" i="3" s="1"/>
  <c r="BA196" i="3"/>
  <c r="AZ196" i="3" s="1"/>
  <c r="G202" i="3"/>
  <c r="G18" i="3"/>
  <c r="BL57" i="3"/>
  <c r="AZ57" i="3" s="1"/>
  <c r="G58" i="3"/>
  <c r="G61" i="3"/>
  <c r="G65" i="3"/>
  <c r="BL87" i="3"/>
  <c r="BL89" i="3"/>
  <c r="BL90" i="3"/>
  <c r="G91" i="3"/>
  <c r="BA98" i="3"/>
  <c r="AZ98" i="3" s="1"/>
  <c r="BA99" i="3"/>
  <c r="AZ99" i="3" s="1"/>
  <c r="BA101" i="3"/>
  <c r="AZ101" i="3" s="1"/>
  <c r="D55" i="43"/>
  <c r="AC21" i="21"/>
  <c r="U21" i="37"/>
  <c r="S21" i="21"/>
  <c r="BA22" i="3"/>
  <c r="AZ22" i="3" s="1"/>
  <c r="BA23" i="3"/>
  <c r="AZ23" i="3" s="1"/>
  <c r="BA24" i="3"/>
  <c r="AZ24" i="3" s="1"/>
  <c r="BA26" i="3"/>
  <c r="AZ26" i="3" s="1"/>
  <c r="BA27" i="3"/>
  <c r="AZ27" i="3" s="1"/>
  <c r="BA28" i="3"/>
  <c r="BA29" i="3"/>
  <c r="AZ29" i="3" s="1"/>
  <c r="BA31" i="3"/>
  <c r="BA33" i="3"/>
  <c r="BA34" i="3"/>
  <c r="AZ34" i="3" s="1"/>
  <c r="BA35" i="3"/>
  <c r="AZ35" i="3" s="1"/>
  <c r="BA37" i="3"/>
  <c r="BA38" i="3"/>
  <c r="AZ38" i="3" s="1"/>
  <c r="BA39" i="3"/>
  <c r="AZ39" i="3" s="1"/>
  <c r="BA41" i="3"/>
  <c r="AZ41" i="3" s="1"/>
  <c r="BA43" i="3"/>
  <c r="AZ43" i="3" s="1"/>
  <c r="BA44" i="3"/>
  <c r="AZ44" i="3" s="1"/>
  <c r="BA45" i="3"/>
  <c r="AZ45" i="3" s="1"/>
  <c r="BA47" i="3"/>
  <c r="AZ47" i="3" s="1"/>
  <c r="BA48" i="3"/>
  <c r="AZ48" i="3" s="1"/>
  <c r="BA50" i="3"/>
  <c r="AZ50" i="3" s="1"/>
  <c r="BL54" i="3"/>
  <c r="BL56" i="3"/>
  <c r="BL86" i="3"/>
  <c r="BL104" i="3"/>
  <c r="BL109" i="3"/>
  <c r="BL111" i="3"/>
  <c r="D63" i="71"/>
  <c r="AB27" i="71"/>
  <c r="E75" i="71"/>
  <c r="E74" i="71" s="1"/>
  <c r="AA3" i="71"/>
  <c r="Y27" i="71"/>
  <c r="Z27" i="71" s="1"/>
  <c r="X29" i="71"/>
  <c r="F39" i="71"/>
  <c r="F40" i="71" s="1"/>
  <c r="V40" i="71" s="1"/>
  <c r="AB23" i="21"/>
  <c r="D20" i="71"/>
  <c r="U20" i="71" s="1"/>
  <c r="T20" i="71"/>
  <c r="V20" i="71"/>
  <c r="U32" i="39"/>
  <c r="S13" i="21"/>
  <c r="AA23" i="21"/>
  <c r="AA19" i="33"/>
  <c r="AZ382" i="3"/>
  <c r="AZ342" i="3"/>
  <c r="AZ321" i="3"/>
  <c r="W12" i="37"/>
  <c r="AC12" i="37"/>
  <c r="G101" i="33"/>
  <c r="H101" i="33" s="1"/>
  <c r="I101" i="33" s="1"/>
  <c r="J101" i="33" s="1"/>
  <c r="K101" i="33" s="1"/>
  <c r="L101" i="33" s="1"/>
  <c r="M101" i="33" s="1"/>
  <c r="H32" i="33"/>
  <c r="AB32" i="33" s="1"/>
  <c r="F48" i="9"/>
  <c r="O52" i="9" s="1"/>
  <c r="F32" i="82"/>
  <c r="F60" i="82" s="1"/>
  <c r="F28" i="82"/>
  <c r="M18" i="82"/>
  <c r="AZ581" i="3"/>
  <c r="BA551" i="3"/>
  <c r="AZ551" i="3" s="1"/>
  <c r="BL548" i="3"/>
  <c r="AZ548" i="3" s="1"/>
  <c r="AZ438" i="3"/>
  <c r="AZ443" i="3"/>
  <c r="AZ446" i="3"/>
  <c r="AZ450" i="3"/>
  <c r="AZ454" i="3"/>
  <c r="AZ376" i="3"/>
  <c r="AZ362" i="3"/>
  <c r="AZ360" i="3"/>
  <c r="AZ343" i="3"/>
  <c r="AC46" i="21"/>
  <c r="W44" i="21"/>
  <c r="U11" i="33"/>
  <c r="AC31" i="33"/>
  <c r="W47" i="34"/>
  <c r="U14" i="40"/>
  <c r="AZ511" i="3"/>
  <c r="AZ519" i="3"/>
  <c r="AZ569" i="3"/>
  <c r="AZ577" i="3"/>
  <c r="AZ513" i="3"/>
  <c r="AZ517" i="3"/>
  <c r="AZ567" i="3"/>
  <c r="AZ571" i="3"/>
  <c r="AZ575" i="3"/>
  <c r="AZ579" i="3"/>
  <c r="AZ568" i="3"/>
  <c r="AC28" i="21"/>
  <c r="S11" i="36"/>
  <c r="W31" i="34"/>
  <c r="AA44" i="33"/>
  <c r="U23" i="40"/>
  <c r="AA29" i="35"/>
  <c r="AB23" i="34"/>
  <c r="BL586" i="3"/>
  <c r="AZ586" i="3" s="1"/>
  <c r="H38" i="33"/>
  <c r="AB38" i="33" s="1"/>
  <c r="E121" i="33"/>
  <c r="F121" i="33" s="1"/>
  <c r="G121" i="33" s="1"/>
  <c r="H121" i="33" s="1"/>
  <c r="I121" i="33" s="1"/>
  <c r="J121" i="33" s="1"/>
  <c r="K121" i="33" s="1"/>
  <c r="L121" i="33" s="1"/>
  <c r="M121" i="33" s="1"/>
  <c r="F12" i="35"/>
  <c r="J23" i="35"/>
  <c r="F25" i="37"/>
  <c r="H39" i="40"/>
  <c r="G570" i="3"/>
  <c r="G556" i="3"/>
  <c r="BL550" i="3"/>
  <c r="BA550" i="3"/>
  <c r="G526" i="3"/>
  <c r="M20" i="15"/>
  <c r="F34" i="82"/>
  <c r="F62" i="82" s="1"/>
  <c r="M20" i="82"/>
  <c r="BL15" i="3"/>
  <c r="AZ15" i="3" s="1"/>
  <c r="G398" i="3"/>
  <c r="BL398" i="3"/>
  <c r="AZ398" i="3" s="1"/>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BA448" i="3"/>
  <c r="AZ448" i="3" s="1"/>
  <c r="BA451" i="3"/>
  <c r="BL451" i="3"/>
  <c r="BA452" i="3"/>
  <c r="AZ452" i="3" s="1"/>
  <c r="AZ459" i="3"/>
  <c r="AZ477" i="3"/>
  <c r="BA256" i="3"/>
  <c r="AZ256" i="3" s="1"/>
  <c r="BA257" i="3"/>
  <c r="AZ257" i="3" s="1"/>
  <c r="BL259" i="3"/>
  <c r="AZ259" i="3" s="1"/>
  <c r="BA260" i="3"/>
  <c r="BA261" i="3"/>
  <c r="AZ261" i="3" s="1"/>
  <c r="BL263" i="3"/>
  <c r="AZ263" i="3" s="1"/>
  <c r="BA264" i="3"/>
  <c r="AZ264" i="3" s="1"/>
  <c r="BA265" i="3"/>
  <c r="BA266" i="3"/>
  <c r="AZ266" i="3" s="1"/>
  <c r="BL268" i="3"/>
  <c r="AZ268" i="3" s="1"/>
  <c r="G271" i="3"/>
  <c r="G272" i="3"/>
  <c r="BL272" i="3"/>
  <c r="G275" i="3"/>
  <c r="G276" i="3"/>
  <c r="BL276" i="3"/>
  <c r="BA277" i="3"/>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AZ121" i="3" s="1"/>
  <c r="BA122" i="3"/>
  <c r="AZ122" i="3" s="1"/>
  <c r="BL123" i="3"/>
  <c r="AZ123" i="3" s="1"/>
  <c r="BA125" i="3"/>
  <c r="AZ125" i="3" s="1"/>
  <c r="G128" i="3"/>
  <c r="G131" i="3"/>
  <c r="BL133" i="3"/>
  <c r="AZ133" i="3" s="1"/>
  <c r="BA134" i="3"/>
  <c r="BL135" i="3"/>
  <c r="AZ135" i="3" s="1"/>
  <c r="BA137" i="3"/>
  <c r="AZ137" i="3" s="1"/>
  <c r="BA138" i="3"/>
  <c r="AZ138" i="3" s="1"/>
  <c r="BL139" i="3"/>
  <c r="AZ139" i="3" s="1"/>
  <c r="BA141" i="3"/>
  <c r="AZ141" i="3" s="1"/>
  <c r="BA142" i="3"/>
  <c r="AZ142" i="3" s="1"/>
  <c r="BL143" i="3"/>
  <c r="AZ143" i="3" s="1"/>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457" i="3"/>
  <c r="G458" i="3"/>
  <c r="G462" i="3"/>
  <c r="G464" i="3"/>
  <c r="BL464" i="3"/>
  <c r="AZ464" i="3" s="1"/>
  <c r="G467" i="3"/>
  <c r="BL467" i="3"/>
  <c r="AZ467" i="3" s="1"/>
  <c r="BA468" i="3"/>
  <c r="AZ468" i="3" s="1"/>
  <c r="BA469" i="3"/>
  <c r="BL469" i="3"/>
  <c r="BA470" i="3"/>
  <c r="AZ470" i="3" s="1"/>
  <c r="G473" i="3"/>
  <c r="G474" i="3"/>
  <c r="BL474" i="3"/>
  <c r="AZ474" i="3" s="1"/>
  <c r="BA475" i="3"/>
  <c r="G480" i="3"/>
  <c r="BL480" i="3"/>
  <c r="AZ480" i="3" s="1"/>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BA234" i="3"/>
  <c r="AZ234" i="3" s="1"/>
  <c r="BA235" i="3"/>
  <c r="AZ235" i="3" s="1"/>
  <c r="BL237" i="3"/>
  <c r="AZ237" i="3" s="1"/>
  <c r="G240" i="3"/>
  <c r="G241" i="3"/>
  <c r="G242" i="3"/>
  <c r="BL242" i="3"/>
  <c r="AZ242" i="3" s="1"/>
  <c r="G245" i="3"/>
  <c r="G246" i="3"/>
  <c r="BL246" i="3"/>
  <c r="AZ246" i="3" s="1"/>
  <c r="BA247" i="3"/>
  <c r="AZ247" i="3" s="1"/>
  <c r="BA248" i="3"/>
  <c r="AZ248" i="3" s="1"/>
  <c r="BA249" i="3"/>
  <c r="BA250" i="3"/>
  <c r="AZ250" i="3" s="1"/>
  <c r="BA251" i="3"/>
  <c r="AZ251" i="3" s="1"/>
  <c r="BL253" i="3"/>
  <c r="AZ253" i="3" s="1"/>
  <c r="G256" i="3"/>
  <c r="G59" i="3"/>
  <c r="G60" i="3"/>
  <c r="BL60" i="3"/>
  <c r="G63" i="3"/>
  <c r="G64" i="3"/>
  <c r="BL64" i="3"/>
  <c r="AZ64" i="3" s="1"/>
  <c r="BA65" i="3"/>
  <c r="AZ65" i="3" s="1"/>
  <c r="BA66" i="3"/>
  <c r="AZ66" i="3" s="1"/>
  <c r="BA67" i="3"/>
  <c r="AZ67" i="3" s="1"/>
  <c r="BL69" i="3"/>
  <c r="AZ69" i="3" s="1"/>
  <c r="G72" i="3"/>
  <c r="G73" i="3"/>
  <c r="BL73" i="3"/>
  <c r="BL75" i="3"/>
  <c r="AZ75" i="3" s="1"/>
  <c r="G77" i="3"/>
  <c r="G78" i="3"/>
  <c r="BL78" i="3"/>
  <c r="BL80" i="3"/>
  <c r="AZ80" i="3" s="1"/>
  <c r="G82" i="3"/>
  <c r="G83" i="3"/>
  <c r="C47" i="71"/>
  <c r="D47" i="71" s="1"/>
  <c r="D46" i="7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5" i="3" s="1"/>
  <c r="B3" i="3" s="1"/>
  <c r="G30" i="3"/>
  <c r="BL30" i="3"/>
  <c r="BL32" i="3"/>
  <c r="AZ32" i="3" s="1"/>
  <c r="G35" i="3"/>
  <c r="G36" i="3"/>
  <c r="BL36" i="3"/>
  <c r="G39" i="3"/>
  <c r="G40" i="3"/>
  <c r="BL40" i="3"/>
  <c r="AZ40" i="3" s="1"/>
  <c r="BL42" i="3"/>
  <c r="AZ42" i="3" s="1"/>
  <c r="G45" i="3"/>
  <c r="G46" i="3"/>
  <c r="BL46" i="3"/>
  <c r="G49" i="3"/>
  <c r="BL49" i="3"/>
  <c r="BL51" i="3"/>
  <c r="AZ51" i="3" s="1"/>
  <c r="BA52" i="3"/>
  <c r="AZ52" i="3" s="1"/>
  <c r="BA53" i="3"/>
  <c r="AZ53" i="3" s="1"/>
  <c r="BL55" i="3"/>
  <c r="AZ55" i="3" s="1"/>
  <c r="BA56" i="3"/>
  <c r="AZ56" i="3" s="1"/>
  <c r="J50" i="43"/>
  <c r="D50" i="43"/>
  <c r="D42" i="71"/>
  <c r="C43" i="71"/>
  <c r="C51" i="71"/>
  <c r="D50" i="71"/>
  <c r="BA83" i="3"/>
  <c r="AZ83" i="3" s="1"/>
  <c r="BA84" i="3"/>
  <c r="BA85" i="3"/>
  <c r="BA86" i="3"/>
  <c r="AZ86" i="3" s="1"/>
  <c r="BL88" i="3"/>
  <c r="AZ88" i="3" s="1"/>
  <c r="BA90" i="3"/>
  <c r="AZ90" i="3" s="1"/>
  <c r="BA92" i="3"/>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F3" i="35"/>
  <c r="G1" i="82"/>
  <c r="AC21" i="34"/>
  <c r="U18" i="35"/>
  <c r="S21" i="37"/>
  <c r="C29" i="39"/>
  <c r="B68" i="43"/>
  <c r="B77" i="43"/>
  <c r="D60" i="71"/>
  <c r="D36" i="71"/>
  <c r="AA30" i="71"/>
  <c r="AA35" i="71"/>
  <c r="AB30" i="71"/>
  <c r="AB32" i="71"/>
  <c r="Y30" i="71"/>
  <c r="Z30" i="71" s="1"/>
  <c r="X33" i="71"/>
  <c r="AB36" i="71"/>
  <c r="B55" i="71"/>
  <c r="B56" i="71" s="1"/>
  <c r="S56" i="71" s="1"/>
  <c r="V24" i="71"/>
  <c r="S42" i="33"/>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J46" i="36" s="1"/>
  <c r="W44" i="33"/>
  <c r="S45" i="33"/>
  <c r="D52" i="43"/>
  <c r="G6" i="1"/>
  <c r="I24" i="43"/>
  <c r="C24" i="43" s="1"/>
  <c r="E15" i="71"/>
  <c r="E14" i="71" s="1"/>
  <c r="E13" i="71" s="1"/>
  <c r="E12" i="71" s="1"/>
  <c r="V16" i="71"/>
  <c r="D126" i="9"/>
  <c r="I14" i="74" s="1"/>
  <c r="D19" i="53"/>
  <c r="B38" i="72" s="1"/>
  <c r="D16" i="53"/>
  <c r="B34" i="72" s="1"/>
  <c r="AZ557" i="3"/>
  <c r="AB13" i="21"/>
  <c r="U13" i="21"/>
  <c r="W27" i="21"/>
  <c r="AC27" i="21"/>
  <c r="W29" i="21"/>
  <c r="AC29" i="21"/>
  <c r="S12" i="21"/>
  <c r="AA12" i="21"/>
  <c r="B94" i="43"/>
  <c r="B73" i="43"/>
  <c r="B99" i="43"/>
  <c r="B76" i="43"/>
  <c r="AZ400" i="3"/>
  <c r="AZ424" i="3"/>
  <c r="AZ429" i="3"/>
  <c r="AZ439" i="3"/>
  <c r="AZ444" i="3"/>
  <c r="W17" i="21"/>
  <c r="AC15" i="21"/>
  <c r="S20" i="35"/>
  <c r="U12" i="39"/>
  <c r="AA27" i="40"/>
  <c r="AB27" i="40"/>
  <c r="G28" i="6"/>
  <c r="E28" i="6" s="1"/>
  <c r="K14" i="1" s="1"/>
  <c r="F29" i="6"/>
  <c r="U43" i="33"/>
  <c r="AA41" i="34"/>
  <c r="U46" i="33"/>
  <c r="AA13" i="35"/>
  <c r="B101" i="43"/>
  <c r="B79" i="43"/>
  <c r="B97" i="43"/>
  <c r="B75" i="43"/>
  <c r="AZ445" i="3"/>
  <c r="AZ453" i="3"/>
  <c r="AZ455" i="3"/>
  <c r="AZ460" i="3"/>
  <c r="AZ471" i="3"/>
  <c r="AZ476" i="3"/>
  <c r="AZ478" i="3"/>
  <c r="AZ492" i="3"/>
  <c r="AZ395" i="3"/>
  <c r="AZ208" i="3"/>
  <c r="AZ211" i="3"/>
  <c r="AZ252" i="3"/>
  <c r="AZ272" i="3"/>
  <c r="AZ276" i="3"/>
  <c r="AZ294" i="3"/>
  <c r="AZ300" i="3"/>
  <c r="AZ118" i="3"/>
  <c r="F9" i="34"/>
  <c r="AA9" i="34" s="1"/>
  <c r="F12" i="34"/>
  <c r="F34" i="35"/>
  <c r="H34" i="35"/>
  <c r="J36" i="35"/>
  <c r="F23" i="36"/>
  <c r="H23" i="36"/>
  <c r="AZ284" i="3"/>
  <c r="AZ292" i="3"/>
  <c r="AZ153" i="3"/>
  <c r="AZ169" i="3"/>
  <c r="AZ201" i="3"/>
  <c r="AZ207" i="3"/>
  <c r="AZ25" i="3"/>
  <c r="AZ30" i="3"/>
  <c r="AZ36"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65" i="67"/>
  <c r="F51" i="15"/>
  <c r="L59" i="15"/>
  <c r="N59" i="15"/>
  <c r="L58" i="15"/>
  <c r="M59" i="15"/>
  <c r="F66" i="15"/>
  <c r="F64" i="15"/>
  <c r="C27" i="15"/>
  <c r="F65" i="15"/>
  <c r="N59" i="67"/>
  <c r="L59" i="67"/>
  <c r="M59" i="67"/>
  <c r="B13" i="70"/>
  <c r="F68" i="67"/>
  <c r="F64" i="67"/>
  <c r="F68" i="15"/>
  <c r="C36" i="68"/>
  <c r="D9" i="69"/>
  <c r="D9" i="68"/>
  <c r="F26" i="67"/>
  <c r="D7" i="73"/>
  <c r="M6" i="67"/>
  <c r="F9" i="67"/>
  <c r="D5" i="73"/>
  <c r="G1" i="73" s="1"/>
  <c r="M8" i="67"/>
  <c r="F13" i="67"/>
  <c r="M28" i="67"/>
  <c r="M23" i="67"/>
  <c r="F38" i="67"/>
  <c r="C76" i="67"/>
  <c r="M26" i="67"/>
  <c r="L48" i="67"/>
  <c r="M24" i="67"/>
  <c r="F8" i="67"/>
  <c r="D3" i="73"/>
  <c r="F13" i="15"/>
  <c r="F51" i="67" l="1"/>
  <c r="J57" i="67"/>
  <c r="J55" i="67" s="1"/>
  <c r="J58" i="67" s="1"/>
  <c r="Q50" i="67" s="1"/>
  <c r="L56" i="67"/>
  <c r="I54" i="67"/>
  <c r="L58" i="67"/>
  <c r="J53" i="67"/>
  <c r="F1" i="67" s="1"/>
  <c r="Q71" i="67"/>
  <c r="F66" i="67"/>
  <c r="C27" i="67"/>
  <c r="E30" i="3"/>
  <c r="E72" i="3"/>
  <c r="E77" i="3"/>
  <c r="E181" i="3"/>
  <c r="AK6" i="3"/>
  <c r="E277" i="3"/>
  <c r="K6" i="3"/>
  <c r="H6" i="3" s="1"/>
  <c r="E472" i="3"/>
  <c r="E465" i="3"/>
  <c r="E577" i="3"/>
  <c r="E454" i="3"/>
  <c r="E146" i="3"/>
  <c r="E214" i="3"/>
  <c r="E362" i="3"/>
  <c r="E227" i="3"/>
  <c r="E89" i="3"/>
  <c r="E327" i="3"/>
  <c r="AO6" i="3"/>
  <c r="E400" i="3"/>
  <c r="E557" i="3"/>
  <c r="E489" i="3"/>
  <c r="E70" i="3"/>
  <c r="E377" i="3"/>
  <c r="E109" i="3"/>
  <c r="E175" i="3"/>
  <c r="E343" i="3"/>
  <c r="E508" i="3"/>
  <c r="E555" i="3"/>
  <c r="E337" i="3"/>
  <c r="E270" i="3"/>
  <c r="AR6" i="3"/>
  <c r="E538" i="3"/>
  <c r="E380" i="3"/>
  <c r="E216" i="3"/>
  <c r="E261" i="3"/>
  <c r="E183" i="3"/>
  <c r="E503" i="3"/>
  <c r="E91" i="3"/>
  <c r="E301" i="3"/>
  <c r="E586" i="3"/>
  <c r="E124" i="3"/>
  <c r="E347" i="3"/>
  <c r="E253" i="3"/>
  <c r="E45" i="3"/>
  <c r="E457" i="3"/>
  <c r="E318" i="3"/>
  <c r="E515" i="3"/>
  <c r="E476" i="3"/>
  <c r="E331" i="3"/>
  <c r="E122" i="3"/>
  <c r="E136" i="3"/>
  <c r="E306" i="3"/>
  <c r="E224" i="3"/>
  <c r="E532" i="3"/>
  <c r="E474" i="3"/>
  <c r="E288" i="3"/>
  <c r="E537" i="3"/>
  <c r="E475" i="3"/>
  <c r="E168" i="3"/>
  <c r="E257" i="3"/>
  <c r="E14" i="3"/>
  <c r="E397" i="3"/>
  <c r="E207" i="3"/>
  <c r="E379" i="3"/>
  <c r="E411" i="3"/>
  <c r="E432" i="3"/>
  <c r="E547" i="3"/>
  <c r="E546" i="3"/>
  <c r="E92" i="3"/>
  <c r="E272" i="3"/>
  <c r="E317" i="3"/>
  <c r="E29" i="3"/>
  <c r="E217" i="3"/>
  <c r="E268" i="3"/>
  <c r="AJ6" i="3"/>
  <c r="E579" i="3"/>
  <c r="E247" i="3"/>
  <c r="E311" i="3"/>
  <c r="E570" i="3"/>
  <c r="AB6" i="3"/>
  <c r="E335" i="3"/>
  <c r="E189" i="3"/>
  <c r="E278" i="3"/>
  <c r="E172" i="3"/>
  <c r="E535" i="3"/>
  <c r="E135" i="3"/>
  <c r="E263" i="3"/>
  <c r="AI6" i="3"/>
  <c r="E246" i="3"/>
  <c r="E511" i="3"/>
  <c r="E458" i="3"/>
  <c r="E433" i="3"/>
  <c r="E111" i="3"/>
  <c r="E567" i="3"/>
  <c r="E414" i="3"/>
  <c r="E27" i="3"/>
  <c r="E156" i="3"/>
  <c r="E434" i="3"/>
  <c r="E262" i="3"/>
  <c r="E177" i="3"/>
  <c r="Q6" i="3"/>
  <c r="E481" i="3"/>
  <c r="E344" i="3"/>
  <c r="E429" i="3"/>
  <c r="E55" i="3"/>
  <c r="E203" i="3"/>
  <c r="E274" i="3"/>
  <c r="E580" i="3"/>
  <c r="I6" i="3"/>
  <c r="E252" i="3"/>
  <c r="E576" i="3"/>
  <c r="E448" i="3"/>
  <c r="E443" i="3"/>
  <c r="E581" i="3"/>
  <c r="E404" i="3"/>
  <c r="E121" i="3"/>
  <c r="E295" i="3"/>
  <c r="E334" i="3"/>
  <c r="E480" i="3"/>
  <c r="E319" i="3"/>
  <c r="E153" i="3"/>
  <c r="E328" i="3"/>
  <c r="E574" i="3"/>
  <c r="E285" i="3"/>
  <c r="E390" i="3"/>
  <c r="E523" i="3"/>
  <c r="E418" i="3"/>
  <c r="E321" i="3"/>
  <c r="E169" i="3"/>
  <c r="E304" i="3"/>
  <c r="E213" i="3"/>
  <c r="E302" i="3"/>
  <c r="E254" i="3"/>
  <c r="E303" i="3"/>
  <c r="AN6" i="3"/>
  <c r="E280" i="3"/>
  <c r="E107" i="3"/>
  <c r="E553" i="3"/>
  <c r="E516" i="3"/>
  <c r="E151" i="3"/>
  <c r="V6" i="3"/>
  <c r="E114" i="3"/>
  <c r="E550" i="3"/>
  <c r="E245" i="3"/>
  <c r="E293" i="3"/>
  <c r="E453" i="3"/>
  <c r="E314" i="3"/>
  <c r="E99" i="3"/>
  <c r="E193" i="3"/>
  <c r="E573" i="3"/>
  <c r="E527" i="3"/>
  <c r="E562" i="3"/>
  <c r="E450" i="3"/>
  <c r="E150" i="3"/>
  <c r="E351" i="3"/>
  <c r="E31" i="3"/>
  <c r="E549" i="3"/>
  <c r="E271" i="3"/>
  <c r="E585" i="3"/>
  <c r="E478" i="3"/>
  <c r="E477" i="3"/>
  <c r="AS6" i="3"/>
  <c r="E447" i="3"/>
  <c r="E162" i="3"/>
  <c r="E210" i="3"/>
  <c r="E384" i="3"/>
  <c r="E441" i="3"/>
  <c r="E366" i="3"/>
  <c r="E282" i="3"/>
  <c r="E239" i="3"/>
  <c r="E569" i="3"/>
  <c r="E229" i="3"/>
  <c r="E358" i="3"/>
  <c r="E551" i="3"/>
  <c r="E407" i="3"/>
  <c r="E294" i="3"/>
  <c r="E130" i="3"/>
  <c r="E415" i="3"/>
  <c r="E260" i="3"/>
  <c r="E117" i="3"/>
  <c r="E61" i="3"/>
  <c r="E382" i="3"/>
  <c r="E518" i="3"/>
  <c r="E336" i="3"/>
  <c r="E230" i="3"/>
  <c r="E568" i="3"/>
  <c r="E545" i="3"/>
  <c r="E228" i="3"/>
  <c r="E133" i="3"/>
  <c r="E560" i="3"/>
  <c r="E406" i="3"/>
  <c r="E587" i="3"/>
  <c r="E468" i="3"/>
  <c r="E106" i="3"/>
  <c r="E171" i="3"/>
  <c r="E315" i="3"/>
  <c r="E74" i="3"/>
  <c r="E368" i="3"/>
  <c r="E204" i="3"/>
  <c r="Z6" i="3"/>
  <c r="E485" i="3"/>
  <c r="E345" i="3"/>
  <c r="E531" i="3"/>
  <c r="E28" i="3"/>
  <c r="E182" i="3"/>
  <c r="E273" i="3"/>
  <c r="E572" i="3"/>
  <c r="E530" i="3"/>
  <c r="E305" i="3"/>
  <c r="E388" i="3"/>
  <c r="E410" i="3"/>
  <c r="E143" i="3"/>
  <c r="E533" i="3"/>
  <c r="E561" i="3"/>
  <c r="E439" i="3"/>
  <c r="E231" i="3"/>
  <c r="E185" i="3"/>
  <c r="E528" i="3"/>
  <c r="E361" i="3"/>
  <c r="E180" i="3"/>
  <c r="E134" i="3"/>
  <c r="E350" i="3"/>
  <c r="E495" i="3"/>
  <c r="E399" i="3"/>
  <c r="E85" i="3"/>
  <c r="E519" i="3"/>
  <c r="E571" i="3"/>
  <c r="E279" i="3"/>
  <c r="E269" i="3"/>
  <c r="E505" i="3"/>
  <c r="E186" i="3"/>
  <c r="E44" i="3"/>
  <c r="E125" i="3"/>
  <c r="N6" i="3"/>
  <c r="E396" i="3"/>
  <c r="E559" i="3"/>
  <c r="E320" i="3"/>
  <c r="E395" i="3"/>
  <c r="E290" i="3"/>
  <c r="E578" i="3"/>
  <c r="E583" i="3"/>
  <c r="E461" i="3"/>
  <c r="E352" i="3"/>
  <c r="E157" i="3"/>
  <c r="E313" i="3"/>
  <c r="E529" i="3"/>
  <c r="E438" i="3"/>
  <c r="W6" i="3"/>
  <c r="E471" i="3"/>
  <c r="E54" i="3"/>
  <c r="E208" i="3"/>
  <c r="E357" i="3"/>
  <c r="E93" i="3"/>
  <c r="E196" i="3"/>
  <c r="E145" i="3"/>
  <c r="U6" i="3"/>
  <c r="E548" i="3"/>
  <c r="E367" i="3"/>
  <c r="E403" i="3"/>
  <c r="E71" i="3"/>
  <c r="E126" i="3"/>
  <c r="E291" i="3"/>
  <c r="AM6" i="3"/>
  <c r="E526" i="3"/>
  <c r="E322" i="3"/>
  <c r="E509" i="3"/>
  <c r="E431" i="3"/>
  <c r="E201" i="3"/>
  <c r="E514" i="3"/>
  <c r="M6" i="3"/>
  <c r="E387" i="3"/>
  <c r="E215" i="3"/>
  <c r="E69" i="3"/>
  <c r="E563" i="3"/>
  <c r="E445" i="3"/>
  <c r="E161" i="3"/>
  <c r="E191" i="3"/>
  <c r="E423" i="3"/>
  <c r="E385" i="3"/>
  <c r="X6" i="3"/>
  <c r="E238" i="3"/>
  <c r="E128" i="3"/>
  <c r="E120" i="3"/>
  <c r="E330" i="3"/>
  <c r="E437" i="3"/>
  <c r="E424" i="3"/>
  <c r="AE6" i="3"/>
  <c r="E496" i="3"/>
  <c r="E73" i="3"/>
  <c r="E256" i="3"/>
  <c r="E394" i="3"/>
  <c r="E32" i="3"/>
  <c r="E236" i="3"/>
  <c r="E164" i="3"/>
  <c r="AG6" i="3"/>
  <c r="P6" i="3"/>
  <c r="E558" i="3"/>
  <c r="E444" i="3"/>
  <c r="E88" i="3"/>
  <c r="E166" i="3"/>
  <c r="E316" i="3"/>
  <c r="E53" i="3"/>
  <c r="E501" i="3"/>
  <c r="E426" i="3"/>
  <c r="O6" i="3"/>
  <c r="E359" i="3"/>
  <c r="E97" i="3"/>
  <c r="S6" i="3"/>
  <c r="E506" i="3"/>
  <c r="E338" i="3"/>
  <c r="E298" i="3"/>
  <c r="E237" i="3"/>
  <c r="E565" i="3"/>
  <c r="E17" i="3"/>
  <c r="E221" i="3"/>
  <c r="E159" i="3"/>
  <c r="E402" i="3"/>
  <c r="E353" i="3"/>
  <c r="AA6" i="3"/>
  <c r="K46" i="36"/>
  <c r="L46" i="36" s="1"/>
  <c r="M46" i="36" s="1"/>
  <c r="N46" i="36" s="1"/>
  <c r="O46" i="36" s="1"/>
  <c r="J7" i="36"/>
  <c r="AZ277" i="3"/>
  <c r="AZ33" i="3"/>
  <c r="D66" i="71"/>
  <c r="O66" i="71"/>
  <c r="O65" i="71"/>
  <c r="AA9" i="36"/>
  <c r="S9" i="36"/>
  <c r="AZ419" i="3"/>
  <c r="AC30" i="21"/>
  <c r="W30" i="21"/>
  <c r="AA44" i="39"/>
  <c r="S44" i="39"/>
  <c r="U43" i="39"/>
  <c r="AB43" i="39"/>
  <c r="AB30" i="33"/>
  <c r="U30" i="33"/>
  <c r="AC38" i="40"/>
  <c r="W38" i="40"/>
  <c r="AC9" i="34"/>
  <c r="W9" i="34"/>
  <c r="AA30" i="33"/>
  <c r="S30" i="33"/>
  <c r="C28" i="67"/>
  <c r="AZ134" i="3"/>
  <c r="AZ265" i="3"/>
  <c r="AZ31" i="3"/>
  <c r="AZ408" i="3"/>
  <c r="S39" i="37"/>
  <c r="AA39" i="37"/>
  <c r="S36" i="39"/>
  <c r="AA36" i="39"/>
  <c r="AZ442" i="3"/>
  <c r="AA27" i="21"/>
  <c r="S27" i="21"/>
  <c r="U44" i="39"/>
  <c r="AB44" i="39"/>
  <c r="W43" i="39"/>
  <c r="AC43" i="39"/>
  <c r="AA38" i="40"/>
  <c r="S38" i="40"/>
  <c r="C18" i="71"/>
  <c r="D19" i="71"/>
  <c r="U46" i="21"/>
  <c r="AB46" i="21"/>
  <c r="AZ85" i="3"/>
  <c r="AZ111" i="3"/>
  <c r="AZ462" i="3"/>
  <c r="AB28" i="34"/>
  <c r="U28" i="34"/>
  <c r="AB27" i="21"/>
  <c r="U27" i="21"/>
  <c r="AA31" i="40"/>
  <c r="S31" i="40"/>
  <c r="AZ295" i="3"/>
  <c r="C30" i="69"/>
  <c r="AZ84" i="3"/>
  <c r="AZ233" i="3"/>
  <c r="AZ475" i="3"/>
  <c r="AZ28" i="3"/>
  <c r="AZ109" i="3"/>
  <c r="AZ54" i="3"/>
  <c r="AZ190" i="3"/>
  <c r="AZ302" i="3"/>
  <c r="T32" i="71"/>
  <c r="D32" i="71"/>
  <c r="AZ262" i="3"/>
  <c r="AZ435" i="3"/>
  <c r="AZ514" i="3"/>
  <c r="S30" i="21"/>
  <c r="AA30" i="21"/>
  <c r="AC31" i="40"/>
  <c r="W31" i="40"/>
  <c r="D71" i="71"/>
  <c r="C70" i="71"/>
  <c r="D70" i="71" s="1"/>
  <c r="AZ280" i="3"/>
  <c r="AZ189" i="3"/>
  <c r="AZ403" i="3"/>
  <c r="AZ271" i="3"/>
  <c r="AZ224" i="3"/>
  <c r="W12" i="35"/>
  <c r="AC12" i="35"/>
  <c r="AZ437" i="3"/>
  <c r="W29" i="34"/>
  <c r="AC29" i="34"/>
  <c r="U13" i="35"/>
  <c r="AB13" i="35"/>
  <c r="U30" i="21"/>
  <c r="AB30" i="21"/>
  <c r="AA26" i="37"/>
  <c r="S26" i="37"/>
  <c r="U32" i="33"/>
  <c r="AZ260" i="3"/>
  <c r="AZ37" i="3"/>
  <c r="AZ206" i="3"/>
  <c r="AZ74" i="3"/>
  <c r="AZ150" i="3"/>
  <c r="AZ222" i="3"/>
  <c r="AC19" i="33"/>
  <c r="W19" i="33"/>
  <c r="AA45" i="21"/>
  <c r="S45" i="21"/>
  <c r="C28" i="83"/>
  <c r="AC13" i="35"/>
  <c r="W13" i="35"/>
  <c r="AZ92" i="3"/>
  <c r="AZ249" i="3"/>
  <c r="AZ205" i="3"/>
  <c r="D55" i="71"/>
  <c r="C56" i="71"/>
  <c r="AZ269" i="3"/>
  <c r="AZ258" i="3"/>
  <c r="W45" i="33"/>
  <c r="AC45" i="33"/>
  <c r="W45" i="21"/>
  <c r="AC45" i="21"/>
  <c r="AB9" i="34"/>
  <c r="U9" i="34"/>
  <c r="AZ574" i="3"/>
  <c r="AC30" i="33"/>
  <c r="W30" i="33"/>
  <c r="M11" i="83"/>
  <c r="F11" i="83"/>
  <c r="F7" i="36"/>
  <c r="J7" i="37"/>
  <c r="H7" i="36"/>
  <c r="C52" i="71"/>
  <c r="D51" i="71"/>
  <c r="AZ469" i="3"/>
  <c r="AZ451" i="3"/>
  <c r="AZ422" i="3"/>
  <c r="AZ550" i="3"/>
  <c r="AB39" i="40"/>
  <c r="U39" i="40"/>
  <c r="AC23" i="35"/>
  <c r="W23" i="35"/>
  <c r="BA5" i="3"/>
  <c r="C44" i="71"/>
  <c r="D43" i="71"/>
  <c r="AA25" i="37"/>
  <c r="S25" i="37"/>
  <c r="S12" i="35"/>
  <c r="AA12" i="35"/>
  <c r="C28" i="82"/>
  <c r="F11" i="82"/>
  <c r="M11" i="82"/>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F67"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F11" i="15"/>
  <c r="M11" i="15"/>
  <c r="F11" i="67"/>
  <c r="F1" i="15"/>
  <c r="Q52" i="15"/>
  <c r="Q60" i="15"/>
  <c r="Q73" i="15"/>
  <c r="Q61" i="67"/>
  <c r="Q74" i="67"/>
  <c r="Q74" i="15"/>
  <c r="Q61" i="15"/>
  <c r="AE11" i="1"/>
  <c r="AE9" i="1"/>
  <c r="AE8" i="1"/>
  <c r="AE12" i="1"/>
  <c r="AE10" i="1"/>
  <c r="F13" i="83"/>
  <c r="F42" i="83"/>
  <c r="F40" i="82"/>
  <c r="F36" i="82"/>
  <c r="F37" i="82"/>
  <c r="L47" i="82"/>
  <c r="M6" i="82"/>
  <c r="F13" i="82"/>
  <c r="C76" i="83"/>
  <c r="F37" i="83"/>
  <c r="F38" i="83"/>
  <c r="M28" i="83"/>
  <c r="M22" i="83"/>
  <c r="F40" i="83"/>
  <c r="F42" i="82"/>
  <c r="M28" i="82"/>
  <c r="M8" i="82"/>
  <c r="AE6" i="1"/>
  <c r="M24" i="82"/>
  <c r="J15" i="83"/>
  <c r="M26" i="83"/>
  <c r="M23" i="83"/>
  <c r="F6" i="82"/>
  <c r="M23" i="82"/>
  <c r="F26" i="82"/>
  <c r="M9" i="83"/>
  <c r="F9" i="83"/>
  <c r="M9" i="82"/>
  <c r="M22" i="82"/>
  <c r="F41" i="67"/>
  <c r="F16" i="83"/>
  <c r="F26" i="83"/>
  <c r="F8" i="82"/>
  <c r="M6" i="83"/>
  <c r="F8" i="83"/>
  <c r="L48" i="83"/>
  <c r="J15" i="82"/>
  <c r="C76" i="82"/>
  <c r="M26" i="82"/>
  <c r="L48" i="82"/>
  <c r="M8" i="83"/>
  <c r="F36" i="83"/>
  <c r="L47" i="83"/>
  <c r="F6" i="83"/>
  <c r="F16" i="82"/>
  <c r="F38" i="82"/>
  <c r="F9" i="82"/>
  <c r="M24" i="83"/>
  <c r="Q52" i="67" l="1"/>
  <c r="N59" i="83"/>
  <c r="L59" i="83"/>
  <c r="L58" i="83"/>
  <c r="M59" i="83"/>
  <c r="F64" i="83"/>
  <c r="L57" i="83"/>
  <c r="L56" i="83"/>
  <c r="L60" i="83"/>
  <c r="J57" i="83"/>
  <c r="J55" i="83" s="1"/>
  <c r="J58" i="83" s="1"/>
  <c r="Q50" i="83" s="1"/>
  <c r="I54" i="83"/>
  <c r="J53" i="83"/>
  <c r="F51" i="83"/>
  <c r="C27" i="83"/>
  <c r="F68" i="83"/>
  <c r="F66" i="83"/>
  <c r="F65" i="83"/>
  <c r="Q71" i="83"/>
  <c r="T56" i="71"/>
  <c r="D56" i="71"/>
  <c r="AC6" i="3"/>
  <c r="E6" i="3" s="1"/>
  <c r="C17" i="71"/>
  <c r="D18" i="71"/>
  <c r="AZ5" i="3"/>
  <c r="C24" i="83"/>
  <c r="C53" i="83"/>
  <c r="F65" i="82"/>
  <c r="L59" i="82"/>
  <c r="M59" i="82"/>
  <c r="N59" i="82"/>
  <c r="L58" i="82"/>
  <c r="L56" i="82"/>
  <c r="J53" i="82"/>
  <c r="L57" i="82"/>
  <c r="I54" i="82"/>
  <c r="L60" i="82"/>
  <c r="J57" i="82"/>
  <c r="J55" i="82" s="1"/>
  <c r="J58" i="82" s="1"/>
  <c r="Q50" i="82" s="1"/>
  <c r="C27" i="82"/>
  <c r="F64" i="82"/>
  <c r="F51" i="82"/>
  <c r="F66" i="82"/>
  <c r="F68" i="82"/>
  <c r="Q71" i="82"/>
  <c r="E3" i="6"/>
  <c r="AY6" i="3"/>
  <c r="AY83" i="3" s="1"/>
  <c r="T44" i="71"/>
  <c r="D44" i="71"/>
  <c r="T52" i="71"/>
  <c r="D52" i="71"/>
  <c r="L36" i="43"/>
  <c r="L37" i="43" s="1"/>
  <c r="F24" i="82"/>
  <c r="C53" i="82"/>
  <c r="F89" i="33"/>
  <c r="G85" i="33"/>
  <c r="G89" i="33" s="1"/>
  <c r="AC26" i="33"/>
  <c r="W26" i="33"/>
  <c r="U26" i="33"/>
  <c r="AB26" i="33"/>
  <c r="AA26" i="33"/>
  <c r="S26" i="33"/>
  <c r="E65" i="39"/>
  <c r="N66" i="71"/>
  <c r="N65" i="71"/>
  <c r="B11" i="71"/>
  <c r="B10" i="71" s="1"/>
  <c r="B9" i="71" s="1"/>
  <c r="B8" i="71" s="1"/>
  <c r="B7" i="71" s="1"/>
  <c r="B6" i="71" s="1"/>
  <c r="B5" i="71" s="1"/>
  <c r="S12" i="71"/>
  <c r="AC7" i="34"/>
  <c r="V49" i="34" s="1"/>
  <c r="I49" i="34" s="1"/>
  <c r="U7" i="34"/>
  <c r="AA7" i="34"/>
  <c r="R49"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51" i="3"/>
  <c r="AY34" i="3"/>
  <c r="AY95" i="3"/>
  <c r="AY152" i="3"/>
  <c r="AY281" i="3"/>
  <c r="AY111" i="3"/>
  <c r="AY382" i="3"/>
  <c r="AY303" i="3"/>
  <c r="AY67" i="3"/>
  <c r="AY196" i="3"/>
  <c r="AY204" i="3"/>
  <c r="AY363" i="3"/>
  <c r="AY318" i="3"/>
  <c r="AY470" i="3"/>
  <c r="AY180" i="3"/>
  <c r="AY228" i="3"/>
  <c r="AY395" i="3"/>
  <c r="AY358" i="3"/>
  <c r="AY433" i="3"/>
  <c r="BK6" i="3"/>
  <c r="AY569" i="3"/>
  <c r="AY541" i="3"/>
  <c r="AY45" i="3"/>
  <c r="AY28" i="3"/>
  <c r="AY206" i="3"/>
  <c r="AY201" i="3"/>
  <c r="AY118" i="3"/>
  <c r="AY294" i="3"/>
  <c r="AY263" i="3"/>
  <c r="AY231" i="3"/>
  <c r="AY381" i="3"/>
  <c r="AY554" i="3"/>
  <c r="BJ6" i="3"/>
  <c r="AY104" i="3"/>
  <c r="AY177" i="3"/>
  <c r="AY290" i="3"/>
  <c r="AY274" i="3"/>
  <c r="AY210" i="3"/>
  <c r="AY332" i="3"/>
  <c r="AY488" i="3"/>
  <c r="AY457" i="3"/>
  <c r="AY446" i="3"/>
  <c r="BM6" i="3"/>
  <c r="BF6" i="3"/>
  <c r="AY546" i="3"/>
  <c r="AY510" i="3"/>
  <c r="AY163" i="3"/>
  <c r="AY334" i="3"/>
  <c r="AY444" i="3"/>
  <c r="AY526" i="3"/>
  <c r="AY447" i="3"/>
  <c r="AY574" i="3"/>
  <c r="AY555" i="3"/>
  <c r="AY85" i="3"/>
  <c r="AY157" i="3"/>
  <c r="AY271" i="3"/>
  <c r="AY254" i="3"/>
  <c r="AY211" i="3"/>
  <c r="AY186" i="3"/>
  <c r="AY243" i="3"/>
  <c r="AY393" i="3"/>
  <c r="AY325" i="3"/>
  <c r="AY403" i="3"/>
  <c r="AY527" i="3"/>
  <c r="AY559" i="3"/>
  <c r="AY532" i="3"/>
  <c r="AY82" i="3"/>
  <c r="AY292" i="3"/>
  <c r="AY220" i="3"/>
  <c r="AY489" i="3"/>
  <c r="AY412" i="3"/>
  <c r="AY43" i="3"/>
  <c r="AY379"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D3" i="21"/>
  <c r="E6" i="6"/>
  <c r="D37" i="11"/>
  <c r="D14" i="12"/>
  <c r="M18" i="9"/>
  <c r="D3" i="34"/>
  <c r="D19" i="11"/>
  <c r="C19" i="11" s="1"/>
  <c r="L18" i="9"/>
  <c r="K23" i="9" s="1"/>
  <c r="K25"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0" i="67"/>
  <c r="C53" i="15"/>
  <c r="F25" i="12"/>
  <c r="F22" i="69"/>
  <c r="F41" i="69" s="1"/>
  <c r="F24" i="67"/>
  <c r="C24" i="67" s="1"/>
  <c r="F22" i="11"/>
  <c r="F22" i="68"/>
  <c r="F24" i="15"/>
  <c r="C24" i="15" s="1"/>
  <c r="F41" i="15"/>
  <c r="M27" i="67"/>
  <c r="M27" i="83"/>
  <c r="M27" i="82"/>
  <c r="M27" i="15"/>
  <c r="AY326" i="3" l="1"/>
  <c r="AY132" i="3"/>
  <c r="AY516" i="3"/>
  <c r="AY130" i="3"/>
  <c r="AY117" i="3"/>
  <c r="AY535" i="3"/>
  <c r="AY237" i="3"/>
  <c r="AY561" i="3"/>
  <c r="AY491" i="3"/>
  <c r="AY114" i="3"/>
  <c r="AY357" i="3"/>
  <c r="AY299" i="3"/>
  <c r="AY60" i="3"/>
  <c r="AY513" i="3"/>
  <c r="AY245" i="3"/>
  <c r="AY252" i="3"/>
  <c r="AY366" i="3"/>
  <c r="AY42" i="3"/>
  <c r="D17" i="71"/>
  <c r="C16" i="71"/>
  <c r="AY229" i="3"/>
  <c r="AY81" i="3"/>
  <c r="AY422" i="3"/>
  <c r="AY57" i="3"/>
  <c r="AY178" i="3"/>
  <c r="AY311" i="3"/>
  <c r="AY171" i="3"/>
  <c r="AY581" i="3"/>
  <c r="AY317" i="3"/>
  <c r="AY197" i="3"/>
  <c r="AY392" i="3"/>
  <c r="AY149" i="3"/>
  <c r="AY77" i="3"/>
  <c r="AY452" i="3"/>
  <c r="AY106" i="3"/>
  <c r="AY123" i="3"/>
  <c r="AY236" i="3"/>
  <c r="AY124" i="3"/>
  <c r="AY523" i="3"/>
  <c r="AY464" i="3"/>
  <c r="BI6" i="3"/>
  <c r="AY25" i="3"/>
  <c r="AY390" i="3"/>
  <c r="AY98" i="3"/>
  <c r="AY427" i="3"/>
  <c r="AY349" i="3"/>
  <c r="AY24" i="3"/>
  <c r="AY214" i="3"/>
  <c r="AY138" i="3"/>
  <c r="AY108" i="3"/>
  <c r="AY465" i="3"/>
  <c r="AY409" i="3"/>
  <c r="AY74" i="3"/>
  <c r="AY253" i="3"/>
  <c r="AY144" i="3"/>
  <c r="Q52" i="83"/>
  <c r="F1" i="83"/>
  <c r="Q60" i="83"/>
  <c r="Q73" i="83"/>
  <c r="AY496" i="3"/>
  <c r="AY308" i="3"/>
  <c r="AY365" i="3"/>
  <c r="AY68" i="3"/>
  <c r="AY269" i="3"/>
  <c r="AY16" i="3"/>
  <c r="AY414" i="3"/>
  <c r="AY377" i="3"/>
  <c r="AY41" i="3"/>
  <c r="AY246" i="3"/>
  <c r="AY170" i="3"/>
  <c r="AY553" i="3"/>
  <c r="AY342" i="3"/>
  <c r="AY428" i="3"/>
  <c r="AY139" i="3"/>
  <c r="AY168" i="3"/>
  <c r="AY207" i="3"/>
  <c r="Q61" i="83"/>
  <c r="Q74" i="83"/>
  <c r="Q66" i="83"/>
  <c r="Q57" i="83"/>
  <c r="Q66" i="82"/>
  <c r="Q57" i="82"/>
  <c r="Q61" i="82"/>
  <c r="Q74" i="82"/>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C33" i="33"/>
  <c r="G7" i="81"/>
  <c r="F1" i="82"/>
  <c r="Q52" i="82"/>
  <c r="Q73" i="82"/>
  <c r="Q60" i="82"/>
  <c r="Q36" i="43"/>
  <c r="M36" i="43"/>
  <c r="P36" i="43"/>
  <c r="O36" i="43"/>
  <c r="N36" i="43"/>
  <c r="C24" i="82"/>
  <c r="B118" i="9"/>
  <c r="L23" i="9"/>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M19" i="9"/>
  <c r="C118" i="9" s="1"/>
  <c r="D26" i="6"/>
  <c r="D8" i="6"/>
  <c r="D14" i="6"/>
  <c r="D6" i="6"/>
  <c r="D9" i="6"/>
  <c r="D10" i="6"/>
  <c r="L19" i="9"/>
  <c r="D29" i="6"/>
  <c r="C18" i="4"/>
  <c r="D23" i="6"/>
  <c r="D5" i="6"/>
  <c r="D12" i="6"/>
  <c r="D11" i="6"/>
  <c r="D13" i="6"/>
  <c r="D28" i="6"/>
  <c r="E61" i="40"/>
  <c r="P14"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D10" i="69"/>
  <c r="D10" i="68"/>
  <c r="AE7" i="1"/>
  <c r="M23" i="43" l="1"/>
  <c r="D16" i="71"/>
  <c r="U16" i="71" s="1"/>
  <c r="C15" i="71"/>
  <c r="T16" i="71"/>
  <c r="D30" i="6"/>
  <c r="B14" i="74"/>
  <c r="B1" i="74" s="1"/>
  <c r="C14" i="74"/>
  <c r="B2" i="74" s="1"/>
  <c r="C25" i="11"/>
  <c r="C22" i="11" s="1"/>
  <c r="C30" i="43"/>
  <c r="B2" i="43" s="1"/>
  <c r="C31" i="43"/>
  <c r="E12" i="70"/>
  <c r="F34" i="11"/>
  <c r="F11" i="12"/>
  <c r="E9" i="70"/>
  <c r="AR9" i="1"/>
  <c r="AQ9" i="1"/>
  <c r="T9" i="1"/>
  <c r="AQ11" i="1"/>
  <c r="AR11" i="1"/>
  <c r="T11" i="1"/>
  <c r="AR12" i="1"/>
  <c r="T12" i="1"/>
  <c r="AQ12" i="1"/>
  <c r="AQ10" i="1"/>
  <c r="T10" i="1"/>
  <c r="AR10" i="1"/>
  <c r="D16" i="6"/>
  <c r="C10" i="69"/>
  <c r="C8" i="69" s="1"/>
  <c r="C5" i="69" s="1"/>
  <c r="D19" i="69"/>
  <c r="C4" i="52"/>
  <c r="B45" i="72" s="1"/>
  <c r="A10" i="51"/>
  <c r="B9" i="72" s="1"/>
  <c r="A7" i="51"/>
  <c r="B7" i="72" s="1"/>
  <c r="C10" i="68"/>
  <c r="B29" i="1" s="1"/>
  <c r="C8" i="68" s="1"/>
  <c r="D19" i="68"/>
  <c r="H69" i="39"/>
  <c r="I67" i="39"/>
  <c r="G65" i="40"/>
  <c r="H63" i="40"/>
  <c r="C43" i="37"/>
  <c r="C42" i="37"/>
  <c r="I48" i="35"/>
  <c r="H58" i="21"/>
  <c r="E47" i="37"/>
  <c r="F47" i="37" s="1"/>
  <c r="E46" i="37"/>
  <c r="F46" i="37" s="1"/>
  <c r="I47" i="37"/>
  <c r="J47" i="37" s="1"/>
  <c r="B6" i="76"/>
  <c r="F41" i="83"/>
  <c r="F41" i="82"/>
  <c r="D15" i="71" l="1"/>
  <c r="C14" i="71"/>
  <c r="F69" i="83"/>
  <c r="F69" i="82"/>
  <c r="C8" i="74"/>
  <c r="C7" i="74"/>
  <c r="D8" i="74"/>
  <c r="D7" i="74"/>
  <c r="C18" i="12"/>
  <c r="C36" i="11"/>
  <c r="C37" i="11"/>
  <c r="C23" i="12"/>
  <c r="C14" i="12"/>
  <c r="C19" i="68"/>
  <c r="D37" i="68"/>
  <c r="C37" i="68" s="1"/>
  <c r="C19" i="69"/>
  <c r="C24" i="69" s="1"/>
  <c r="D37" i="69"/>
  <c r="C37" i="69" s="1"/>
  <c r="C23" i="69"/>
  <c r="B2" i="76"/>
  <c r="I69" i="39"/>
  <c r="J67" i="39"/>
  <c r="I63" i="40"/>
  <c r="H65" i="40"/>
  <c r="I58" i="21"/>
  <c r="J58" i="21" s="1"/>
  <c r="K58" i="21" s="1"/>
  <c r="L58" i="21" s="1"/>
  <c r="M58" i="21" s="1"/>
  <c r="N58" i="21" s="1"/>
  <c r="O58" i="21" s="1"/>
  <c r="H7" i="21" s="1"/>
  <c r="J48" i="35"/>
  <c r="D14" i="71" l="1"/>
  <c r="C13" i="71"/>
  <c r="F7" i="21"/>
  <c r="S7" i="21" s="1"/>
  <c r="J7" i="21"/>
  <c r="AC7" i="21" s="1"/>
  <c r="V48" i="21" s="1"/>
  <c r="I48" i="21" s="1"/>
  <c r="C20" i="69"/>
  <c r="C24" i="68"/>
  <c r="J69" i="39"/>
  <c r="K67" i="39"/>
  <c r="U7" i="21"/>
  <c r="AB7" i="21"/>
  <c r="T48" i="21" s="1"/>
  <c r="G48" i="21" s="1"/>
  <c r="J63" i="40"/>
  <c r="I65" i="40"/>
  <c r="K48" i="35"/>
  <c r="L48" i="35" s="1"/>
  <c r="M48" i="35" s="1"/>
  <c r="N48" i="35" s="1"/>
  <c r="O48" i="35" s="1"/>
  <c r="H7" i="35" s="1"/>
  <c r="W7" i="21" l="1"/>
  <c r="C12" i="71"/>
  <c r="D13" i="71"/>
  <c r="AA7" i="21"/>
  <c r="R48" i="21" s="1"/>
  <c r="J7" i="35"/>
  <c r="W7" i="35" s="1"/>
  <c r="C25" i="69"/>
  <c r="C22" i="69" s="1"/>
  <c r="L67" i="39"/>
  <c r="K69" i="39"/>
  <c r="J65" i="40"/>
  <c r="K63" i="40"/>
  <c r="I52" i="21"/>
  <c r="J52" i="21" s="1"/>
  <c r="U7" i="35"/>
  <c r="AB7" i="35"/>
  <c r="T38" i="35" s="1"/>
  <c r="G38" i="35" s="1"/>
  <c r="R49" i="21"/>
  <c r="E48" i="21"/>
  <c r="G52" i="21"/>
  <c r="H52" i="21" s="1"/>
  <c r="G53" i="21"/>
  <c r="H53" i="21" s="1"/>
  <c r="F7" i="35"/>
  <c r="AC7" i="35" l="1"/>
  <c r="V38" i="35" s="1"/>
  <c r="I38" i="35" s="1"/>
  <c r="C11" i="71"/>
  <c r="T12" i="71"/>
  <c r="D12" i="71"/>
  <c r="U12" i="71" s="1"/>
  <c r="L69" i="39"/>
  <c r="M67" i="39"/>
  <c r="S7" i="35"/>
  <c r="AA7" i="35"/>
  <c r="R38" i="35" s="1"/>
  <c r="C49" i="21"/>
  <c r="C48" i="21"/>
  <c r="E52" i="21"/>
  <c r="F52" i="21" s="1"/>
  <c r="E53" i="21"/>
  <c r="F53" i="21" s="1"/>
  <c r="G42" i="35"/>
  <c r="H42" i="35" s="1"/>
  <c r="G43" i="35"/>
  <c r="H43" i="35" s="1"/>
  <c r="I53" i="21"/>
  <c r="J53" i="21" s="1"/>
  <c r="K65" i="40"/>
  <c r="L63" i="40"/>
  <c r="I42" i="35"/>
  <c r="J42" i="35" s="1"/>
  <c r="D11" i="71" l="1"/>
  <c r="C10" i="71"/>
  <c r="M69" i="39"/>
  <c r="N67" i="39"/>
  <c r="R39" i="35"/>
  <c r="E38" i="35"/>
  <c r="M63" i="40"/>
  <c r="L65" i="40"/>
  <c r="D2" i="21"/>
  <c r="D10" i="71" l="1"/>
  <c r="C9" i="71"/>
  <c r="B2" i="21"/>
  <c r="B3" i="21" s="1"/>
  <c r="O67" i="39"/>
  <c r="O69" i="39" s="1"/>
  <c r="N69" i="39"/>
  <c r="F7" i="39"/>
  <c r="C39" i="35"/>
  <c r="C38" i="35"/>
  <c r="N63" i="40"/>
  <c r="M65" i="40"/>
  <c r="E43" i="35"/>
  <c r="F43" i="35" s="1"/>
  <c r="E42" i="35"/>
  <c r="F42" i="35" s="1"/>
  <c r="I43" i="35"/>
  <c r="J43" i="35" s="1"/>
  <c r="D2" i="33"/>
  <c r="D9" i="71" l="1"/>
  <c r="C8" i="71"/>
  <c r="H7" i="39"/>
  <c r="J7" i="39"/>
  <c r="S7" i="39"/>
  <c r="AA7" i="39"/>
  <c r="R47" i="39" s="1"/>
  <c r="O63" i="40"/>
  <c r="O65" i="40" s="1"/>
  <c r="N65" i="40"/>
  <c r="D2" i="34"/>
  <c r="D2" i="37"/>
  <c r="D2" i="36"/>
  <c r="D2" i="35"/>
  <c r="C7" i="71" l="1"/>
  <c r="D8" i="7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10" i="1"/>
  <c r="AO9" i="1"/>
  <c r="AO12" i="1"/>
  <c r="AO8" i="1"/>
  <c r="C6" i="71" l="1"/>
  <c r="D7" i="71"/>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5" i="71" l="1"/>
  <c r="M24" i="43"/>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S8" i="1"/>
  <c r="C25" i="43" l="1"/>
  <c r="C33" i="43" s="1"/>
  <c r="R10" i="1" l="1"/>
  <c r="R11" i="1"/>
  <c r="R12" i="1"/>
  <c r="R9" i="1"/>
  <c r="O6" i="1"/>
  <c r="T8" i="1"/>
  <c r="AR8" i="1"/>
  <c r="AQ8" i="1"/>
  <c r="E8" i="70"/>
  <c r="AP6" i="1"/>
  <c r="C36" i="69" s="1"/>
  <c r="H5" i="81" l="1"/>
  <c r="H3" i="81"/>
  <c r="F6" i="15"/>
  <c r="F6" i="67"/>
  <c r="H4" i="81" l="1"/>
  <c r="E20" i="6"/>
  <c r="E19" i="6"/>
  <c r="J33" i="33"/>
  <c r="F33" i="33"/>
  <c r="H33" i="33"/>
  <c r="K7" i="1" l="1"/>
  <c r="D20" i="6"/>
  <c r="F27" i="6"/>
  <c r="D33" i="43" s="1"/>
  <c r="S33" i="33"/>
  <c r="AA33" i="33"/>
  <c r="R48" i="33" s="1"/>
  <c r="E27" i="6"/>
  <c r="K19" i="6" s="1"/>
  <c r="D19" i="6"/>
  <c r="K6" i="1"/>
  <c r="U33" i="33"/>
  <c r="AB33" i="33"/>
  <c r="T48" i="33" s="1"/>
  <c r="G48" i="33" s="1"/>
  <c r="W33" i="33"/>
  <c r="AC33" i="33"/>
  <c r="V48" i="33" s="1"/>
  <c r="I48" i="33" s="1"/>
  <c r="F7" i="83"/>
  <c r="M29" i="83"/>
  <c r="F43" i="83"/>
  <c r="F43" i="15"/>
  <c r="F7" i="15"/>
  <c r="F43" i="82"/>
  <c r="M29" i="15"/>
  <c r="M29" i="82"/>
  <c r="F7" i="82"/>
  <c r="F7" i="67"/>
  <c r="M29" i="67"/>
  <c r="F43" i="67"/>
  <c r="F31" i="6" l="1"/>
  <c r="F71" i="67"/>
  <c r="F50" i="67"/>
  <c r="C49" i="67" s="1"/>
  <c r="M7" i="67"/>
  <c r="J6" i="67" s="1"/>
  <c r="C6" i="67"/>
  <c r="F71" i="83"/>
  <c r="M7" i="83"/>
  <c r="J6" i="83" s="1"/>
  <c r="F50" i="83"/>
  <c r="C49" i="83" s="1"/>
  <c r="C6" i="83"/>
  <c r="F50" i="15"/>
  <c r="C49" i="15" s="1"/>
  <c r="M7" i="15"/>
  <c r="J6" i="15" s="1"/>
  <c r="C6" i="15"/>
  <c r="F71" i="15"/>
  <c r="F71" i="82"/>
  <c r="M7" i="82"/>
  <c r="J6" i="82" s="1"/>
  <c r="F50" i="82"/>
  <c r="C49" i="82" s="1"/>
  <c r="C6" i="82"/>
  <c r="M7" i="1"/>
  <c r="I52" i="33"/>
  <c r="J52" i="33" s="1"/>
  <c r="K16" i="1"/>
  <c r="H16" i="1"/>
  <c r="M6" i="1"/>
  <c r="C34" i="69"/>
  <c r="G16" i="1"/>
  <c r="Q16" i="1"/>
  <c r="D27" i="6"/>
  <c r="D31" i="6" s="1"/>
  <c r="K25" i="6"/>
  <c r="M25" i="6" s="1"/>
  <c r="I25" i="6" s="1"/>
  <c r="K24" i="6"/>
  <c r="M24" i="6" s="1"/>
  <c r="I24" i="6" s="1"/>
  <c r="E31" i="6"/>
  <c r="K23" i="6"/>
  <c r="M23" i="6" s="1"/>
  <c r="I23" i="6" s="1"/>
  <c r="K20" i="6"/>
  <c r="K26" i="6"/>
  <c r="M26" i="6" s="1"/>
  <c r="I26" i="6" s="1"/>
  <c r="K22" i="6"/>
  <c r="M22" i="6" s="1"/>
  <c r="I22" i="6" s="1"/>
  <c r="K21" i="6"/>
  <c r="M21" i="6" s="1"/>
  <c r="I21" i="6" s="1"/>
  <c r="G52" i="33"/>
  <c r="H52" i="33" s="1"/>
  <c r="G53" i="33"/>
  <c r="H53" i="33" s="1"/>
  <c r="E33" i="43"/>
  <c r="C6" i="68" s="1"/>
  <c r="D1" i="43"/>
  <c r="S6" i="1"/>
  <c r="M19" i="6"/>
  <c r="E48" i="33"/>
  <c r="R49" i="33"/>
  <c r="C16" i="67"/>
  <c r="C16" i="82"/>
  <c r="C17" i="15"/>
  <c r="C16" i="15"/>
  <c r="C17" i="67"/>
  <c r="C16" i="83"/>
  <c r="C14" i="67"/>
  <c r="I6" i="6" l="1"/>
  <c r="G3" i="43" s="1"/>
  <c r="Z7" i="43" s="1"/>
  <c r="C15" i="67"/>
  <c r="C18" i="67"/>
  <c r="C33" i="83"/>
  <c r="C32" i="83"/>
  <c r="C10" i="83"/>
  <c r="C5" i="83" s="1"/>
  <c r="C38" i="83" s="1"/>
  <c r="J18" i="67"/>
  <c r="J10" i="67"/>
  <c r="J5" i="67" s="1"/>
  <c r="J24" i="67" s="1"/>
  <c r="J19" i="67"/>
  <c r="C61" i="83"/>
  <c r="C48" i="83"/>
  <c r="C53" i="67"/>
  <c r="C48" i="67" s="1"/>
  <c r="C61" i="67"/>
  <c r="J18" i="83"/>
  <c r="J19" i="83"/>
  <c r="J10" i="83"/>
  <c r="J5" i="83" s="1"/>
  <c r="J24" i="83" s="1"/>
  <c r="C32" i="67"/>
  <c r="C5" i="67"/>
  <c r="C38" i="67" s="1"/>
  <c r="C33" i="67"/>
  <c r="I5" i="6"/>
  <c r="C33" i="82"/>
  <c r="C32" i="82"/>
  <c r="C10" i="82"/>
  <c r="C5" i="82" s="1"/>
  <c r="C38" i="82" s="1"/>
  <c r="J19" i="82"/>
  <c r="J18" i="82"/>
  <c r="J10" i="82"/>
  <c r="J5" i="82" s="1"/>
  <c r="J18" i="15"/>
  <c r="J10" i="15"/>
  <c r="J5" i="15" s="1"/>
  <c r="J24" i="15" s="1"/>
  <c r="J19" i="15"/>
  <c r="K27" i="6"/>
  <c r="O7" i="1"/>
  <c r="C61" i="82"/>
  <c r="C48" i="82"/>
  <c r="C32" i="15"/>
  <c r="C10" i="15"/>
  <c r="C5" i="15" s="1"/>
  <c r="C38" i="15" s="1"/>
  <c r="C33" i="15"/>
  <c r="C48" i="15"/>
  <c r="C61" i="15"/>
  <c r="AR6" i="1"/>
  <c r="AQ6" i="1"/>
  <c r="T6" i="1"/>
  <c r="B3" i="43"/>
  <c r="N370" i="46"/>
  <c r="J26" i="43"/>
  <c r="N94" i="46"/>
  <c r="G26" i="43"/>
  <c r="H26" i="43"/>
  <c r="B116" i="43"/>
  <c r="E26" i="43"/>
  <c r="F26" i="43"/>
  <c r="S22" i="6"/>
  <c r="H22" i="6"/>
  <c r="R22" i="6" s="1"/>
  <c r="M20" i="6"/>
  <c r="I20" i="6" s="1"/>
  <c r="S7" i="1"/>
  <c r="S25" i="6"/>
  <c r="H25" i="6"/>
  <c r="R25" i="6" s="1"/>
  <c r="F10" i="40"/>
  <c r="J10" i="39"/>
  <c r="H10" i="40"/>
  <c r="J10" i="40"/>
  <c r="H10" i="39"/>
  <c r="F10" i="39"/>
  <c r="M16" i="1"/>
  <c r="E6" i="70"/>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17" i="82"/>
  <c r="C14" i="15"/>
  <c r="C14" i="83"/>
  <c r="C17" i="83"/>
  <c r="C19" i="67" l="1"/>
  <c r="C20" i="67" s="1"/>
  <c r="C23" i="67" s="1"/>
  <c r="C18" i="83"/>
  <c r="C15" i="83"/>
  <c r="C19" i="83"/>
  <c r="C60" i="67"/>
  <c r="C66" i="67"/>
  <c r="C66" i="83"/>
  <c r="C60" i="83"/>
  <c r="C18" i="15"/>
  <c r="C15" i="15"/>
  <c r="S16" i="1"/>
  <c r="E7" i="70"/>
  <c r="E2" i="70" s="1"/>
  <c r="J24" i="82"/>
  <c r="J26" i="82"/>
  <c r="J29" i="82" s="1"/>
  <c r="C66" i="15"/>
  <c r="C60" i="15"/>
  <c r="C66" i="82"/>
  <c r="C60" i="82"/>
  <c r="P7" i="1"/>
  <c r="P16" i="1" s="1"/>
  <c r="C11" i="12" s="1"/>
  <c r="O16" i="1"/>
  <c r="C33" i="69"/>
  <c r="C39" i="69" s="1"/>
  <c r="C43" i="69" s="1"/>
  <c r="D26" i="43"/>
  <c r="C29" i="12"/>
  <c r="D28" i="12" s="1"/>
  <c r="C20" i="68"/>
  <c r="C25" i="68" s="1"/>
  <c r="C23" i="68"/>
  <c r="C34" i="11"/>
  <c r="L16" i="1"/>
  <c r="C34" i="68"/>
  <c r="W10" i="40"/>
  <c r="AC10" i="40"/>
  <c r="T7" i="1"/>
  <c r="T16" i="1" s="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M21" i="82"/>
  <c r="C19" i="9"/>
  <c r="C20" i="9"/>
  <c r="C14" i="82"/>
  <c r="F35" i="82"/>
  <c r="C28" i="68" l="1"/>
  <c r="C27" i="68" s="1"/>
  <c r="C20" i="83"/>
  <c r="C26" i="83" s="1"/>
  <c r="C26" i="67"/>
  <c r="C29" i="67" s="1"/>
  <c r="G18" i="82"/>
  <c r="C18" i="82"/>
  <c r="C19" i="15"/>
  <c r="C20" i="15" s="1"/>
  <c r="C26" i="15" s="1"/>
  <c r="C15" i="82"/>
  <c r="C15" i="12"/>
  <c r="C12" i="12"/>
  <c r="C34" i="82"/>
  <c r="C31" i="82" s="1"/>
  <c r="F63" i="82"/>
  <c r="C62" i="82" s="1"/>
  <c r="C59" i="82" s="1"/>
  <c r="J20" i="82"/>
  <c r="J17" i="82" s="1"/>
  <c r="C42" i="69"/>
  <c r="C41" i="69" s="1"/>
  <c r="C22" i="68"/>
  <c r="S27" i="6"/>
  <c r="C102" i="9"/>
  <c r="C21" i="9"/>
  <c r="C103" i="9"/>
  <c r="F50" i="68"/>
  <c r="F50" i="11"/>
  <c r="F50" i="69"/>
  <c r="H27" i="6"/>
  <c r="R19" i="6"/>
  <c r="C38" i="68"/>
  <c r="C35" i="68"/>
  <c r="D116" i="43"/>
  <c r="C118" i="43"/>
  <c r="C31" i="11"/>
  <c r="C31" i="69"/>
  <c r="C35" i="11"/>
  <c r="C38" i="11"/>
  <c r="C46" i="69"/>
  <c r="C45" i="69" s="1"/>
  <c r="E6" i="76"/>
  <c r="C23" i="83" l="1"/>
  <c r="C29" i="83" s="1"/>
  <c r="C13" i="83" s="1"/>
  <c r="C31" i="68"/>
  <c r="J59" i="83"/>
  <c r="J60" i="83" s="1"/>
  <c r="C13" i="67"/>
  <c r="C57" i="67"/>
  <c r="C64" i="67" s="1"/>
  <c r="Q49" i="67"/>
  <c r="C36" i="67"/>
  <c r="J14" i="67"/>
  <c r="J59" i="67"/>
  <c r="J60" i="67" s="1"/>
  <c r="Q48" i="67" s="1"/>
  <c r="C16" i="12"/>
  <c r="C21" i="12" s="1"/>
  <c r="C22" i="12" s="1"/>
  <c r="C19" i="82"/>
  <c r="C20" i="82" s="1"/>
  <c r="C26" i="82" s="1"/>
  <c r="C23" i="15"/>
  <c r="C29" i="15" s="1"/>
  <c r="C33" i="11"/>
  <c r="C42" i="11" s="1"/>
  <c r="C49" i="69"/>
  <c r="C51" i="69" s="1"/>
  <c r="C52" i="69" s="1"/>
  <c r="B2" i="69" s="1"/>
  <c r="B3" i="69" s="1"/>
  <c r="C33" i="68"/>
  <c r="C42" i="68" s="1"/>
  <c r="E2" i="76"/>
  <c r="B3" i="76" s="1"/>
  <c r="R27" i="6"/>
  <c r="R6" i="1"/>
  <c r="F35" i="67"/>
  <c r="F35" i="83"/>
  <c r="M21" i="15"/>
  <c r="M21" i="83"/>
  <c r="F35" i="15"/>
  <c r="M21" i="67"/>
  <c r="Q49" i="83" l="1"/>
  <c r="J14" i="83"/>
  <c r="J13" i="83" s="1"/>
  <c r="J23" i="83" s="1"/>
  <c r="C57" i="83"/>
  <c r="C64" i="83" s="1"/>
  <c r="C36" i="83"/>
  <c r="C56" i="67"/>
  <c r="C65" i="67" s="1"/>
  <c r="C37" i="67"/>
  <c r="Q70" i="67"/>
  <c r="C75" i="67"/>
  <c r="C39" i="11"/>
  <c r="C43" i="11" s="1"/>
  <c r="C41" i="11" s="1"/>
  <c r="J13" i="67"/>
  <c r="J23" i="67" s="1"/>
  <c r="J22" i="67"/>
  <c r="Q48" i="83"/>
  <c r="L46" i="83"/>
  <c r="Q70" i="83"/>
  <c r="C56" i="83"/>
  <c r="C65" i="83" s="1"/>
  <c r="C37" i="83"/>
  <c r="C75" i="83"/>
  <c r="J20" i="83"/>
  <c r="J17" i="83" s="1"/>
  <c r="F63" i="83"/>
  <c r="C62" i="83" s="1"/>
  <c r="C59" i="83" s="1"/>
  <c r="C34" i="83"/>
  <c r="C31" i="83" s="1"/>
  <c r="F63" i="67"/>
  <c r="C62" i="67" s="1"/>
  <c r="C59" i="67" s="1"/>
  <c r="C34" i="67"/>
  <c r="C31" i="67" s="1"/>
  <c r="J20" i="67"/>
  <c r="J17" i="67" s="1"/>
  <c r="C57" i="15"/>
  <c r="C64" i="15" s="1"/>
  <c r="J59" i="15"/>
  <c r="J60" i="15" s="1"/>
  <c r="C30" i="12"/>
  <c r="C28" i="12" s="1"/>
  <c r="C27" i="12"/>
  <c r="C25" i="12" s="1"/>
  <c r="C36" i="15"/>
  <c r="J14" i="15"/>
  <c r="J13" i="15" s="1"/>
  <c r="J23" i="15" s="1"/>
  <c r="C13" i="15"/>
  <c r="C56" i="15" s="1"/>
  <c r="C65" i="15" s="1"/>
  <c r="Q49" i="15"/>
  <c r="C23" i="82"/>
  <c r="C29" i="82" s="1"/>
  <c r="J59" i="82" s="1"/>
  <c r="J60" i="82" s="1"/>
  <c r="J20" i="15"/>
  <c r="J17" i="15" s="1"/>
  <c r="F63" i="15"/>
  <c r="C62" i="15" s="1"/>
  <c r="C59" i="15" s="1"/>
  <c r="C34" i="15"/>
  <c r="C31" i="15" s="1"/>
  <c r="R16" i="1"/>
  <c r="C39" i="68"/>
  <c r="C43" i="68" s="1"/>
  <c r="C41" i="68" s="1"/>
  <c r="C46" i="11"/>
  <c r="C45" i="11" s="1"/>
  <c r="C57" i="69"/>
  <c r="C56" i="69" s="1"/>
  <c r="J22" i="83" l="1"/>
  <c r="J16" i="67"/>
  <c r="J25" i="67" s="1"/>
  <c r="J26" i="67" s="1"/>
  <c r="J29" i="67" s="1"/>
  <c r="C30" i="83"/>
  <c r="C39" i="83" s="1"/>
  <c r="C80" i="83" s="1"/>
  <c r="C79" i="83" s="1"/>
  <c r="C58" i="67"/>
  <c r="C67" i="67" s="1"/>
  <c r="C68" i="67" s="1"/>
  <c r="C71" i="67" s="1"/>
  <c r="C30" i="67"/>
  <c r="C39" i="67" s="1"/>
  <c r="C40" i="67" s="1"/>
  <c r="J16" i="83"/>
  <c r="J25" i="83" s="1"/>
  <c r="J26" i="83" s="1"/>
  <c r="J29" i="83" s="1"/>
  <c r="C58" i="83"/>
  <c r="C67" i="83" s="1"/>
  <c r="C68" i="83" s="1"/>
  <c r="C71" i="83" s="1"/>
  <c r="L57" i="67"/>
  <c r="L60" i="67" s="1"/>
  <c r="Q48" i="82"/>
  <c r="L46" i="82"/>
  <c r="Q48" i="15"/>
  <c r="L46" i="15"/>
  <c r="Q70" i="15"/>
  <c r="J22" i="15"/>
  <c r="J16" i="15" s="1"/>
  <c r="J25" i="15" s="1"/>
  <c r="J26" i="15" s="1"/>
  <c r="J29" i="15" s="1"/>
  <c r="C32" i="12"/>
  <c r="B2" i="12" s="1"/>
  <c r="B3" i="12" s="1"/>
  <c r="C37" i="15"/>
  <c r="C30" i="15" s="1"/>
  <c r="C39" i="15" s="1"/>
  <c r="C58" i="15"/>
  <c r="C67" i="15" s="1"/>
  <c r="C68" i="15" s="1"/>
  <c r="C71" i="15" s="1"/>
  <c r="C75" i="15"/>
  <c r="C57" i="82"/>
  <c r="C64" i="82" s="1"/>
  <c r="C13" i="82"/>
  <c r="Q49" i="82"/>
  <c r="C36" i="82"/>
  <c r="J14" i="82"/>
  <c r="C49" i="11"/>
  <c r="C51" i="11" s="1"/>
  <c r="C52" i="11" s="1"/>
  <c r="B2" i="11" s="1"/>
  <c r="B3" i="11" s="1"/>
  <c r="C46" i="68"/>
  <c r="C45" i="68" s="1"/>
  <c r="C49" i="68" s="1"/>
  <c r="C51" i="68" s="1"/>
  <c r="L51" i="67"/>
  <c r="L51" i="83"/>
  <c r="L51" i="15"/>
  <c r="C80" i="67" l="1"/>
  <c r="C79" i="67" s="1"/>
  <c r="Q69" i="67"/>
  <c r="Q68" i="67" s="1"/>
  <c r="Q69" i="83"/>
  <c r="Q68" i="83" s="1"/>
  <c r="C40" i="83"/>
  <c r="C83" i="83" s="1"/>
  <c r="C82" i="83" s="1"/>
  <c r="Q67" i="67"/>
  <c r="C45" i="67"/>
  <c r="C46" i="67" s="1"/>
  <c r="I35" i="67"/>
  <c r="Q67" i="83"/>
  <c r="Q57" i="67"/>
  <c r="L46" i="67"/>
  <c r="D2" i="67" s="1"/>
  <c r="Q66" i="67"/>
  <c r="Q65" i="67"/>
  <c r="C83" i="67"/>
  <c r="C82" i="67" s="1"/>
  <c r="Q47" i="67"/>
  <c r="Q53" i="67" s="1"/>
  <c r="C43" i="67"/>
  <c r="Q56" i="67"/>
  <c r="Q67" i="15"/>
  <c r="C40" i="15"/>
  <c r="Q69" i="15"/>
  <c r="Q68" i="15" s="1"/>
  <c r="C80" i="15"/>
  <c r="C79" i="15" s="1"/>
  <c r="Q70" i="82"/>
  <c r="C37" i="82"/>
  <c r="C30" i="82" s="1"/>
  <c r="C39" i="82" s="1"/>
  <c r="C75" i="82"/>
  <c r="C56" i="82"/>
  <c r="C65" i="82" s="1"/>
  <c r="C58" i="82" s="1"/>
  <c r="C67" i="82" s="1"/>
  <c r="C68" i="82" s="1"/>
  <c r="C71" i="82" s="1"/>
  <c r="J22" i="82"/>
  <c r="J13" i="82"/>
  <c r="J23" i="82" s="1"/>
  <c r="C52" i="68"/>
  <c r="B2" i="68" s="1"/>
  <c r="B3" i="68" s="1"/>
  <c r="C56" i="11"/>
  <c r="C57" i="11" s="1"/>
  <c r="D2" i="83" l="1"/>
  <c r="B2" i="83" s="1"/>
  <c r="Q56" i="83"/>
  <c r="Q62" i="83" s="1"/>
  <c r="Q65" i="83"/>
  <c r="Q75" i="83" s="1"/>
  <c r="C43" i="83"/>
  <c r="Q47" i="83"/>
  <c r="Q53" i="83" s="1"/>
  <c r="C45" i="83"/>
  <c r="C46" i="83" s="1"/>
  <c r="Q62" i="67"/>
  <c r="Q75" i="67"/>
  <c r="B3" i="67"/>
  <c r="B2" i="67"/>
  <c r="Q47" i="15"/>
  <c r="Q53" i="15" s="1"/>
  <c r="I1" i="15"/>
  <c r="B2" i="15"/>
  <c r="B3" i="15" s="1"/>
  <c r="Q65" i="15"/>
  <c r="Q75" i="15" s="1"/>
  <c r="C83" i="15"/>
  <c r="C82" i="15" s="1"/>
  <c r="C46" i="15"/>
  <c r="Q56" i="15"/>
  <c r="Q62" i="15" s="1"/>
  <c r="C43" i="15"/>
  <c r="J16" i="82"/>
  <c r="J25" i="82" s="1"/>
  <c r="Q69" i="82"/>
  <c r="Q68" i="82" s="1"/>
  <c r="C40" i="82"/>
  <c r="C80" i="82"/>
  <c r="C79" i="82" s="1"/>
  <c r="C57" i="68"/>
  <c r="C56" i="68" s="1"/>
  <c r="AO6" i="1"/>
  <c r="L51" i="82"/>
  <c r="B3" i="83" l="1"/>
  <c r="B6" i="70"/>
  <c r="Q67" i="82"/>
  <c r="C46" i="82"/>
  <c r="Q47" i="82"/>
  <c r="Q53" i="82" s="1"/>
  <c r="C43" i="82"/>
  <c r="Q56" i="82"/>
  <c r="Q62" i="82" s="1"/>
  <c r="Q65" i="82"/>
  <c r="Q75" i="82" s="1"/>
  <c r="B2" i="82"/>
  <c r="C83" i="82"/>
  <c r="C82" i="82" s="1"/>
  <c r="AO7" i="1"/>
  <c r="B7" i="70" l="1"/>
  <c r="B2" i="70" s="1"/>
  <c r="B3" i="82"/>
  <c r="D19" i="9"/>
  <c r="D102" i="9" l="1"/>
  <c r="G19" i="9"/>
  <c r="G21" i="9" s="1"/>
  <c r="D21" i="9"/>
  <c r="D22" i="9"/>
  <c r="B3" i="70"/>
  <c r="D20" i="9"/>
  <c r="D103" i="9" l="1"/>
  <c r="G20" i="9"/>
  <c r="N28" i="1" s="1"/>
  <c r="C32" i="9" l="1"/>
  <c r="C35" i="9" l="1"/>
  <c r="C34" i="9" s="1"/>
  <c r="F118" i="9" l="1"/>
  <c r="F4" i="52" s="1"/>
  <c r="B51" i="72" s="1"/>
  <c r="G118" i="9" l="1"/>
  <c r="D118" i="9"/>
  <c r="F119" i="9"/>
  <c r="F5" i="52" s="1"/>
  <c r="B53" i="72" s="1"/>
  <c r="G4" i="52" l="1"/>
  <c r="B52" i="72" s="1"/>
  <c r="D119" i="9"/>
  <c r="D5" i="52" s="1"/>
  <c r="B49" i="72" s="1"/>
  <c r="D4" i="52"/>
  <c r="B47" i="72" s="1"/>
  <c r="H118" i="9"/>
  <c r="I118" i="9" s="1"/>
  <c r="C104" i="9" l="1"/>
  <c r="H4" i="52"/>
  <c r="H119" i="9"/>
  <c r="H5" i="52" s="1"/>
  <c r="D14" i="74"/>
  <c r="H102" i="9"/>
  <c r="E14" i="74"/>
  <c r="C105" i="9"/>
  <c r="E118" i="9"/>
  <c r="E4" i="52" s="1"/>
  <c r="B48" i="72" s="1"/>
  <c r="I4" i="52"/>
  <c r="H101" i="9"/>
  <c r="F14" i="74" l="1"/>
  <c r="B5" i="74"/>
  <c r="D5" i="74" s="1"/>
  <c r="D7" i="53"/>
  <c r="B21" i="72" s="1"/>
  <c r="D5" i="53"/>
  <c r="M48" i="9"/>
  <c r="H107" i="9"/>
  <c r="D45" i="9"/>
  <c r="C5" i="74" l="1"/>
  <c r="M49" i="9"/>
  <c r="D122" i="9"/>
  <c r="D13" i="53"/>
  <c r="H108" i="9"/>
  <c r="D15" i="53" s="1"/>
  <c r="B31" i="72" s="1"/>
  <c r="D6" i="53"/>
  <c r="B22" i="72" s="1"/>
  <c r="B20" i="72"/>
  <c r="D55" i="9"/>
  <c r="M53" i="9" s="1"/>
  <c r="C85" i="9"/>
  <c r="C78" i="9"/>
  <c r="C73" i="9" s="1"/>
  <c r="D53" i="9"/>
  <c r="C93" i="9"/>
  <c r="C86" i="9" s="1"/>
  <c r="C64" i="9"/>
  <c r="C63" i="9" s="1"/>
  <c r="C67" i="9" s="1"/>
  <c r="C72" i="9"/>
  <c r="D52" i="9"/>
  <c r="C79" i="9" l="1"/>
  <c r="C80" i="9" s="1"/>
  <c r="E80" i="9" s="1"/>
  <c r="E81" i="9" s="1"/>
  <c r="D14" i="53"/>
  <c r="B32" i="72" s="1"/>
  <c r="B30" i="72"/>
  <c r="L63" i="9"/>
  <c r="M63" i="9" s="1"/>
  <c r="L64" i="9"/>
  <c r="M64" i="9" s="1"/>
  <c r="L65" i="9"/>
  <c r="M65" i="9" s="1"/>
  <c r="L66" i="9"/>
  <c r="M66" i="9" s="1"/>
  <c r="L67" i="9"/>
  <c r="M67" i="9" s="1"/>
  <c r="L68" i="9"/>
  <c r="M68" i="9" s="1"/>
  <c r="D59" i="9"/>
  <c r="M55" i="9" s="1"/>
  <c r="C68" i="9"/>
  <c r="D54" i="9" s="1"/>
  <c r="C95" i="9"/>
  <c r="D123" i="9"/>
  <c r="D9" i="52" s="1"/>
  <c r="G14" i="74"/>
  <c r="B6" i="74" s="1"/>
  <c r="D8" i="52"/>
  <c r="C81" i="9" l="1"/>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<sst xmlns="http://schemas.openxmlformats.org/spreadsheetml/2006/main" count="8816" uniqueCount="3508">
  <si>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</si>
  <si>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</si>
  <si>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</si>
  <si>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</si>
  <si>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</si>
  <si>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</si>
  <si>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</si>
  <si>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</si>
  <si>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</si>
  <si>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</si>
  <si>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</si>
  <si>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</si>
  <si>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</si>
  <si>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</si>
  <si>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</si>
  <si>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</si>
  <si>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</si>
  <si>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</si>
  <si>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</si>
  <si>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</si>
  <si>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</si>
  <si>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</si>
  <si>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</si>
  <si>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</si>
  <si>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</si>
  <si>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</si>
  <si>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</si>
  <si>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</si>
  <si>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</si>
  <si>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</si>
  <si>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</si>
  <si>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</si>
  <si>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</si>
  <si>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</si>
  <si>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</si>
  <si>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</si>
  <si>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</si>
  <si>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</si>
  <si>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</si>
  <si>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</si>
  <si>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</si>
  <si>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</si>
  <si>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</si>
  <si>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</si>
  <si>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</si>
  <si>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</si>
  <si>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</si>
  <si>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</si>
  <si>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</si>
  <si>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</si>
  <si>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</si>
  <si>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</si>
  <si>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</si>
  <si>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</si>
  <si>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</si>
  <si>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</si>
  <si>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</si>
  <si>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</si>
  <si>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</si>
  <si>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</si>
  <si>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</si>
  <si>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</si>
  <si>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</si>
  <si>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</si>
  <si>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</si>
  <si>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</si>
  <si>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</si>
  <si>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</si>
  <si>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</si>
  <si>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</si>
  <si>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</si>
  <si>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</si>
  <si>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</si>
  <si>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</si>
  <si>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</si>
  <si>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</si>
  <si>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</si>
  <si>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</si>
  <si>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</si>
  <si>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</si>
  <si>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</si>
  <si>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</si>
  <si>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</si>
  <si>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</si>
  <si>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</si>
  <si>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</si>
  <si>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</si>
  <si>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</si>
  <si>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</si>
  <si>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</si>
  <si>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</si>
  <si>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</si>
  <si>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</si>
  <si>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</si>
  <si>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</si>
  <si>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</si>
  <si>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</si>
  <si>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</si>
  <si>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</si>
  <si>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</si>
  <si>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</si>
  <si>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</si>
  <si>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</si>
  <si>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</si>
  <si>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</si>
  <si>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</si>
  <si>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</si>
  <si>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</si>
  <si>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</si>
  <si>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</si>
  <si>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</si>
  <si>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</si>
  <si>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</si>
  <si>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</si>
  <si>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</si>
  <si>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</si>
  <si>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</si>
  <si>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</si>
  <si>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</si>
  <si>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</si>
  <si>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</si>
  <si>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</si>
  <si>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</si>
  <si>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</si>
  <si>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</si>
  <si>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</si>
  <si>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</si>
  <si>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</si>
  <si>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</si>
  <si>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</si>
  <si>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</si>
  <si>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</si>
  <si>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</si>
  <si>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</si>
  <si>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</si>
  <si>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</si>
  <si>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</si>
  <si>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</si>
  <si>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</si>
  <si>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</si>
  <si>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</si>
  <si>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</si>
  <si>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</si>
  <si>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</si>
  <si>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</si>
  <si>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</si>
  <si>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</si>
  <si>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</si>
  <si>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</si>
  <si>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</si>
  <si>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</si>
  <si>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</si>
  <si>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</si>
  <si>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</si>
  <si>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</si>
  <si>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</si>
  <si>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</si>
  <si>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</si>
  <si>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</si>
  <si>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</si>
  <si>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</si>
  <si>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</si>
  <si>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</si>
  <si>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</si>
  <si>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</si>
  <si>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</si>
  <si>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</si>
  <si>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</si>
  <si>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</si>
  <si>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</si>
  <si>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</si>
  <si>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</si>
  <si>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</si>
  <si>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</si>
  <si>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</si>
  <si>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</si>
  <si>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</si>
  <si>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</si>
  <si>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</si>
  <si>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</si>
  <si>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</si>
  <si>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</si>
  <si>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</si>
  <si>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</si>
  <si>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</si>
  <si>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</si>
  <si>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</si>
  <si>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</si>
  <si>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</si>
  <si>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</si>
  <si>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</si>
  <si>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</si>
  <si>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</si>
  <si>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</si>
  <si>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</si>
  <si>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</si>
  <si>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</si>
  <si>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</si>
  <si>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</si>
  <si>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</si>
  <si>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</si>
  <si>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</si>
  <si>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</si>
  <si>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</si>
  <si>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</si>
  <si>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</si>
  <si>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</si>
  <si>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</si>
  <si>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</si>
  <si>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</si>
  <si>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</si>
  <si>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</si>
  <si>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</si>
  <si>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</si>
  <si>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</si>
  <si>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</si>
  <si>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</si>
  <si>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</si>
  <si>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</si>
  <si>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</si>
  <si>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</si>
  <si>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</si>
  <si>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</si>
  <si>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</si>
  <si>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</si>
  <si>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</si>
  <si>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</si>
  <si>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</si>
  <si>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</si>
  <si>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</si>
  <si>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</si>
  <si>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</si>
  <si>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</si>
  <si>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</si>
  <si>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</si>
  <si>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</si>
  <si>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</si>
  <si>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</si>
  <si>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</si>
  <si>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</si>
  <si>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</si>
  <si>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</si>
  <si>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</si>
  <si>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</si>
  <si>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</si>
  <si>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</si>
  <si>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</si>
  <si>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</si>
  <si>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</si>
  <si>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</si>
  <si>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</si>
  <si>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</si>
  <si>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</si>
  <si>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</si>
  <si>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</si>
  <si>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</si>
  <si>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</si>
  <si>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</si>
  <si>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</si>
  <si>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</si>
  <si>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</si>
  <si>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</si>
  <si>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</si>
  <si>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</si>
  <si>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</si>
  <si>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</si>
  <si>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</si>
  <si>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</si>
  <si>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</si>
  <si>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</si>
  <si>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</si>
  <si>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</si>
  <si>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</si>
  <si>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</si>
  <si>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</si>
  <si>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</si>
  <si>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</si>
  <si>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</si>
  <si>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</si>
  <si>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</si>
  <si>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</si>
  <si>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</si>
  <si>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</si>
  <si>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</si>
  <si>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</si>
  <si>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</si>
  <si>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</si>
  <si>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</si>
  <si>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</si>
  <si>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</si>
  <si>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</si>
  <si>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</si>
  <si>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</si>
  <si>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</si>
  <si>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</si>
  <si>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</si>
  <si>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</si>
  <si>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</si>
  <si>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</si>
  <si>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</si>
  <si>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</si>
  <si>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</si>
  <si>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</si>
  <si>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</si>
  <si>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</si>
  <si>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</si>
  <si>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</si>
  <si>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</si>
  <si>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</si>
  <si>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</si>
  <si>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</si>
  <si>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</si>
  <si>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</si>
  <si>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</si>
  <si>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</si>
  <si>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</si>
  <si>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</si>
  <si>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</si>
  <si>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</si>
  <si>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</si>
  <si>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</si>
  <si>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</si>
  <si>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</si>
  <si>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</si>
  <si>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</si>
  <si>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</si>
  <si>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</si>
  <si>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</si>
  <si>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</si>
  <si>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</si>
  <si>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</si>
  <si>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</si>
  <si>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</si>
  <si>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</si>
  <si>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</si>
  <si>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</si>
  <si>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</si>
  <si>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</si>
  <si>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</si>
  <si>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</si>
  <si>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</si>
  <si>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</si>
  <si>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</si>
  <si>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</si>
  <si>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</si>
  <si>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</si>
  <si>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</si>
  <si>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</si>
  <si>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</si>
  <si>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</si>
  <si>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</si>
  <si>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</si>
  <si>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</si>
  <si>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</si>
  <si>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</si>
  <si>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</si>
  <si>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</si>
  <si>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</si>
  <si>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</si>
  <si>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</si>
  <si>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</si>
  <si>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</si>
  <si>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</si>
  <si>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</si>
  <si>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</si>
  <si>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</si>
  <si>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</si>
  <si>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</si>
  <si>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</si>
  <si>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</si>
  <si>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</si>
  <si>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</si>
  <si>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</si>
  <si>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</si>
  <si>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</si>
  <si>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</si>
  <si>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</si>
  <si>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</si>
  <si>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</si>
  <si>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</si>
  <si>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</si>
  <si>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</si>
  <si>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</si>
  <si>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</si>
  <si>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</si>
  <si>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</si>
  <si>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</si>
  <si>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</si>
  <si>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</si>
  <si>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</si>
  <si>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</si>
  <si>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</si>
  <si>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</si>
  <si>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</si>
  <si>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</si>
  <si>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</si>
  <si>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</si>
  <si>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</si>
  <si>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</si>
  <si>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</si>
  <si>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</si>
  <si>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</si>
  <si>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</si>
  <si>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</si>
  <si>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</si>
  <si>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</si>
  <si>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</si>
  <si>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</si>
  <si>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</si>
  <si>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</si>
  <si>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</si>
  <si>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</si>
  <si>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</si>
  <si>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</si>
  <si>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</si>
  <si>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</si>
  <si>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</si>
  <si>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</si>
  <si>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</si>
  <si>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</si>
  <si>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</si>
  <si>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</si>
  <si>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</si>
  <si>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</si>
  <si>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</si>
  <si>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</si>
  <si>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</si>
  <si>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</si>
  <si>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</si>
  <si>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</si>
  <si>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</si>
  <si>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</si>
  <si>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</si>
  <si>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</si>
  <si>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</si>
  <si>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</si>
  <si>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</si>
  <si>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</si>
  <si>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</si>
  <si>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</si>
  <si>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</si>
  <si>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</si>
  <si>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</si>
  <si>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</si>
  <si>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</si>
  <si>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</si>
  <si>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</si>
  <si>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</si>
  <si>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</si>
  <si>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</si>
  <si>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</si>
  <si>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</si>
  <si>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</si>
  <si>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</si>
  <si>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</si>
  <si>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</si>
  <si>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</si>
  <si>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</si>
  <si>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</si>
  <si>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</si>
  <si>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</si>
  <si>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</si>
  <si>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</si>
  <si>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</si>
  <si>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</si>
  <si>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</si>
  <si>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</si>
  <si>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</si>
  <si>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</si>
  <si>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</si>
  <si>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</si>
  <si>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</si>
  <si>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</si>
  <si>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</si>
  <si>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</si>
  <si>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</si>
  <si>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</si>
  <si>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</si>
  <si>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</si>
  <si>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</si>
  <si>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</si>
  <si>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</si>
  <si>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</si>
  <si>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</si>
  <si>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</si>
  <si>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</si>
  <si>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</si>
  <si>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</si>
  <si>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</si>
  <si>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</si>
  <si>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</si>
  <si>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</si>
  <si>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</si>
  <si>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</si>
  <si>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</si>
  <si>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</si>
  <si>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</si>
  <si>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</si>
  <si>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</si>
  <si>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</si>
  <si>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</si>
  <si>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</si>
  <si>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</si>
  <si>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</si>
  <si>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</si>
  <si>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</si>
  <si>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</si>
  <si>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</si>
  <si>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</si>
  <si>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</si>
  <si>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</si>
  <si>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</si>
  <si>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</si>
  <si>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</si>
  <si>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</si>
  <si>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</si>
  <si>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</si>
  <si>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</si>
  <si>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</si>
  <si>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</si>
  <si>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</si>
  <si>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</si>
  <si>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</si>
  <si>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</si>
  <si>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</si>
  <si>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</si>
  <si>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</si>
  <si>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</si>
  <si>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</si>
  <si>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</si>
  <si>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</si>
  <si>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</si>
  <si>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</si>
  <si>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</si>
  <si>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</si>
  <si>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</si>
  <si>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</si>
  <si>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</si>
  <si>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</si>
  <si>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</si>
  <si>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</si>
  <si>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</si>
  <si>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</si>
  <si>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</si>
  <si>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</si>
  <si>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</si>
  <si>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</si>
  <si>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</si>
  <si>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</si>
  <si>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</si>
  <si>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</si>
  <si>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</si>
  <si>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</si>
  <si>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</si>
  <si>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</si>
  <si>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</si>
  <si>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</si>
  <si>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</si>
  <si>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</si>
  <si>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</si>
  <si>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</si>
  <si>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</si>
  <si>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</si>
  <si>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</si>
  <si>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</si>
  <si>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</si>
  <si>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</si>
  <si>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</si>
  <si>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</si>
  <si>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</si>
  <si>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</si>
  <si>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</si>
  <si>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</si>
  <si>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</si>
  <si>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</si>
  <si>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</si>
  <si>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</si>
  <si>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</si>
  <si>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</si>
  <si>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</si>
  <si>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</si>
  <si>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</si>
  <si>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</si>
  <si>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</si>
  <si>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</si>
  <si>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</si>
  <si>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</si>
  <si>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</si>
  <si>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</si>
  <si>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</si>
  <si>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</si>
  <si>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</si>
  <si>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</si>
  <si>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</si>
  <si>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</si>
  <si>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</si>
  <si>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</si>
  <si>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</si>
  <si>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</si>
  <si>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</si>
  <si>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</si>
  <si>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</si>
  <si>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</si>
  <si>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</si>
  <si>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</si>
  <si>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</si>
  <si>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</si>
  <si>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</si>
  <si>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</si>
  <si>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</si>
  <si>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</si>
  <si>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</si>
  <si>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</si>
  <si>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</si>
  <si>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</si>
  <si>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</si>
  <si>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</si>
  <si>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</si>
  <si>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</si>
  <si>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</si>
  <si>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</si>
  <si>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</si>
  <si>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</si>
  <si>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</si>
  <si>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</si>
  <si>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</si>
  <si>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</si>
  <si>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</si>
  <si>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</si>
  <si>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</si>
  <si>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</si>
  <si>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</si>
  <si>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</si>
  <si>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</si>
  <si>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</si>
  <si>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</si>
  <si>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</si>
  <si>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</si>
  <si>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</si>
  <si>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</si>
  <si>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</si>
  <si>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</si>
  <si>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</si>
  <si>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</si>
  <si>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</si>
  <si>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</si>
  <si>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</si>
  <si>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</si>
  <si>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</si>
  <si>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</si>
  <si>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</si>
  <si>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</si>
  <si>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</si>
  <si>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</si>
  <si>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</si>
  <si>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</si>
  <si>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</si>
  <si>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</si>
  <si>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</si>
  <si>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</si>
  <si>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</si>
  <si>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</si>
  <si>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</si>
  <si>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</si>
  <si>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</si>
  <si>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</si>
  <si>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</si>
  <si>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</si>
  <si>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</si>
  <si>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</si>
  <si>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</si>
  <si>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</si>
  <si>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</si>
  <si>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</si>
  <si>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</si>
  <si>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</si>
  <si>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</si>
  <si>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</si>
  <si>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</si>
  <si>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</si>
  <si>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</si>
  <si>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</si>
  <si>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</si>
  <si>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</si>
  <si>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</si>
  <si>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</si>
  <si>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</si>
  <si>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</si>
  <si>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</si>
  <si>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</si>
  <si>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</si>
  <si>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</si>
  <si>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</si>
  <si>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</si>
  <si>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</si>
  <si>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</si>
  <si>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</si>
  <si>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</si>
  <si>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</si>
  <si>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</si>
  <si>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</si>
  <si>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</si>
  <si>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</si>
  <si>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</si>
  <si>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</si>
  <si>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</si>
  <si>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</si>
  <si>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</si>
  <si>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</si>
  <si>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</si>
  <si>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</si>
  <si>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</si>
  <si>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</si>
  <si>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</si>
  <si>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</si>
  <si>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</si>
  <si>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</si>
  <si>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</si>
  <si>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</si>
  <si>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</si>
  <si>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</si>
  <si>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</si>
  <si>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</si>
  <si>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</si>
  <si>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</si>
  <si>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</si>
  <si>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</si>
  <si>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</si>
  <si>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</si>
  <si>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</si>
  <si>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</si>
  <si>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</si>
  <si>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</si>
  <si>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</si>
  <si>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</si>
  <si>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</si>
  <si>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</si>
  <si>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</si>
  <si>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</si>
  <si>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</si>
  <si>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</si>
  <si>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</si>
  <si>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</si>
  <si>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</si>
  <si>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</si>
  <si>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</si>
  <si>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</si>
  <si>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</si>
  <si>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</si>
  <si>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</si>
  <si>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</si>
  <si>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</si>
  <si>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</si>
  <si>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</si>
  <si>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</si>
  <si>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</si>
  <si>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</si>
  <si>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</si>
  <si>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</si>
  <si>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</si>
  <si>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</si>
  <si>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</si>
  <si>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</si>
  <si>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</si>
  <si>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</si>
  <si>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</si>
  <si>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</si>
  <si>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</si>
  <si>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</si>
  <si>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</si>
  <si>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</si>
  <si>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</si>
  <si>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</si>
  <si>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</si>
  <si>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</si>
  <si>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</si>
  <si>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</si>
  <si>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</si>
  <si>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</si>
  <si>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</si>
  <si>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</si>
  <si>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</si>
  <si>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</si>
  <si>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</si>
  <si>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</si>
  <si>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</si>
  <si>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</si>
  <si>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</si>
  <si>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</si>
  <si>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</si>
  <si>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</si>
  <si>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</si>
  <si>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</si>
  <si>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</si>
  <si>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</si>
  <si>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</si>
  <si>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</si>
  <si>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</si>
  <si>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</si>
  <si>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</si>
  <si>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</si>
  <si>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</si>
  <si>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</si>
  <si>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</si>
  <si>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</si>
  <si>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</si>
  <si>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</si>
  <si>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</si>
  <si>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</si>
  <si>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</si>
  <si>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</si>
  <si>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</si>
  <si>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</si>
  <si>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</si>
  <si>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</si>
  <si>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</si>
  <si>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</si>
  <si>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</si>
  <si>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</si>
  <si>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</si>
  <si>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</si>
  <si>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</si>
  <si>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</si>
  <si>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</si>
  <si>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</si>
  <si>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</si>
  <si>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</si>
  <si>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</si>
  <si>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</si>
  <si>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</si>
  <si>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</si>
  <si>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</si>
  <si>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</si>
  <si>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</si>
  <si>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</si>
  <si>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</si>
  <si>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</si>
  <si>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</si>
  <si>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</si>
  <si>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</si>
  <si>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</si>
  <si>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</si>
  <si>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</si>
  <si>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</si>
  <si>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</si>
  <si>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</si>
  <si>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</si>
  <si>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</si>
  <si>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</si>
  <si>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</si>
  <si>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</si>
  <si>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</si>
  <si>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</si>
  <si>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</si>
  <si>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</si>
  <si>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</si>
  <si>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</si>
  <si>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</si>
  <si>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</si>
  <si>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</si>
  <si>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</si>
  <si>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</si>
  <si>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</si>
  <si>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</si>
  <si>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</si>
  <si>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</si>
  <si>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</si>
  <si>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</si>
  <si>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</si>
  <si>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</si>
  <si>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</si>
  <si>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</si>
  <si>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</si>
  <si>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</si>
  <si>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</si>
  <si>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</si>
  <si>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</si>
  <si>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</si>
  <si>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</si>
  <si>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</si>
  <si>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</si>
  <si>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</si>
  <si>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</si>
  <si>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</si>
  <si>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</si>
  <si>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</si>
  <si>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</si>
  <si>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</si>
  <si>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</si>
  <si>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</si>
  <si>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</si>
  <si>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</si>
  <si>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</si>
  <si>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</si>
  <si>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</si>
  <si>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</si>
  <si>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</si>
  <si>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</si>
  <si>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</si>
  <si>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</si>
  <si>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</si>
  <si>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</si>
  <si>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</si>
  <si>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</si>
  <si>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</si>
  <si>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</si>
  <si>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</si>
  <si>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</si>
  <si>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</si>
  <si>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</si>
  <si>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</si>
  <si>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</si>
  <si>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</si>
  <si>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</si>
  <si>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</si>
  <si>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</si>
  <si>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</si>
  <si>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</si>
  <si>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</si>
  <si>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</si>
  <si>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</si>
  <si>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</si>
  <si>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</si>
  <si>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</si>
  <si>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</si>
  <si>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</si>
  <si>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</si>
  <si>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</si>
  <si>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</si>
  <si>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</si>
  <si>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</si>
  <si>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</si>
  <si>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</si>
  <si>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</si>
  <si>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</si>
  <si>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</si>
  <si>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</si>
  <si>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</si>
  <si>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</si>
  <si>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</si>
  <si>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</si>
  <si>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</si>
  <si>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</si>
  <si>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</si>
  <si>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</si>
  <si>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</si>
  <si>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</si>
  <si>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</si>
  <si>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</si>
  <si>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</si>
  <si>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</si>
  <si>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</si>
  <si>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</si>
  <si>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</si>
  <si>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</si>
  <si>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</si>
  <si>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</si>
  <si>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</si>
  <si>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</si>
  <si>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</si>
  <si>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</si>
  <si>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</si>
  <si>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</si>
  <si>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</si>
  <si>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</si>
  <si>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</si>
  <si>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</si>
  <si>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</si>
  <si>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</si>
  <si>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</si>
  <si>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</si>
  <si>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</si>
  <si>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</si>
  <si>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</si>
  <si>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</si>
  <si>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</si>
  <si>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</si>
  <si>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</si>
  <si>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</si>
  <si>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</si>
  <si>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</si>
  <si>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</si>
  <si>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</si>
  <si>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</si>
  <si>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</si>
  <si>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</si>
  <si>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</si>
  <si>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</si>
  <si>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</si>
  <si>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</si>
  <si>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</si>
  <si>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</si>
  <si>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</si>
  <si>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</si>
  <si>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</si>
  <si>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</si>
  <si>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</si>
  <si>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</si>
  <si>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</si>
  <si>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</si>
  <si>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</si>
  <si>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</si>
  <si>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</si>
  <si>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</si>
  <si>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</si>
  <si>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</si>
  <si>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</si>
  <si>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</si>
  <si>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</si>
  <si>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</si>
  <si>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</si>
  <si>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</si>
  <si>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</si>
  <si>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</si>
  <si>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</si>
  <si>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</si>
  <si>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</si>
  <si>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</si>
  <si>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</si>
  <si>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</si>
  <si>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</si>
  <si>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</si>
  <si>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</si>
  <si>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</si>
  <si>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</si>
  <si>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</si>
  <si>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</si>
  <si>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</si>
  <si>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</si>
  <si>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</si>
  <si>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</si>
  <si>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</si>
  <si>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</si>
  <si>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</si>
  <si>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</si>
  <si>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</si>
  <si>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</si>
  <si>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</si>
  <si>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</si>
  <si>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</si>
  <si>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</si>
  <si>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</si>
  <si>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</si>
  <si>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</si>
  <si>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</si>
  <si>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</si>
  <si>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</si>
  <si>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</si>
  <si>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</si>
  <si>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</si>
  <si>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</si>
  <si>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</si>
  <si>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</si>
  <si>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</si>
  <si>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</si>
  <si>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</si>
  <si>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</si>
  <si>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</si>
  <si>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</si>
  <si>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</si>
  <si>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</si>
  <si>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</si>
  <si>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</si>
  <si>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</si>
  <si>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</si>
  <si>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</si>
  <si>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</si>
  <si>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</si>
  <si>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</si>
  <si>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</si>
  <si>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</si>
  <si>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</si>
  <si>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</si>
  <si>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</si>
  <si>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</si>
  <si>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</si>
  <si>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</si>
  <si>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</si>
  <si>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</si>
  <si>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</si>
  <si>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</si>
  <si>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</si>
  <si>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</si>
  <si>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</si>
  <si>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</si>
  <si>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</si>
  <si>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</si>
  <si>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</si>
  <si>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</si>
  <si>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</si>
  <si>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</si>
  <si>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</si>
  <si>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</si>
  <si>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</si>
  <si>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</si>
  <si>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</si>
  <si>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</si>
  <si>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</si>
  <si>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</si>
  <si>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</si>
  <si>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</si>
  <si>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</si>
  <si>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</si>
  <si>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</si>
  <si>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</si>
  <si>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</si>
  <si>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</si>
  <si>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</si>
  <si>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</si>
  <si>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</si>
  <si>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</si>
  <si>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</si>
  <si>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</si>
  <si>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</si>
  <si>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</si>
  <si>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</si>
  <si>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</si>
  <si>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</si>
  <si>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</si>
  <si>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</si>
  <si>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</si>
  <si>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</si>
  <si>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</si>
  <si>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</si>
  <si>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</si>
  <si>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</si>
  <si>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</si>
  <si>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</si>
  <si>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</si>
  <si>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</si>
  <si>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</si>
  <si>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</si>
  <si>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</si>
  <si>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</si>
  <si>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</si>
  <si>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</si>
  <si>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</si>
  <si>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</si>
  <si>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</si>
  <si>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</si>
  <si>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</si>
  <si>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</si>
  <si>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</si>
  <si>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</si>
  <si>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</si>
  <si>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</si>
  <si>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</si>
  <si>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</si>
  <si>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</si>
  <si>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</si>
  <si>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</si>
  <si>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</si>
  <si>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</si>
  <si>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</si>
  <si>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</si>
  <si>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</si>
  <si>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</si>
  <si>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</si>
  <si>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</si>
  <si>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</si>
  <si>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</si>
  <si>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</si>
  <si>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</si>
  <si>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</si>
  <si>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</si>
  <si>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</si>
  <si>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</si>
  <si>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</si>
  <si>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</si>
  <si>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</si>
  <si>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</si>
  <si>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</si>
  <si>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</si>
  <si>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</si>
  <si>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</si>
  <si>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</si>
  <si>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</si>
  <si>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</si>
  <si>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</si>
  <si>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</si>
  <si>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</si>
  <si>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</si>
  <si>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</si>
  <si>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</si>
  <si>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</si>
  <si>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</si>
  <si>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</si>
  <si>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</si>
  <si>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</si>
  <si>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</si>
  <si>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</si>
  <si>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</si>
  <si>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</si>
  <si>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</si>
  <si>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</si>
  <si>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</si>
  <si>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</si>
  <si>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</si>
  <si>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</si>
  <si>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</si>
  <si>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</si>
  <si>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</si>
  <si>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</si>
  <si>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</si>
  <si>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</si>
  <si>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</si>
  <si>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</si>
  <si>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</si>
  <si>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</si>
  <si>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</si>
  <si>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</si>
  <si>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</si>
  <si>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</si>
  <si>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</si>
  <si>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</si>
  <si>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</si>
  <si>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</si>
  <si>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</si>
  <si>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</si>
  <si>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</si>
  <si>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</si>
  <si>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</si>
  <si>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</si>
  <si>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</si>
  <si>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</si>
  <si>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</si>
  <si>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</si>
  <si>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</si>
  <si>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</si>
  <si>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</si>
  <si>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</si>
  <si>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</si>
  <si>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</si>
  <si>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</si>
  <si>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</si>
  <si>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</si>
  <si>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</si>
  <si>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</si>
  <si>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</si>
  <si>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</si>
  <si>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</si>
  <si>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</si>
  <si>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</si>
  <si>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</si>
  <si>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</si>
  <si>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</si>
  <si>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</si>
  <si>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</si>
  <si>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</si>
  <si>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</si>
  <si>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</si>
  <si>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</si>
  <si>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</si>
  <si>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</si>
  <si>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</si>
  <si>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</si>
  <si>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</si>
  <si>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</si>
  <si>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</si>
  <si>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</si>
  <si>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</si>
  <si>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</si>
  <si>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</si>
  <si>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</si>
  <si>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</si>
  <si>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</si>
  <si>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</si>
  <si>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</si>
  <si>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</si>
  <si>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</si>
  <si>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</si>
  <si>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</si>
  <si>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</si>
  <si>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</si>
  <si>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</si>
  <si>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</si>
  <si>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</si>
  <si>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</si>
  <si>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</si>
  <si>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</si>
  <si>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</si>
  <si>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</si>
  <si>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</si>
  <si>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</si>
  <si>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</si>
  <si>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</si>
  <si>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</si>
  <si>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</si>
  <si>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</si>
  <si>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</si>
  <si>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</si>
  <si>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</si>
  <si>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</si>
  <si>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</si>
  <si>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</si>
  <si>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</si>
  <si>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</si>
  <si>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</si>
  <si>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</si>
  <si>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</si>
  <si>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</si>
  <si>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</si>
  <si>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</si>
  <si>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</si>
  <si>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</si>
  <si>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</si>
  <si>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</si>
  <si>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</si>
  <si>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</si>
  <si>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</si>
  <si>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</si>
  <si>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</si>
  <si>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</si>
  <si>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</si>
  <si>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</si>
  <si>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</si>
  <si>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</si>
  <si>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</si>
  <si>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</si>
  <si>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</si>
  <si>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</si>
  <si>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</si>
  <si>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</si>
  <si>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</si>
  <si>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</si>
  <si>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</si>
  <si>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</si>
  <si>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</si>
  <si>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</si>
  <si>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</si>
  <si>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</si>
  <si>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</si>
  <si>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</si>
  <si>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</si>
  <si>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</si>
  <si>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</si>
  <si>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</si>
  <si>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</si>
  <si>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</si>
  <si>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</si>
  <si>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</si>
  <si>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</si>
  <si>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</si>
  <si>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</si>
  <si>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</si>
  <si>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</si>
  <si>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</si>
  <si>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</si>
  <si>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</si>
  <si>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</si>
  <si>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</si>
  <si>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</si>
  <si>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</si>
  <si>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</si>
  <si>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</si>
  <si>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</si>
  <si>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</si>
  <si>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</si>
  <si>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</si>
  <si>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</si>
  <si>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</si>
  <si>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</si>
  <si>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</si>
  <si>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</si>
  <si>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</si>
  <si>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</si>
  <si>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</si>
  <si>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</si>
  <si>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</si>
  <si>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</si>
  <si>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</si>
  <si>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</si>
  <si>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</si>
  <si>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</si>
  <si>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</si>
  <si>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</si>
  <si>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</si>
  <si>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</si>
  <si>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</si>
  <si>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</si>
  <si>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</si>
  <si>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</si>
  <si>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</si>
  <si>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</si>
  <si>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</si>
  <si>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</si>
  <si>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</si>
  <si>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</si>
  <si>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</si>
  <si>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</si>
  <si>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</si>
  <si>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</si>
  <si>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</si>
  <si>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</si>
  <si>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</si>
  <si>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</si>
  <si>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</si>
  <si>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</si>
  <si>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</si>
  <si>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</si>
  <si>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</si>
  <si>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</si>
  <si>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</si>
  <si>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</si>
  <si>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</si>
  <si>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</si>
  <si>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</si>
  <si>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</si>
  <si>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</si>
  <si>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</si>
  <si>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</si>
  <si>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</si>
  <si>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</si>
  <si>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</si>
  <si>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</si>
  <si>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</si>
  <si>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</si>
  <si>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</si>
  <si>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</si>
  <si>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</si>
  <si>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</si>
  <si>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</si>
  <si>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</si>
  <si>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</si>
  <si>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</si>
  <si>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</si>
  <si>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</si>
  <si>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</si>
  <si>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</si>
  <si>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</si>
  <si>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</si>
  <si>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</si>
  <si>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</si>
  <si>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</si>
  <si>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</si>
  <si>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</si>
  <si>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</si>
  <si>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</si>
  <si>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</si>
  <si>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</si>
  <si>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</si>
  <si>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</si>
  <si>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</si>
  <si>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</si>
  <si>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</si>
  <si>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</si>
  <si>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</si>
  <si>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</si>
  <si>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</si>
  <si>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</si>
  <si>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</si>
  <si>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</si>
  <si>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</si>
  <si>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</si>
  <si>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</si>
  <si>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</si>
  <si>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</si>
  <si>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</si>
  <si>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</si>
  <si>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</si>
  <si>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</si>
  <si>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</si>
  <si>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</si>
  <si>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</si>
  <si>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</si>
  <si>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</si>
  <si>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</si>
  <si>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</si>
  <si>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</si>
  <si>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</si>
  <si>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</si>
  <si>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</si>
  <si>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</si>
  <si>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</si>
  <si>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</si>
  <si>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</si>
  <si>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</si>
  <si>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</si>
  <si>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</si>
  <si>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</si>
  <si>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</si>
  <si>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</si>
  <si>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</si>
  <si>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</si>
  <si>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</si>
  <si>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</si>
  <si>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</si>
  <si>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</si>
  <si>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</si>
  <si>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</si>
  <si>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</si>
  <si>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</si>
  <si>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</si>
  <si>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</si>
  <si>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</si>
  <si>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</si>
  <si>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</si>
  <si>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</si>
  <si>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</si>
  <si>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</si>
  <si>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</si>
  <si>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</si>
  <si>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</si>
  <si>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</si>
  <si>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</si>
  <si>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</si>
  <si>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</si>
  <si>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</si>
  <si>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</si>
  <si>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</si>
  <si>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</si>
  <si>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</si>
  <si>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</si>
  <si>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</si>
  <si>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</si>
  <si>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</si>
  <si>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</si>
  <si>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</si>
  <si>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</si>
  <si>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</si>
  <si>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</si>
  <si>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</si>
  <si>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</si>
  <si>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</si>
  <si>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</si>
  <si>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</si>
  <si>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</si>
  <si>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</si>
  <si>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</si>
  <si>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</si>
  <si>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</si>
  <si>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</si>
  <si>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</si>
  <si>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</si>
  <si>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</si>
  <si>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</si>
  <si>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</si>
  <si>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</si>
  <si>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</si>
  <si>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</si>
  <si>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</si>
  <si>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</si>
  <si>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</si>
  <si>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</si>
  <si>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</si>
  <si>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</si>
  <si>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</si>
  <si>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</si>
  <si>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</si>
  <si>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</si>
  <si>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</si>
  <si>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</si>
  <si>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</si>
  <si>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</si>
  <si>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</si>
  <si>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</si>
  <si>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</si>
  <si>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</si>
  <si>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</si>
  <si>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</si>
  <si>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</si>
  <si>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</si>
  <si>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</si>
  <si>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</si>
  <si>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</si>
  <si>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</si>
  <si>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</si>
  <si>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</si>
  <si>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</si>
  <si>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</si>
  <si>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</si>
  <si>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</si>
  <si>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</si>
  <si>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</si>
  <si>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</si>
  <si>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</si>
  <si>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</si>
  <si>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</si>
  <si>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</si>
  <si>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</si>
  <si>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</si>
  <si>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</si>
  <si>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</si>
  <si>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</si>
  <si>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</si>
  <si>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</si>
  <si>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</si>
  <si>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</si>
  <si>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</si>
  <si>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</si>
  <si>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</si>
  <si>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</si>
  <si>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</si>
  <si>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</si>
  <si>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</si>
  <si>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</si>
  <si>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</si>
  <si>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</si>
  <si>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</si>
  <si>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</si>
  <si>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</si>
  <si>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</si>
  <si>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</si>
  <si>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</si>
  <si>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</si>
  <si>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</si>
  <si>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</si>
  <si>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</si>
  <si>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</si>
  <si>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</si>
  <si>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</si>
  <si>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</si>
  <si>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</si>
  <si>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</si>
  <si>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</si>
  <si>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</si>
  <si>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</si>
  <si>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</si>
  <si>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</si>
  <si>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</si>
  <si>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</si>
  <si>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</si>
  <si>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</si>
  <si>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</si>
  <si>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</si>
  <si>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</si>
  <si>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</si>
  <si>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</si>
  <si>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</si>
  <si>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</si>
  <si>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</si>
  <si>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</si>
  <si>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</si>
  <si>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</si>
  <si>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</si>
  <si>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</si>
  <si>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</si>
  <si>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</si>
  <si>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</si>
  <si>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</si>
  <si>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</si>
  <si>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</si>
  <si>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</si>
  <si>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</si>
  <si>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</si>
  <si>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</si>
  <si>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</si>
  <si>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</si>
  <si>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</si>
  <si>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</si>
  <si>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</si>
  <si>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</si>
  <si>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</si>
  <si>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</si>
  <si>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</si>
  <si>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</si>
  <si>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</si>
  <si>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</si>
  <si>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</si>
  <si>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</si>
  <si>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</si>
  <si>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</si>
  <si>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</si>
  <si>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</si>
  <si>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</si>
  <si>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</si>
  <si>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</si>
  <si>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</si>
  <si>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</si>
  <si>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</si>
  <si>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</si>
  <si>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</si>
  <si>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</si>
  <si>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</si>
  <si>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</si>
  <si>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</si>
  <si>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</si>
  <si>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</si>
  <si>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</si>
  <si>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</si>
  <si>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</si>
  <si>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</si>
  <si>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</si>
  <si>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</si>
  <si>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</si>
  <si>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</si>
  <si>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</si>
  <si>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</si>
  <si>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</si>
  <si>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</si>
  <si>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</si>
  <si>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</si>
  <si>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</si>
  <si>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</si>
  <si>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</si>
  <si>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</si>
  <si>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</si>
  <si>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</si>
  <si>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</si>
  <si>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</si>
  <si>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</si>
  <si>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</si>
  <si>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</si>
  <si>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</si>
  <si>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</si>
  <si>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</si>
  <si>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</si>
  <si>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</si>
  <si>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</si>
  <si>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</si>
  <si>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</si>
  <si>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</si>
  <si>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</si>
  <si>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</si>
  <si>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</si>
  <si>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</si>
  <si>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</si>
  <si>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</si>
  <si>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</si>
  <si>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</si>
  <si>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</si>
  <si>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</si>
  <si>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</si>
  <si>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</si>
  <si>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</si>
  <si>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</si>
  <si>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</si>
  <si>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</si>
  <si>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</si>
  <si>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</si>
  <si>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</si>
  <si>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</si>
  <si>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</si>
  <si>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</si>
  <si>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</si>
  <si>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</si>
  <si>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</si>
  <si>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</si>
  <si>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</si>
  <si>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</si>
  <si>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</si>
  <si>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</si>
  <si>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</si>
  <si>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</si>
  <si>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</si>
  <si>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</si>
  <si>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</si>
  <si>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</si>
  <si>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</si>
  <si>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</si>
  <si>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</si>
  <si>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</si>
  <si>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</si>
  <si>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</si>
  <si>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</si>
  <si>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</si>
  <si>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</si>
  <si>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</si>
  <si>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</si>
  <si>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</si>
  <si>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</si>
  <si>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</si>
  <si>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</si>
  <si>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</si>
  <si>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</si>
  <si>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</si>
  <si>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</si>
  <si>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</si>
  <si>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</si>
  <si>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</si>
  <si>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</si>
  <si>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</si>
  <si>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</si>
  <si>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</si>
  <si>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</si>
  <si>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</si>
  <si>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</si>
  <si>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</si>
  <si>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</si>
  <si>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</si>
  <si>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</si>
  <si>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</si>
  <si>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</si>
  <si>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</si>
  <si>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</si>
  <si>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</si>
  <si>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</si>
  <si>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</si>
  <si>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</si>
  <si>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</si>
  <si>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</si>
  <si>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</si>
  <si>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</si>
  <si>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</si>
  <si>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</si>
  <si>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</si>
  <si>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</si>
  <si>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</si>
  <si>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</si>
  <si>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</si>
  <si>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</si>
  <si>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</si>
  <si>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</si>
  <si>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</si>
  <si>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</si>
  <si>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</si>
  <si>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</si>
  <si>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</si>
  <si>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</si>
  <si>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</si>
  <si>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</si>
  <si>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</si>
  <si>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</si>
  <si>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</si>
  <si>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</si>
  <si>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</si>
  <si>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</si>
  <si>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</si>
  <si>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</si>
  <si>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</si>
  <si>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</si>
  <si>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</si>
  <si>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</si>
  <si>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</si>
  <si>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</si>
  <si>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</si>
  <si>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</si>
  <si>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</si>
  <si>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</si>
  <si>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</si>
  <si>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</si>
  <si>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</si>
  <si>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</si>
  <si>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</si>
  <si>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</si>
  <si>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</si>
  <si>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</si>
  <si>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</si>
  <si>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</si>
  <si>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</si>
  <si>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</si>
  <si>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</si>
  <si>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</si>
  <si>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</si>
  <si>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</si>
  <si>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</si>
  <si>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</si>
  <si>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</si>
  <si>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</si>
  <si>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</si>
  <si>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</si>
  <si>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</si>
  <si>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</si>
  <si>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</si>
  <si>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</si>
  <si>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</si>
  <si>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</si>
  <si>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</si>
  <si>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</si>
  <si>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</si>
  <si>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</si>
  <si>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</si>
  <si>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</si>
  <si>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</si>
  <si>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</si>
  <si>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</si>
  <si>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</si>
  <si>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</si>
  <si>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</si>
  <si>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</si>
  <si>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</si>
  <si>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</si>
  <si>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</si>
  <si>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</si>
  <si>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</si>
  <si>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</si>
  <si>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</si>
  <si>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</si>
  <si>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</si>
  <si>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</si>
  <si>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</si>
  <si>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</si>
  <si>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</si>
  <si>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</si>
  <si>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</si>
  <si>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</si>
  <si>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</si>
  <si>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</si>
  <si>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</si>
  <si>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</si>
  <si>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</si>
  <si>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</si>
  <si>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</si>
  <si>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</si>
  <si>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</si>
  <si>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</si>
  <si>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</si>
  <si>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</si>
  <si>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</si>
  <si>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</si>
  <si>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</si>
  <si>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</si>
  <si>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</si>
  <si>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</si>
  <si>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</si>
  <si>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</si>
  <si>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</si>
  <si>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</si>
  <si>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</si>
  <si>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</si>
  <si>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</si>
  <si>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</si>
  <si>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</si>
  <si>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</si>
  <si>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</si>
  <si>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</si>
  <si>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</si>
  <si>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</si>
  <si>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</si>
  <si>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</si>
  <si>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</si>
  <si>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</si>
  <si>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</si>
  <si>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</si>
  <si>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</si>
  <si>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</si>
  <si>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</si>
  <si>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</si>
  <si>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</si>
  <si>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</si>
  <si>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</si>
  <si>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</si>
  <si>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</si>
  <si>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</si>
  <si>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</si>
  <si>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</si>
  <si>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</si>
  <si>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</si>
  <si>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</si>
  <si>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</si>
  <si>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</si>
  <si>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</si>
  <si>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</si>
  <si>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</si>
  <si>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</si>
  <si>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</si>
  <si>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</si>
  <si>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</si>
  <si>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</si>
  <si>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</si>
  <si>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</si>
  <si>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</si>
  <si>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</si>
  <si>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</si>
  <si>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</si>
  <si>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</si>
  <si>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</si>
  <si>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</si>
  <si>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</si>
  <si>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</si>
  <si>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</si>
  <si>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</si>
  <si>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</si>
  <si>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</si>
  <si>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</si>
  <si>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</si>
  <si>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</si>
  <si>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</si>
  <si>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</si>
  <si>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</si>
  <si>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</si>
  <si>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</si>
  <si>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</si>
  <si>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</si>
  <si>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</si>
  <si>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</si>
  <si>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</si>
  <si>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</si>
  <si>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</si>
  <si>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</si>
  <si>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</si>
  <si>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</si>
  <si>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</si>
  <si>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</si>
  <si>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</si>
  <si>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</si>
  <si>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</si>
  <si>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</si>
  <si>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</si>
  <si>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</si>
  <si>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</si>
  <si>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</si>
  <si>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</si>
  <si>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</si>
  <si>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</si>
  <si>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</si>
  <si>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</si>
  <si>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</si>
  <si>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</si>
  <si>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</si>
  <si>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</si>
  <si>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</si>
  <si>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</si>
  <si>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</si>
  <si>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</si>
  <si>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</si>
  <si>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</si>
  <si>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</si>
  <si>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</si>
  <si>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</si>
  <si>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</si>
  <si>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</si>
  <si>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</si>
  <si>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</si>
  <si>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</si>
  <si>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</si>
  <si>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</si>
  <si>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</si>
  <si>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</si>
  <si>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</si>
  <si>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</si>
  <si>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</si>
  <si>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</si>
  <si>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</si>
  <si>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</si>
  <si>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</si>
  <si>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</si>
  <si>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</si>
  <si>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</si>
  <si>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</si>
  <si>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</si>
  <si>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</si>
  <si>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</si>
  <si>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</si>
  <si>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</si>
  <si>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</si>
  <si>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</si>
  <si>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</si>
  <si>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</si>
  <si>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</si>
  <si>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</si>
  <si>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</si>
  <si>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</si>
  <si>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</si>
  <si>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</si>
  <si>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</si>
  <si>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</si>
  <si>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</si>
  <si>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</si>
  <si>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</si>
  <si>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</si>
  <si>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</si>
  <si>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</si>
  <si>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</si>
  <si>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</si>
  <si>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</si>
  <si>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</si>
  <si>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</si>
  <si>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</si>
  <si>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</si>
  <si>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</si>
  <si>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</si>
  <si>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</si>
  <si>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</si>
  <si>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</si>
  <si>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</si>
  <si>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</si>
  <si>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</si>
  <si>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</si>
  <si>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</si>
  <si>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</si>
  <si>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</si>
  <si>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</si>
  <si>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</si>
  <si>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</si>
  <si>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</si>
  <si>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</si>
  <si>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</si>
  <si>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</si>
  <si>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</si>
  <si>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</si>
  <si>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</si>
  <si>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</si>
  <si>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</si>
  <si>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</si>
  <si>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</si>
  <si>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</si>
  <si>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</si>
  <si>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</si>
  <si>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</si>
  <si>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</si>
  <si>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</si>
  <si>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</si>
  <si>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</si>
  <si>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</si>
  <si>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</si>
  <si>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</si>
  <si>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</si>
  <si>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</si>
  <si>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</si>
  <si>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</si>
  <si>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</si>
  <si>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</si>
  <si>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</si>
  <si>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</si>
  <si>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</si>
  <si>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</si>
  <si>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</si>
  <si>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</si>
  <si>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</si>
  <si>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</si>
  <si>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</si>
  <si>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</si>
  <si>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</si>
  <si>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</si>
  <si>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</si>
  <si>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</si>
  <si>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</si>
  <si>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</si>
  <si>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</si>
  <si>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</si>
  <si>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</si>
  <si>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</si>
  <si>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</si>
  <si>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</si>
  <si>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</si>
  <si>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</si>
  <si>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</si>
  <si>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</si>
  <si>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</si>
  <si>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</si>
  <si>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</si>
  <si>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</si>
  <si>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</si>
  <si>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</si>
  <si>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</si>
  <si>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</si>
  <si>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</si>
  <si>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</si>
  <si>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</si>
  <si>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</si>
  <si>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</si>
  <si>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</si>
  <si>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</si>
  <si>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</si>
  <si>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</si>
  <si>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</si>
  <si>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</si>
  <si>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</si>
  <si>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</si>
  <si>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</si>
  <si>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</si>
  <si>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</si>
  <si>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</si>
  <si>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</si>
  <si>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</si>
  <si>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</si>
  <si>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</si>
  <si>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</si>
  <si>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</si>
  <si>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</si>
  <si>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</si>
  <si>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</si>
  <si>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</si>
  <si>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</si>
  <si>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</si>
  <si>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</si>
  <si>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</si>
  <si>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</si>
  <si>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</si>
  <si>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</si>
  <si>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</si>
  <si>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</si>
  <si>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</si>
  <si>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</si>
  <si>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</si>
  <si>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</si>
  <si>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</si>
  <si>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</si>
  <si>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</si>
  <si>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</si>
  <si>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</si>
  <si>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</si>
  <si>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</si>
  <si>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</si>
  <si>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</si>
  <si>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</si>
  <si>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</si>
  <si>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</si>
  <si>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</si>
  <si>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</si>
  <si>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</si>
  <si>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</si>
  <si>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</si>
  <si>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</si>
  <si>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</si>
  <si>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</si>
  <si>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</si>
  <si>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</si>
  <si>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</si>
  <si>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</si>
  <si>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</si>
  <si>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</si>
  <si>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</si>
  <si>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</si>
  <si>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</si>
  <si>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</si>
  <si>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</si>
  <si>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</si>
  <si>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</si>
  <si>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</si>
  <si>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</si>
  <si>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</si>
  <si>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</si>
  <si>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</si>
  <si>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</si>
  <si>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</si>
  <si>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</si>
  <si>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</si>
  <si>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</si>
  <si>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</si>
  <si>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</si>
  <si>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</si>
  <si>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</si>
  <si>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</si>
  <si>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</si>
  <si>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</si>
  <si>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</si>
  <si>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</si>
  <si>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</si>
  <si>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</si>
  <si>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</si>
  <si>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</si>
  <si>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</si>
  <si>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</si>
  <si>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</si>
  <si>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</si>
  <si>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</si>
  <si>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</si>
  <si>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</si>
  <si>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</si>
  <si>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</si>
  <si>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</si>
  <si>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</si>
  <si>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</si>
  <si>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</si>
  <si>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</si>
  <si>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</si>
  <si>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</si>
  <si>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</si>
  <si>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</si>
  <si>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</si>
  <si>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</si>
  <si>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</si>
  <si>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</si>
  <si>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</si>
  <si>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</si>
  <si>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</si>
  <si>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</si>
  <si>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</si>
  <si>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</si>
  <si>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</si>
  <si>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</si>
  <si>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</si>
  <si>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</si>
  <si>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</si>
  <si>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</si>
  <si>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</si>
  <si>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</si>
  <si>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</si>
  <si>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</si>
  <si>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</si>
  <si>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</si>
  <si>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</si>
  <si>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</si>
  <si>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</si>
  <si>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</si>
  <si>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</si>
  <si>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</si>
  <si>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</si>
  <si>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</si>
  <si>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</si>
  <si>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</si>
  <si>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</si>
  <si>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</si>
  <si>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</si>
  <si>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</si>
  <si>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</si>
  <si>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</si>
  <si>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</si>
  <si>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</si>
  <si>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</si>
  <si>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</si>
  <si>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</si>
  <si>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</si>
  <si>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</si>
  <si>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</si>
  <si>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</si>
  <si>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</si>
  <si>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</si>
  <si>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</si>
  <si>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</si>
  <si>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</si>
  <si>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</si>
  <si>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</si>
  <si>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</si>
  <si>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</si>
  <si>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</si>
  <si>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</si>
  <si>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</si>
  <si>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</si>
  <si>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</si>
  <si>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</si>
  <si>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</si>
  <si>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</si>
  <si>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</si>
  <si>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</si>
  <si>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</si>
  <si>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</si>
  <si>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</si>
  <si>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</si>
  <si>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</si>
  <si>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</si>
  <si>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</si>
  <si>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</si>
  <si>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</si>
  <si>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</si>
  <si>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</si>
  <si>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</si>
  <si>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</si>
  <si>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</si>
  <si>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</si>
  <si>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</si>
  <si>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</si>
  <si>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</si>
  <si>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</si>
  <si>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</si>
  <si>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</si>
  <si>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</si>
  <si>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</si>
  <si>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</si>
  <si>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</si>
  <si>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</si>
  <si>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</si>
  <si>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</si>
  <si>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</si>
  <si>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</si>
  <si>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</si>
  <si>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</si>
  <si>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</si>
  <si>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</si>
  <si>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</si>
  <si>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</si>
  <si>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</si>
  <si>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</si>
  <si>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</si>
  <si>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</si>
  <si>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</si>
  <si>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</si>
  <si>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</si>
  <si>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</si>
  <si>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</si>
  <si>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</si>
  <si>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</si>
  <si>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</si>
  <si>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</si>
  <si>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</si>
  <si>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</si>
  <si>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</si>
  <si>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</si>
  <si>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</si>
  <si>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</si>
  <si>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</si>
  <si>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</si>
  <si>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</si>
  <si>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</si>
  <si>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</si>
  <si>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</si>
  <si>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</si>
  <si>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</si>
  <si>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</si>
  <si>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</si>
  <si>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</si>
  <si>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</si>
  <si>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</si>
  <si>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</si>
  <si>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</si>
  <si>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</si>
  <si>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</si>
  <si>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</si>
  <si>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</si>
  <si>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</si>
  <si>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</si>
  <si>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</si>
  <si>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</si>
  <si>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</si>
  <si>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</si>
  <si>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</si>
  <si>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</si>
  <si>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</si>
  <si>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</si>
  <si>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</si>
  <si>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</si>
  <si>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</si>
  <si>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</si>
  <si>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</si>
  <si>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</si>
  <si>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</si>
  <si>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</si>
  <si>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</si>
  <si>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</si>
  <si>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</si>
  <si>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</si>
  <si>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</si>
  <si>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</si>
  <si>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</si>
  <si>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</si>
  <si>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</si>
  <si>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</si>
  <si>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</si>
  <si>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</si>
  <si>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</si>
  <si>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</si>
  <si>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</si>
  <si>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</si>
  <si>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</si>
  <si>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</si>
  <si>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</si>
  <si>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</si>
  <si>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</si>
  <si>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</si>
  <si>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</si>
  <si>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</si>
  <si>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</si>
  <si>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</si>
  <si>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</si>
  <si>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</si>
  <si>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</si>
  <si>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</si>
  <si>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</si>
  <si>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</si>
  <si>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</si>
  <si>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</si>
  <si>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</si>
  <si>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</si>
  <si>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</si>
  <si>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</si>
  <si>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</si>
  <si>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</si>
  <si>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</si>
  <si>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</si>
  <si>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</si>
  <si>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</si>
  <si>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</si>
  <si>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</si>
  <si>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</si>
  <si>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</si>
  <si>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</si>
  <si>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</si>
  <si>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</si>
  <si>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</si>
  <si>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</si>
  <si>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</si>
  <si>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</si>
  <si>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</si>
  <si>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</si>
  <si>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</si>
  <si>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</si>
  <si>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</si>
  <si>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</si>
  <si>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</si>
  <si>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</si>
  <si>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</si>
  <si>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</si>
  <si>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</si>
  <si>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</si>
  <si>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</si>
  <si>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</si>
  <si>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</si>
  <si>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</si>
  <si>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</si>
  <si>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</si>
  <si>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</si>
  <si>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</si>
  <si>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</si>
  <si>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</si>
  <si>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</si>
  <si>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</si>
  <si>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</si>
  <si>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</si>
  <si>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</si>
  <si>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</si>
  <si>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</si>
  <si>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</si>
  <si>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</si>
  <si>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</si>
  <si>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</si>
  <si>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</si>
  <si>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</si>
  <si>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</si>
  <si>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</si>
  <si>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</si>
  <si>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</si>
  <si>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</si>
  <si>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</si>
  <si>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</si>
  <si>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</si>
  <si>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</si>
  <si>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</si>
  <si>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</si>
  <si>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</si>
  <si>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</si>
  <si>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</si>
  <si>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</si>
  <si>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</si>
  <si>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</si>
  <si>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</si>
  <si>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</si>
  <si>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</si>
  <si>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</si>
  <si>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</si>
  <si>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</si>
  <si>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</si>
  <si>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</si>
  <si>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</si>
  <si>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</si>
  <si>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</si>
  <si>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</si>
  <si>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</si>
  <si>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</si>
  <si>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</si>
  <si>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</si>
  <si>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</si>
  <si>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</si>
  <si>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</si>
  <si>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</si>
  <si>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</si>
  <si>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</si>
  <si>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</si>
  <si>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</si>
  <si>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</si>
  <si>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</si>
  <si>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</si>
  <si>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</si>
  <si>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</si>
  <si>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</si>
  <si>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</si>
  <si>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</si>
  <si>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</si>
  <si>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</si>
  <si>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</si>
  <si>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</si>
  <si>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</si>
  <si>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</si>
  <si>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</si>
  <si>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</si>
  <si>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</si>
  <si>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</si>
  <si>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</si>
  <si>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</si>
  <si>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</si>
  <si>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</si>
  <si>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</si>
  <si>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</si>
  <si>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</si>
  <si>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</si>
  <si>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</si>
  <si>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</si>
  <si>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</si>
  <si>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</si>
  <si>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</si>
  <si>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</si>
  <si>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</si>
  <si>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</si>
  <si>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</si>
  <si>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</si>
  <si>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</si>
  <si>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</si>
  <si>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</si>
  <si>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</si>
  <si>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</si>
  <si>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</si>
  <si>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</si>
  <si>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</si>
  <si>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</si>
  <si>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</si>
  <si>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</si>
  <si>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</si>
  <si>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</si>
  <si>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</si>
  <si>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</si>
  <si>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</si>
  <si>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</si>
  <si>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</si>
  <si>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</si>
  <si>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</si>
  <si>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</si>
  <si>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</si>
  <si>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</si>
  <si>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</si>
  <si>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</si>
  <si>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</si>
  <si>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</si>
  <si>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</si>
  <si>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</si>
  <si>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</si>
  <si>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</si>
  <si>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</si>
  <si>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</si>
  <si>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</si>
  <si>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</si>
  <si>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</si>
  <si>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</si>
  <si>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</si>
  <si>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</si>
  <si>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</si>
  <si>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</si>
  <si>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</si>
  <si>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</si>
  <si>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</si>
  <si>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</si>
  <si>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</si>
  <si>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</si>
  <si>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</si>
  <si>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</si>
  <si>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</si>
  <si>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</si>
  <si>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</si>
  <si>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</si>
  <si>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</si>
  <si>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</si>
  <si>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</si>
  <si>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</si>
  <si>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</si>
  <si>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</si>
  <si>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</si>
  <si>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</si>
  <si>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</si>
  <si>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</si>
  <si>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</si>
  <si>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</si>
  <si>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</si>
  <si>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</si>
  <si>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</si>
  <si>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</si>
  <si>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</si>
  <si>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</si>
  <si>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</si>
  <si>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</si>
  <si>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</si>
  <si>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</si>
  <si>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</si>
  <si>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</si>
  <si>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</si>
  <si>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</si>
  <si>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</si>
  <si>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</si>
  <si>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</si>
  <si>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</si>
  <si>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</si>
  <si>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</si>
  <si>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</si>
  <si>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</si>
  <si>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</si>
  <si>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</si>
  <si>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</si>
  <si>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</si>
  <si>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</si>
  <si>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</si>
  <si>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</si>
  <si>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</si>
  <si>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</si>
  <si>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</si>
  <si>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</si>
  <si>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</si>
  <si>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</si>
  <si>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</si>
  <si>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</si>
  <si>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</si>
  <si>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</si>
  <si>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</si>
  <si>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</si>
  <si>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</si>
  <si>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</si>
  <si>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</si>
  <si>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</si>
  <si>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</si>
  <si>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</si>
  <si>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</si>
  <si>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</si>
  <si>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</si>
  <si>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</si>
  <si>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</si>
  <si>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</si>
  <si>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</si>
  <si>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</si>
  <si>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</si>
  <si>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</si>
  <si>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</si>
  <si>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</si>
  <si>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</si>
  <si>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</si>
  <si>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</si>
  <si>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</si>
  <si>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</si>
  <si>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</si>
  <si>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</si>
  <si>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</si>
  <si>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</si>
  <si>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</si>
  <si>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</si>
  <si>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</si>
  <si>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</si>
  <si>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</si>
  <si>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</si>
  <si>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</si>
  <si>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</si>
  <si>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</si>
  <si>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</si>
  <si>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</si>
  <si>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</si>
  <si>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</si>
  <si>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</si>
  <si>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</si>
  <si>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</si>
  <si>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</si>
  <si>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</si>
  <si>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</si>
  <si>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</si>
  <si>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</si>
  <si>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</si>
  <si>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</si>
  <si>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</si>
  <si>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</si>
  <si>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</si>
  <si>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</si>
  <si>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</si>
  <si>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</si>
  <si>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</si>
  <si>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</si>
  <si>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</si>
  <si>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</si>
  <si>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</si>
  <si>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</si>
  <si>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</si>
  <si>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</si>
  <si>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</si>
  <si>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</si>
  <si>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</si>
  <si>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</si>
  <si>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</si>
  <si>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</si>
  <si>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</si>
  <si>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</si>
  <si>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</si>
  <si>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</si>
  <si>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</si>
  <si>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</si>
  <si>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</si>
  <si>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</si>
  <si>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</si>
  <si>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</si>
  <si>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</si>
  <si>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</si>
  <si>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</si>
  <si>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</si>
  <si>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</si>
  <si>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</si>
  <si>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</si>
  <si>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</si>
  <si>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</si>
  <si>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</si>
  <si>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</si>
  <si>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</si>
  <si>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</si>
  <si>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</si>
  <si>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</si>
  <si>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</si>
  <si>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</si>
  <si>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</si>
  <si>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</si>
  <si>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</si>
  <si>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</si>
  <si>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</si>
  <si>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</si>
  <si>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</si>
  <si>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</si>
  <si>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</si>
  <si>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</si>
  <si>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</si>
  <si>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</si>
  <si>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</si>
  <si>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</si>
  <si>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</si>
  <si>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</si>
  <si>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</si>
  <si>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</si>
  <si>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</si>
  <si>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</si>
  <si>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</si>
  <si>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</si>
  <si>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</si>
  <si>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</si>
  <si>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</si>
  <si>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</si>
  <si>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</si>
  <si>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</si>
  <si>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</si>
  <si>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</si>
  <si>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</si>
  <si>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</si>
  <si>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</si>
  <si>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</si>
  <si>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</si>
  <si>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</si>
  <si>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</si>
  <si>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</si>
  <si>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</si>
  <si>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</si>
  <si>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</si>
  <si>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</si>
  <si>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</si>
  <si>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</si>
  <si>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</si>
  <si>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</si>
  <si>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</si>
  <si>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</si>
  <si>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</si>
  <si>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</si>
  <si>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</si>
  <si>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</si>
  <si>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</si>
  <si>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</si>
  <si>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</si>
  <si>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</si>
  <si>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</si>
  <si>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</si>
  <si>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</si>
  <si>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</si>
  <si>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</si>
  <si>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</si>
  <si>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</si>
  <si>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</si>
  <si>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</si>
  <si>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</si>
  <si>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</si>
  <si>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</si>
  <si>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</si>
  <si>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</si>
  <si>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</si>
  <si>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</si>
  <si>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</si>
  <si>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</si>
  <si>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</si>
  <si>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</si>
  <si>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</si>
  <si>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</si>
  <si>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</si>
  <si>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</si>
  <si>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</si>
  <si>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</si>
  <si>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</si>
  <si>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</si>
  <si>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</si>
  <si>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</si>
  <si>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</si>
  <si>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</si>
  <si>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</si>
  <si>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</si>
  <si>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</si>
  <si>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</si>
  <si>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</si>
  <si>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</si>
  <si>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</si>
  <si>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</si>
  <si>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</si>
  <si>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</si>
  <si>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</si>
  <si>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</si>
  <si>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</si>
  <si>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</si>
  <si>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</si>
  <si>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</si>
  <si>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</si>
  <si>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</si>
  <si>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</si>
  <si>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</si>
  <si>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</si>
  <si>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</si>
  <si>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</si>
  <si>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</si>
  <si>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</si>
  <si>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</si>
  <si>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</si>
  <si>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</si>
  <si>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</si>
  <si>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</si>
  <si>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</si>
  <si>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</si>
  <si>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</si>
  <si>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</si>
  <si>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</si>
  <si>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</si>
  <si>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</si>
  <si>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</si>
  <si>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</si>
  <si>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</si>
  <si>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</si>
  <si>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</si>
  <si>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</si>
  <si>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</si>
  <si>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</si>
  <si>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</si>
  <si>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</si>
  <si>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</si>
  <si>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</si>
  <si>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</si>
  <si>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</si>
  <si>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</si>
  <si>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</si>
  <si>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</si>
  <si>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</si>
  <si>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</si>
  <si>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</si>
  <si>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</si>
  <si>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</si>
  <si>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</si>
  <si>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</si>
  <si>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</si>
  <si>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</si>
  <si>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</si>
  <si>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</si>
  <si>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</si>
  <si>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</si>
  <si>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</si>
  <si>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</si>
  <si>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</si>
  <si>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</si>
  <si>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</si>
  <si>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</si>
  <si>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</si>
  <si>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</si>
  <si>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</si>
  <si>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</si>
  <si>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</si>
  <si>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</si>
  <si>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</si>
  <si>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</si>
  <si>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</si>
  <si>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</si>
  <si>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</si>
  <si>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</si>
  <si>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</si>
  <si>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</si>
  <si>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</si>
  <si>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</si>
  <si>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</si>
  <si>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</si>
  <si>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</si>
  <si>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</si>
  <si>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</si>
  <si>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</si>
  <si>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</si>
  <si>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</si>
  <si>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</si>
  <si>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</si>
  <si>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</si>
  <si>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</si>
  <si>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</si>
  <si>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</si>
  <si>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</si>
  <si>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</si>
  <si>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</si>
  <si>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</si>
  <si>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</si>
  <si>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</si>
  <si>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</si>
  <si>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</si>
  <si>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</si>
  <si>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</si>
  <si>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</si>
  <si>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</si>
  <si>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</si>
  <si>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</si>
  <si>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</si>
  <si>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</si>
  <si>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</si>
  <si>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</si>
  <si>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</si>
  <si>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</si>
  <si>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</si>
  <si>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</si>
  <si>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</si>
  <si>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</si>
  <si>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</si>
  <si>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</si>
  <si>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</si>
  <si>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</si>
  <si>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</si>
  <si>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</si>
  <si>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</si>
  <si>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</si>
  <si>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</si>
  <si>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</si>
  <si>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</si>
  <si>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</si>
  <si>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</si>
  <si>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</si>
  <si>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</si>
  <si>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</si>
  <si>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</si>
  <si>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</si>
  <si>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</si>
  <si>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</si>
  <si>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</si>
  <si>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</si>
  <si>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</si>
  <si>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</si>
  <si>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</si>
  <si>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</si>
  <si>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</si>
  <si>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</si>
  <si>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</si>
  <si>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</si>
  <si>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</si>
  <si>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</si>
  <si>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</si>
  <si>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</si>
  <si>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</si>
  <si>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</si>
  <si>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</si>
  <si>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</si>
  <si>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</si>
  <si>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</si>
  <si>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</si>
  <si>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</si>
  <si>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</si>
  <si>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</si>
  <si>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</si>
  <si>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</si>
  <si>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</si>
  <si>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</si>
  <si>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</si>
  <si>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</si>
  <si>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</si>
  <si>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</si>
  <si>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</si>
  <si>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</si>
  <si>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</si>
  <si>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</si>
  <si>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</si>
  <si>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</si>
  <si>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</si>
  <si>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</si>
  <si>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</si>
  <si>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</si>
  <si>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</si>
  <si>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</si>
  <si>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</si>
  <si>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</si>
  <si>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</si>
  <si>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</si>
  <si>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</si>
  <si>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</si>
  <si>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</si>
  <si>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</si>
  <si>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</si>
  <si>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</si>
  <si>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</si>
  <si>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</si>
  <si>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</si>
  <si>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</si>
  <si>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</si>
  <si>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</si>
  <si>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</si>
  <si>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</si>
  <si>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</si>
  <si>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</si>
  <si>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</si>
  <si>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</si>
  <si>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</si>
  <si>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</si>
  <si>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</si>
  <si>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</si>
  <si>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</si>
  <si>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</si>
  <si>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</si>
  <si>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</si>
  <si>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</si>
  <si>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</si>
  <si>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</si>
  <si>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</si>
  <si>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</si>
  <si>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</si>
  <si>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</si>
  <si>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</si>
  <si>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</si>
  <si>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</si>
  <si>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</si>
  <si>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</si>
  <si>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</si>
  <si>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</si>
  <si>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</si>
  <si>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</si>
  <si>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</si>
  <si>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</si>
  <si>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</si>
  <si>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</si>
  <si>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</si>
  <si>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</si>
  <si>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</si>
  <si>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</si>
  <si>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</si>
  <si>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</si>
  <si>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</si>
  <si>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</si>
  <si>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</si>
  <si>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</si>
  <si>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</si>
  <si>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</si>
  <si>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</si>
  <si>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</si>
  <si>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</si>
  <si>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</si>
  <si>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</si>
  <si>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</si>
  <si>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</si>
  <si>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</si>
  <si>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</si>
  <si>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</si>
  <si>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</si>
  <si>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</si>
  <si>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</si>
  <si>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</si>
  <si>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</si>
  <si>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</si>
  <si>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</si>
  <si>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</si>
  <si>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</si>
  <si>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</si>
  <si>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</si>
  <si>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</si>
  <si>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</si>
  <si>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</si>
  <si>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</si>
  <si>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</si>
  <si>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</si>
  <si>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</si>
  <si>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</si>
  <si>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</si>
  <si>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</si>
  <si>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</si>
  <si>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</si>
  <si>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</si>
  <si>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</si>
  <si>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</si>
  <si>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</si>
  <si>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</si>
  <si>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</si>
  <si>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</si>
  <si>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</si>
  <si>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</si>
  <si>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</si>
  <si>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</si>
  <si>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</si>
  <si>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</si>
  <si>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</si>
  <si>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</si>
  <si>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</si>
  <si>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</si>
  <si>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</si>
  <si>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</si>
  <si>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</si>
  <si>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</si>
  <si>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</si>
  <si>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</si>
  <si>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</si>
  <si>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</si>
  <si>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</si>
  <si>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</si>
  <si>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</si>
  <si>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</si>
  <si>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</si>
  <si>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</si>
  <si>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</si>
  <si>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</si>
  <si>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</si>
  <si>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</si>
  <si>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</si>
  <si>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</si>
  <si>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</si>
  <si>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</si>
  <si>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</si>
  <si>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</si>
  <si>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</si>
  <si>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</si>
  <si>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</si>
  <si>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</si>
  <si>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</si>
  <si>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</si>
  <si>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</si>
  <si>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</si>
  <si>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</si>
  <si>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</si>
  <si>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</si>
  <si>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</si>
  <si>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</si>
  <si>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</si>
  <si>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</si>
  <si>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</si>
  <si>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</si>
  <si>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</si>
  <si>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</si>
  <si>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</si>
  <si>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</si>
  <si>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</si>
  <si>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</si>
  <si>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</si>
  <si>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</si>
  <si>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</si>
  <si>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</si>
  <si>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</si>
  <si>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</si>
  <si>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</si>
  <si>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</si>
  <si>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</si>
  <si>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</si>
  <si>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</si>
  <si>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</si>
  <si>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</si>
  <si>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</si>
  <si>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</si>
  <si>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</si>
  <si>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</si>
  <si>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</si>
  <si>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</si>
  <si>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</si>
  <si>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</si>
  <si>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</si>
  <si>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</si>
  <si>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</si>
  <si>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</si>
  <si>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</si>
  <si>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</si>
  <si>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</si>
  <si>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</si>
  <si>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</si>
  <si>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</si>
  <si>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</si>
  <si>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</si>
  <si>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</si>
  <si>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</si>
  <si>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</si>
  <si>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</si>
  <si>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</si>
  <si>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</si>
  <si>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</si>
  <si>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</si>
  <si>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</si>
  <si>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</si>
  <si>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</si>
  <si>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</si>
  <si>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</si>
  <si>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</si>
  <si>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</si>
  <si>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</si>
  <si>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</si>
  <si>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</si>
  <si>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</si>
  <si>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</si>
  <si>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</si>
  <si>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</si>
  <si>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</si>
  <si>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</si>
  <si>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</si>
  <si>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</si>
  <si>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</si>
  <si>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</si>
  <si>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</si>
  <si>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</si>
  <si>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</si>
  <si>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</si>
  <si>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</si>
  <si>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</si>
  <si>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</si>
  <si>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</si>
  <si>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</si>
  <si>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</si>
  <si>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</si>
  <si>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</si>
  <si>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</si>
  <si>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</si>
  <si>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</si>
  <si>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</si>
  <si>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</si>
  <si>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</si>
  <si>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</si>
  <si>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</si>
  <si>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</si>
  <si>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</si>
  <si>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</si>
  <si>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</si>
  <si>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</si>
  <si>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</si>
  <si>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</si>
  <si>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</si>
  <si>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</si>
  <si>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</si>
  <si>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</si>
  <si>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</si>
  <si>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</si>
  <si>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</si>
  <si>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</si>
  <si>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</si>
  <si>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</si>
  <si>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</si>
  <si>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</si>
  <si>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</si>
  <si>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</si>
  <si>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</si>
  <si>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</si>
  <si>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</si>
  <si>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</si>
  <si>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</si>
  <si>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</si>
  <si>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</si>
  <si>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</si>
  <si>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</si>
  <si>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</si>
  <si>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</si>
  <si>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</si>
  <si>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</si>
  <si>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</si>
  <si>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</si>
  <si>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</si>
  <si>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</si>
  <si>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</si>
  <si>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</si>
  <si>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</si>
  <si>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</si>
  <si>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</si>
  <si>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</si>
  <si>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</si>
  <si>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</si>
  <si>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</si>
  <si>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</si>
  <si>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</si>
  <si>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</si>
  <si>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</si>
  <si>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</si>
  <si>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</si>
  <si>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</si>
  <si>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</si>
  <si>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</si>
  <si>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</si>
  <si>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</si>
  <si>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</si>
  <si>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</si>
  <si>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</si>
  <si>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</si>
  <si>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</si>
  <si>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</si>
  <si>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</si>
  <si>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</si>
  <si>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</si>
  <si>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</si>
  <si>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</si>
  <si>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</si>
  <si>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</si>
  <si>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</si>
  <si>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</si>
  <si>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</si>
  <si>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</si>
  <si>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</si>
  <si>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</si>
  <si>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</si>
  <si>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</si>
  <si>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</si>
  <si>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</si>
  <si>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</si>
  <si>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</si>
  <si>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</si>
  <si>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</si>
  <si>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</si>
  <si>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</si>
  <si>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</si>
  <si>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</si>
  <si>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</si>
  <si>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</si>
  <si>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</si>
  <si>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</si>
  <si>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</si>
  <si>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</si>
  <si>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</si>
  <si>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</si>
  <si>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</si>
  <si>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</si>
  <si>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</si>
  <si>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</si>
  <si>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</si>
  <si>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</si>
  <si>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</si>
  <si>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</si>
  <si>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</si>
  <si>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</si>
  <si>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</si>
  <si>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</si>
  <si>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</si>
  <si>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</si>
  <si>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</si>
  <si>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</si>
  <si>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</si>
  <si>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</si>
  <si>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</si>
  <si>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</si>
  <si>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</si>
  <si>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</si>
  <si>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</si>
  <si>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</si>
  <si>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</si>
  <si>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</si>
  <si>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</si>
  <si>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</si>
  <si>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</si>
  <si>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</si>
  <si>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</si>
  <si>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</si>
  <si>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</si>
  <si>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</si>
  <si>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</si>
  <si>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</si>
  <si>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</si>
  <si>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</si>
  <si>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</si>
  <si>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</si>
  <si>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</si>
  <si>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</si>
  <si>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</si>
  <si>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</si>
  <si>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</si>
  <si>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</si>
  <si>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</si>
  <si>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</si>
  <si>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</si>
  <si>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</si>
  <si>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</si>
  <si>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</si>
  <si>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</si>
  <si>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</si>
  <si>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</si>
  <si>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</si>
  <si>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</si>
  <si>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</si>
  <si>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</si>
  <si>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</si>
  <si>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</si>
  <si>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</si>
  <si>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</si>
  <si>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</si>
  <si>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</si>
  <si>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</si>
  <si>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</si>
  <si>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</si>
  <si>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</si>
  <si>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</si>
  <si>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</si>
  <si>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</si>
  <si>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</si>
  <si>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</si>
  <si>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</si>
  <si>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</si>
  <si>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</si>
  <si>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</si>
  <si>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</si>
  <si>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</si>
  <si>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</si>
  <si>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</si>
  <si>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</si>
  <si>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</si>
  <si>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</si>
  <si>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</si>
  <si>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</si>
  <si>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</si>
  <si>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</si>
  <si>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</si>
  <si>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</si>
  <si>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</si>
  <si>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北京银行</t>
  </si>
  <si>
    <t>北京银行</t>
    <phoneticPr fontId="7" type="noConversion"/>
  </si>
  <si>
    <t>其他</t>
  </si>
  <si>
    <t>收益法-北京银行</t>
  </si>
  <si>
    <t>收益法-北京银行</t>
    <phoneticPr fontId="16" type="noConversion"/>
  </si>
  <si>
    <t>收益法-其他</t>
    <phoneticPr fontId="16" type="noConversion"/>
  </si>
  <si>
    <t>收益法（汇总）</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</si>
  <si>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</si>
  <si>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</si>
  <si>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</si>
  <si>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</si>
  <si>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</si>
  <si>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</si>
  <si>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</si>
  <si>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</si>
  <si>
    <t xml:space="preserve"> </t>
    <phoneticPr fontId="8" type="noConversion"/>
  </si>
  <si>
    <t xml:space="preserve"> </t>
    <phoneticPr fontId="3" type="noConversion"/>
  </si>
  <si>
    <t>价值偏高</t>
    <phoneticPr fontId="8" type="noConversion"/>
  </si>
  <si>
    <t>自定义</t>
  </si>
  <si>
    <t>总价</t>
  </si>
  <si>
    <t>押二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</si>
</sst>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100"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9" fillId="7" borderId="0" xfId="0" applyFont="1" applyFill="1" applyProtection="1">
      <alignment vertical="center"/>
      <protection locked="0"/>
    </xf>
    <xf numFmtId="9" fontId="0" fillId="0" borderId="0" xfId="0" applyNumberFormat="1">
      <alignment vertical="center"/>
    </xf>
    <xf numFmtId="178" fontId="47" fillId="6" borderId="0" xfId="0" applyNumberFormat="1" applyFont="1" applyFill="1" applyAlignment="1" applyProtection="1">
      <alignment vertical="center" wrapText="1"/>
      <protection locked="0"/>
    </xf>
    <xf numFmtId="0" fontId="62" fillId="6" borderId="0" xfId="0" applyNumberFormat="1" applyFont="1" applyFill="1" applyBorder="1" applyAlignment="1" applyProtection="1">
      <alignment horizontal="center"/>
      <protection locked="0"/>
    </xf>
    <xf numFmtId="0" fontId="47" fillId="18" borderId="0" xfId="0" applyFont="1" applyFill="1" applyAlignment="1" applyProtection="1">
      <alignment vertical="center"/>
      <protection locked="0"/>
    </xf>
    <xf numFmtId="0" fontId="51" fillId="18" borderId="78" xfId="0" applyNumberFormat="1" applyFont="1" applyFill="1" applyBorder="1" applyAlignment="1" applyProtection="1">
      <alignment horizontal="center" vertical="center" wrapText="1"/>
      <protection locked="0"/>
    </xf>
    <xf numFmtId="0" fontId="44" fillId="18" borderId="3" xfId="0" applyFont="1" applyFill="1" applyBorder="1" applyAlignment="1" applyProtection="1">
      <alignment vertical="center"/>
      <protection locked="0"/>
    </xf>
    <xf numFmtId="0" fontId="44" fillId="18" borderId="3" xfId="0" applyNumberFormat="1" applyFont="1" applyFill="1" applyBorder="1" applyAlignment="1" applyProtection="1">
      <alignment horizontal="center" vertical="center" wrapText="1"/>
      <protection locked="0"/>
    </xf>
    <xf numFmtId="0" fontId="44" fillId="18"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7888</v>
      </c>
    </row>
    <row r="21" spans="1:2" s="1203" customFormat="1">
      <c r="A21" s="1201" t="s">
        <v>537</v>
      </c>
      <c r="B21" s="1202">
        <f ca="1">'预评函-2'!D7</f>
        <v>69246</v>
      </c>
    </row>
    <row r="22" spans="1:2" s="1203" customFormat="1">
      <c r="A22" s="1201" t="s">
        <v>538</v>
      </c>
      <c r="B22" s="1202" t="str">
        <f ca="1">'预评函-2'!D6</f>
        <v>柒仟捌佰捌拾捌万元整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7888</v>
      </c>
    </row>
    <row r="31" spans="1:2" s="1203" customFormat="1">
      <c r="A31" s="1201" t="s">
        <v>576</v>
      </c>
      <c r="B31" s="1202">
        <f ca="1">'预评函-2'!D15</f>
        <v>69246</v>
      </c>
    </row>
    <row r="32" spans="1:2" s="1203" customFormat="1">
      <c r="A32" s="1201" t="s">
        <v>543</v>
      </c>
      <c r="B32" s="1202" t="str">
        <f ca="1">'预评函-2'!D14</f>
        <v>柒仟捌佰捌拾捌万元整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c r="A42" s="1201" t="s">
        <v>590</v>
      </c>
      <c r="B42" s="1202" t="str">
        <f>'预评函-3'!B2</f>
        <v>建筑面积</v>
      </c>
    </row>
    <row r="43" spans="1:2" s="1203" customFormat="1">
      <c r="A43" s="1201" t="s">
        <v>591</v>
      </c>
      <c r="B43" s="1202">
        <f>'预评函-3'!B4</f>
        <v>1139.1300000000001</v>
      </c>
    </row>
    <row r="44" spans="1:2" s="1203" customFormat="1">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3491</v>
      </c>
      <c r="C19" s="1547"/>
    </row>
    <row r="20" spans="1:3">
      <c r="A20" s="1546" t="s">
        <v>1048</v>
      </c>
      <c r="B20" s="1546" t="s">
        <v>3492</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36" t="s">
        <v>2576</v>
      </c>
      <c r="J2" s="3536"/>
      <c r="K2" s="3536"/>
      <c r="L2" s="3536"/>
      <c r="M2" s="3536"/>
      <c r="N2" s="3536"/>
      <c r="O2" s="3536"/>
      <c r="P2" s="3536"/>
      <c r="Q2" s="3536"/>
      <c r="R2" s="3536"/>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7" t="str">
        <f>IF(B10="北京市","北京市",C10)&amp;F10&amp;IF(结果表!G1="在建","出让国有建设用地使用权及在建建筑物",IF(结果表!G1="土地","出让国有建设用地使用权",))&amp;B9&amp;"预评估"</f>
        <v>北京市崇文区珠市口东大街14号1-C房地产抵押价值预评估</v>
      </c>
      <c r="C1" s="3538"/>
      <c r="D1" s="3538"/>
      <c r="E1" s="3538"/>
      <c r="F1" s="3538"/>
      <c r="G1" s="3538"/>
      <c r="H1" s="3538"/>
      <c r="I1" s="3539"/>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61" t="s">
        <v>3430</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62" t="s">
        <v>3429</v>
      </c>
      <c r="C6" s="2383"/>
      <c r="D6" s="2384"/>
      <c r="E6" s="2657"/>
      <c r="F6" s="2659"/>
      <c r="G6" s="2659"/>
      <c r="H6" s="2659"/>
      <c r="I6" s="2659"/>
      <c r="J6" s="2435"/>
      <c r="K6" s="2610" t="str">
        <f>IF(COUNTIF(B6,"*上海银行*"),"上海银行","")</f>
        <v/>
      </c>
      <c r="L6" s="2608"/>
      <c r="M6" s="2608"/>
      <c r="N6" s="2435"/>
      <c r="O6" s="2446"/>
      <c r="P6" s="2435"/>
      <c r="Q6" s="2435"/>
      <c r="R6" s="2435"/>
    </row>
    <row r="7" spans="1:30" ht="36">
      <c r="A7" s="2382" t="s">
        <v>2174</v>
      </c>
      <c r="B7" s="3463" t="s">
        <v>3428</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40" t="s">
        <v>2176</v>
      </c>
      <c r="E8" s="2388" t="s">
        <v>3374</v>
      </c>
      <c r="F8" s="2389"/>
      <c r="G8" s="2658"/>
      <c r="H8" s="2658"/>
      <c r="I8" s="2658"/>
      <c r="J8" s="2435"/>
      <c r="K8" s="2609"/>
      <c r="L8" s="2608"/>
      <c r="M8" s="2608"/>
      <c r="N8" s="2435"/>
      <c r="O8" s="2446"/>
      <c r="P8" s="2435"/>
      <c r="Q8" s="2435"/>
      <c r="R8" s="2435"/>
    </row>
    <row r="9" spans="1:30" ht="13.5" thickBot="1">
      <c r="A9" s="2390" t="s">
        <v>2177</v>
      </c>
      <c r="B9" s="2391" t="s">
        <v>3374</v>
      </c>
      <c r="C9" s="2392"/>
      <c r="D9" s="3541"/>
      <c r="E9" s="2391" t="s">
        <v>43</v>
      </c>
      <c r="F9" s="2393"/>
      <c r="G9" s="2660"/>
      <c r="H9" s="2660"/>
      <c r="I9" s="2660"/>
      <c r="J9" s="2435"/>
      <c r="K9" s="2611"/>
      <c r="L9" s="2608"/>
      <c r="M9" s="2608"/>
      <c r="N9" s="2435"/>
      <c r="O9" s="2446"/>
      <c r="P9" s="2435"/>
      <c r="Q9" s="2435"/>
      <c r="R9" s="2435"/>
    </row>
    <row r="10" spans="1:30" ht="13.5" thickTop="1">
      <c r="A10" s="2394" t="s">
        <v>2178</v>
      </c>
      <c r="B10" s="2395" t="s">
        <v>3375</v>
      </c>
      <c r="C10" s="2396"/>
      <c r="D10" s="2381"/>
      <c r="E10" s="2397" t="s">
        <v>2179</v>
      </c>
      <c r="F10" s="2661" t="s">
        <v>3411</v>
      </c>
      <c r="G10" s="2662"/>
      <c r="H10" s="2663"/>
      <c r="I10" s="2664"/>
      <c r="J10" s="2435"/>
      <c r="K10" s="2611"/>
      <c r="L10" s="2608"/>
      <c r="M10" s="2608"/>
      <c r="N10" s="2435"/>
      <c r="O10" s="2446"/>
      <c r="P10" s="2435"/>
      <c r="Q10" s="2435"/>
      <c r="R10" s="2435"/>
    </row>
    <row r="11" spans="1:30" ht="24">
      <c r="A11" s="2398" t="s">
        <v>2180</v>
      </c>
      <c r="B11" s="2399" t="s">
        <v>3431</v>
      </c>
      <c r="C11" s="3464" t="s">
        <v>3432</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3488">
        <f>D14-D15</f>
        <v>21.7</v>
      </c>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47"/>
      <c r="C16" s="3548"/>
      <c r="D16" s="3549"/>
      <c r="E16" s="2409" t="s">
        <v>2193</v>
      </c>
      <c r="F16" s="3550"/>
      <c r="G16" s="3551"/>
      <c r="H16" s="3551"/>
      <c r="I16" s="3552"/>
      <c r="J16" s="2435"/>
      <c r="K16" s="2612"/>
      <c r="L16" s="2447"/>
      <c r="M16" s="2447"/>
      <c r="N16" s="2504"/>
      <c r="O16" s="2447"/>
      <c r="P16" s="2504"/>
      <c r="Q16" s="2435"/>
      <c r="R16" s="2435"/>
    </row>
    <row r="17" spans="1:28">
      <c r="A17" s="313" t="s">
        <v>2194</v>
      </c>
      <c r="B17" s="302" t="s">
        <v>2195</v>
      </c>
      <c r="C17" s="8">
        <f>'数据-汇总表'!E3</f>
        <v>1139.1300000000001</v>
      </c>
      <c r="D17" s="2322" t="s">
        <v>2196</v>
      </c>
      <c r="E17" s="3553" t="s">
        <v>2197</v>
      </c>
      <c r="F17" s="3554"/>
      <c r="G17" s="3554"/>
      <c r="H17" s="3554"/>
      <c r="I17" s="3555"/>
      <c r="J17" s="2435"/>
      <c r="K17" s="2613"/>
      <c r="L17" s="2447"/>
      <c r="M17" s="2447"/>
      <c r="N17" s="2504"/>
      <c r="O17" s="2447"/>
      <c r="P17" s="2504"/>
      <c r="Q17" s="2435"/>
      <c r="R17" s="2435"/>
      <c r="S17" s="2435"/>
      <c r="T17" s="2435"/>
      <c r="U17" s="2435"/>
      <c r="V17" s="2435"/>
    </row>
    <row r="18" spans="1:28" ht="13.5" thickBot="1">
      <c r="A18" s="2410" t="s">
        <v>43</v>
      </c>
      <c r="B18" s="1090" t="s">
        <v>2198</v>
      </c>
      <c r="C18" s="2411">
        <f>'数据-汇总表'!D3</f>
        <v>278.54000000000002</v>
      </c>
      <c r="D18" s="1092" t="s">
        <v>2199</v>
      </c>
      <c r="E18" s="3556" t="s">
        <v>2200</v>
      </c>
      <c r="F18" s="3557"/>
      <c r="G18" s="3557"/>
      <c r="H18" s="3557"/>
      <c r="I18" s="3558"/>
      <c r="J18" s="2435"/>
      <c r="K18" s="2613"/>
      <c r="L18" s="2447"/>
      <c r="M18" s="2447"/>
      <c r="N18" s="2504"/>
      <c r="O18" s="2447"/>
      <c r="P18" s="2504"/>
      <c r="Q18" s="2435"/>
      <c r="R18" s="2435"/>
      <c r="S18" s="2435"/>
      <c r="T18" s="2435"/>
      <c r="U18" s="2435"/>
      <c r="V18" s="2435"/>
    </row>
    <row r="19" spans="1:28" ht="37.5" thickTop="1" thickBot="1">
      <c r="A19" s="327" t="s">
        <v>1055</v>
      </c>
      <c r="B19" s="307" t="s">
        <v>2201</v>
      </c>
      <c r="C19" s="1563" t="s">
        <v>3433</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43" t="s">
        <v>2204</v>
      </c>
      <c r="C20" s="3544"/>
      <c r="D20" s="3545" t="s">
        <v>2205</v>
      </c>
      <c r="E20" s="3546"/>
      <c r="F20" s="2642" t="s">
        <v>1056</v>
      </c>
      <c r="G20" s="2659"/>
      <c r="H20" s="2659"/>
      <c r="I20" s="2659"/>
      <c r="J20" s="2435"/>
      <c r="K20" s="3542"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7"/>
      <c r="B21" s="2628" t="s">
        <v>2207</v>
      </c>
      <c r="C21" s="2629" t="s">
        <v>1057</v>
      </c>
      <c r="D21" s="1568"/>
      <c r="E21" s="2630"/>
      <c r="F21" s="2643"/>
      <c r="G21" s="2659"/>
      <c r="H21" s="2659"/>
      <c r="I21" s="2659"/>
      <c r="J21" s="2435"/>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24.75" thickBot="1">
      <c r="A22" s="2627"/>
      <c r="B22" s="2631" t="s">
        <v>2208</v>
      </c>
      <c r="C22" s="2629" t="s">
        <v>3434</v>
      </c>
      <c r="D22" s="2658"/>
      <c r="E22" s="2658"/>
      <c r="F22" s="2658"/>
      <c r="G22" s="2659"/>
      <c r="H22" s="2659"/>
      <c r="I22" s="2659"/>
      <c r="J22" s="2435"/>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60"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60"/>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60"/>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61"/>
      <c r="B30" s="302" t="s">
        <v>2215</v>
      </c>
      <c r="C30" s="3562"/>
      <c r="D30" s="3563"/>
      <c r="E30" s="2659"/>
      <c r="F30" s="2659"/>
      <c r="G30" s="2659"/>
      <c r="H30" s="2659"/>
      <c r="I30" s="2659"/>
      <c r="J30" s="2435"/>
      <c r="K30" s="2611"/>
      <c r="L30" s="2608"/>
      <c r="M30" s="2608"/>
      <c r="N30" s="2435"/>
      <c r="O30" s="2446"/>
      <c r="P30" s="2435"/>
      <c r="Q30" s="2435"/>
      <c r="R30" s="2435"/>
      <c r="S30" s="2435"/>
      <c r="T30" s="2435"/>
      <c r="U30" s="2435"/>
      <c r="V30" s="2435"/>
    </row>
    <row r="31" spans="1:28">
      <c r="A31" s="3564"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65"/>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65"/>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59" t="s">
        <v>2225</v>
      </c>
      <c r="T34" s="2424" t="str">
        <f>NUMBERSTRING(7-K34,1)&amp;"通"</f>
        <v>六通</v>
      </c>
      <c r="U34" s="2435"/>
      <c r="V34" s="2435"/>
    </row>
    <row r="35" spans="1:30">
      <c r="A35" s="2425"/>
      <c r="B35" s="3566" t="s">
        <v>2226</v>
      </c>
      <c r="C35" s="3566"/>
      <c r="D35" s="3566"/>
      <c r="E35" s="3566"/>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9"/>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D43" sqref="D4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3435</v>
      </c>
      <c r="D13" s="3445" t="s">
        <v>3384</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G34" sqref="G3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6" t="s">
        <v>1130</v>
      </c>
      <c r="B2" s="3576"/>
      <c r="C2" s="3576"/>
      <c r="D2" s="796" t="s">
        <v>1106</v>
      </c>
      <c r="E2" s="1639" t="s">
        <v>1107</v>
      </c>
      <c r="F2" s="2654"/>
      <c r="G2" s="2645"/>
      <c r="H2" s="2646"/>
      <c r="I2" s="2325" t="s">
        <v>1131</v>
      </c>
      <c r="J2" s="2654"/>
      <c r="K2" s="2654"/>
      <c r="L2" s="2654"/>
      <c r="M2" s="2654"/>
      <c r="N2" s="2656"/>
      <c r="O2" s="2654"/>
      <c r="P2" s="2654"/>
    </row>
    <row r="3" spans="1:16" ht="15.75" thickBot="1">
      <c r="A3" s="3577" t="s">
        <v>1104</v>
      </c>
      <c r="B3" s="3577"/>
      <c r="C3" s="3577"/>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5">
      <c r="A4" s="3578"/>
      <c r="B4" s="3579"/>
      <c r="C4" s="3580"/>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c r="A5" s="44" t="s">
        <v>1108</v>
      </c>
      <c r="B5" s="3581" t="s">
        <v>1109</v>
      </c>
      <c r="C5" s="3581"/>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81" t="s">
        <v>1110</v>
      </c>
      <c r="C6" s="3581"/>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75" thickBot="1">
      <c r="A7" s="3573"/>
      <c r="B7" s="3574"/>
      <c r="C7" s="3575"/>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278.54000000000002</v>
      </c>
      <c r="E16" s="50">
        <f>SUM(E8:E15)</f>
        <v>1139.1300000000001</v>
      </c>
      <c r="F16" s="2654"/>
      <c r="G16" s="2655"/>
      <c r="H16" s="1648" t="s">
        <v>1134</v>
      </c>
      <c r="I16" s="1649"/>
      <c r="J16" s="1139"/>
      <c r="K16" s="3570" t="s">
        <v>1134</v>
      </c>
      <c r="L16" s="3571"/>
      <c r="M16" s="3571"/>
      <c r="N16" s="3571"/>
      <c r="O16" s="3571"/>
      <c r="P16" s="3572"/>
    </row>
    <row r="17" spans="1:19" ht="15">
      <c r="A17" s="1650" t="s">
        <v>1135</v>
      </c>
      <c r="B17" s="1651" t="s">
        <v>1136</v>
      </c>
      <c r="C17" s="1652" t="s">
        <v>1137</v>
      </c>
      <c r="D17" s="1653" t="s">
        <v>1125</v>
      </c>
      <c r="E17" s="1654" t="s">
        <v>1126</v>
      </c>
      <c r="F17" s="1655"/>
      <c r="G17" s="1656"/>
      <c r="H17" s="1657" t="s">
        <v>1138</v>
      </c>
      <c r="I17" s="1658" t="s">
        <v>1123</v>
      </c>
      <c r="J17" s="1139"/>
      <c r="K17" s="3567" t="s">
        <v>1139</v>
      </c>
      <c r="L17" s="3568"/>
      <c r="M17" s="3569"/>
      <c r="N17" s="3567" t="s">
        <v>1140</v>
      </c>
      <c r="O17" s="3568"/>
      <c r="P17" s="356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3488</v>
      </c>
      <c r="D19" s="45">
        <f>ROUND($D$3*E19/$E$3,2)</f>
        <v>278.54000000000002</v>
      </c>
      <c r="E19" s="53">
        <f t="shared" ref="E19:E26" si="1">SUM(F19:G19)</f>
        <v>1139.1300000000001</v>
      </c>
      <c r="F19" s="2790">
        <f>E3</f>
        <v>1139.1300000000001</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278.54000000000002</v>
      </c>
      <c r="S19" s="1027">
        <f t="shared" si="5"/>
        <v>1139.1300000000001</v>
      </c>
    </row>
    <row r="20" spans="1:19">
      <c r="A20" s="1670"/>
      <c r="B20" s="47" t="s">
        <v>1152</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278.54000000000002</v>
      </c>
      <c r="E27" s="1141">
        <f>IF(SUM(E19:E26)='数据-基础表'!BA5,SUM(E19:E26),IF(F27="地上面积有误","面积有误","地下面积有误"))</f>
        <v>1139.1300000000001</v>
      </c>
      <c r="F27" s="1140">
        <f>IF(SUM(F19:F26)=E8,SUM(F19:F26),"地上面积有误")</f>
        <v>1139.1300000000001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1139.1300000000001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278.54000000000002</v>
      </c>
      <c r="E31" s="676">
        <f>E27+E30</f>
        <v>1139.1300000000001</v>
      </c>
      <c r="F31" s="677">
        <f>F27+F30</f>
        <v>1139.1300000000001</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c r="F36" s="3473"/>
      <c r="G36" s="3473"/>
      <c r="H36" s="3473"/>
    </row>
    <row r="37" spans="4:8">
      <c r="E37" s="3473"/>
    </row>
    <row r="38" spans="4:8">
      <c r="E38" s="3473"/>
      <c r="F38"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M27" sqref="M27"/>
      <selection pane="topRight" activeCell="M27" sqref="M27"/>
      <selection pane="bottomLeft" activeCell="M27" sqref="M27"/>
      <selection pane="bottomRight" activeCell="AN8" sqref="AN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7.0000000000000007E-2</v>
      </c>
      <c r="K6" s="1030">
        <f>SUMIF('数据-汇总表'!C$19:C$33,A6,'数据-汇总表'!E$19:E$33)</f>
        <v>1139.1300000000001</v>
      </c>
      <c r="L6" s="733">
        <v>5000</v>
      </c>
      <c r="M6" s="67">
        <f t="shared" ref="M6:M14" si="0">ROUND(K6*L6/10000,0)</f>
        <v>570</v>
      </c>
      <c r="N6" s="731">
        <f>N21</f>
        <v>0.85</v>
      </c>
      <c r="O6" s="67" t="str">
        <f>IF($N$5="成新度","——",ROUND(M6*N6,0))</f>
        <v>——</v>
      </c>
      <c r="P6" s="68" t="str">
        <f>IF($N$5="成新度","——",M6-O6)</f>
        <v>——</v>
      </c>
      <c r="Q6" s="734">
        <v>0.2</v>
      </c>
      <c r="R6" s="69">
        <f ca="1">SUMIF('数据-汇总表'!C$19:C$33,A6,'数据-汇总表'!R$19:R$27)</f>
        <v>278.54000000000002</v>
      </c>
      <c r="S6" s="51">
        <f>IF('数据-汇总表'!$I$17="按面积比例",SUMIF('数据-汇总表'!C$19:C$33,A6,'数据-汇总表'!K$19:K$33),SUMIF('数据-汇总表'!C$19:C$33,A6,'数据-汇总表'!N$19:N$33))</f>
        <v>0</v>
      </c>
      <c r="T6" s="1172">
        <f>ROUND($L$14*S6/10000,0)</f>
        <v>0</v>
      </c>
      <c r="U6" s="3423">
        <f>租约!G7</f>
        <v>10.199999999999999</v>
      </c>
      <c r="V6" s="70">
        <v>0</v>
      </c>
      <c r="W6" s="70">
        <v>0</v>
      </c>
      <c r="X6" s="1040"/>
      <c r="Y6" s="71">
        <f>N6</f>
        <v>0.85</v>
      </c>
      <c r="Z6" s="3492">
        <f>ROUND(AA19*(1+AA6)^AF6,1)</f>
        <v>14.5</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3490</v>
      </c>
      <c r="AO6" s="52">
        <f ca="1">SUMIF(INDIRECT("'"&amp;AN6&amp;"'"&amp;"!A:A"),"总价",INDIRECT("'"&amp;AN6&amp;"'"&amp;"!B:B"))</f>
        <v>5155.2885999999999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1139.1300000000001</v>
      </c>
      <c r="L16" s="93">
        <f>ROUND(M16*10000/SUM(K6:K14),0)</f>
        <v>5004</v>
      </c>
      <c r="M16" s="93">
        <f>SUM(M6:M14)</f>
        <v>570</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2298</v>
      </c>
      <c r="D19" s="2671"/>
      <c r="E19" s="2668"/>
      <c r="F19" s="2668"/>
      <c r="G19" s="2668"/>
      <c r="H19" s="2668"/>
      <c r="I19" s="2668"/>
      <c r="J19" s="2668"/>
      <c r="K19" s="2667"/>
      <c r="L19" s="2667"/>
      <c r="M19" s="3459" t="s">
        <v>3413</v>
      </c>
      <c r="N19" s="2666">
        <v>2003</v>
      </c>
      <c r="O19" s="2666">
        <v>2003</v>
      </c>
      <c r="P19" s="2666"/>
      <c r="Q19" s="2666"/>
      <c r="R19" s="2666"/>
      <c r="S19" s="2666"/>
      <c r="T19" s="2666"/>
      <c r="U19" s="2666"/>
      <c r="V19" s="2666"/>
      <c r="W19" s="2666"/>
      <c r="X19" s="2666"/>
      <c r="Y19" s="2666"/>
      <c r="Z19" s="3459" t="s">
        <v>3412</v>
      </c>
      <c r="AA19" s="3490">
        <v>12</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2296</v>
      </c>
      <c r="D20" s="2671"/>
      <c r="E20" s="2668"/>
      <c r="F20" s="2668"/>
      <c r="G20" s="2668"/>
      <c r="H20" s="2668"/>
      <c r="I20" s="2668"/>
      <c r="J20" s="2668"/>
      <c r="K20" s="2667"/>
      <c r="L20" s="2667"/>
      <c r="M20" s="3459" t="s">
        <v>3414</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3459" t="s">
        <v>3415</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3459" t="s">
        <v>3416</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f ca="1">结果表!G20</f>
        <v>69250</v>
      </c>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t="s">
        <v>3503</v>
      </c>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3388</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G30" sqref="G3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3" customFormat="1" ht="18.75" thickBot="1">
      <c r="A1" s="3582" t="s">
        <v>2279</v>
      </c>
      <c r="B1" s="3583"/>
      <c r="C1" s="3583"/>
      <c r="D1" s="3583"/>
      <c r="E1" s="3583"/>
      <c r="F1" s="3583"/>
      <c r="G1" s="358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9"/>
      <c r="I2" s="799"/>
      <c r="J2" s="799"/>
      <c r="K2" s="799"/>
      <c r="L2" s="799"/>
      <c r="M2" s="799"/>
      <c r="N2" s="799"/>
      <c r="O2" s="799"/>
      <c r="P2" s="799"/>
      <c r="Q2" s="799"/>
      <c r="R2" s="799"/>
    </row>
    <row r="3" spans="1:29" ht="25.5">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465" t="s">
        <v>3436</v>
      </c>
      <c r="D4" s="2461"/>
      <c r="E4" s="2464"/>
      <c r="F4" s="1373" t="s">
        <v>2252</v>
      </c>
      <c r="G4" s="2465" t="s">
        <v>2253</v>
      </c>
      <c r="H4" s="799"/>
      <c r="I4" s="799"/>
      <c r="J4" s="799"/>
      <c r="K4" s="799"/>
      <c r="L4" s="799"/>
      <c r="M4" s="799"/>
      <c r="N4" s="799"/>
      <c r="O4" s="799"/>
      <c r="P4" s="799"/>
      <c r="Q4" s="799"/>
      <c r="R4" s="799"/>
    </row>
    <row r="5" spans="1:29" ht="24">
      <c r="A5" s="2438"/>
      <c r="B5" s="323" t="s">
        <v>2254</v>
      </c>
      <c r="C5" s="3465" t="s">
        <v>3436</v>
      </c>
      <c r="D5" s="2461"/>
      <c r="E5" s="2464"/>
      <c r="F5" s="323" t="s">
        <v>2255</v>
      </c>
      <c r="G5" s="2465" t="s">
        <v>2256</v>
      </c>
      <c r="H5" s="799"/>
      <c r="I5" s="799"/>
      <c r="J5" s="799"/>
      <c r="K5" s="799"/>
      <c r="L5" s="799"/>
      <c r="M5" s="799"/>
      <c r="N5" s="799"/>
      <c r="O5" s="799"/>
      <c r="P5" s="799"/>
      <c r="Q5" s="799"/>
      <c r="R5" s="799"/>
    </row>
    <row r="6" spans="1:29">
      <c r="A6" s="2438"/>
      <c r="B6" s="323" t="s">
        <v>2257</v>
      </c>
      <c r="C6" s="3466" t="s">
        <v>3437</v>
      </c>
      <c r="D6" s="2461"/>
      <c r="E6" s="2464"/>
      <c r="F6" s="323" t="s">
        <v>2258</v>
      </c>
      <c r="G6" s="2465" t="s">
        <v>2259</v>
      </c>
      <c r="H6" s="799"/>
      <c r="I6" s="799"/>
      <c r="J6" s="799"/>
      <c r="K6" s="799"/>
      <c r="L6" s="799"/>
      <c r="M6" s="799"/>
      <c r="N6" s="799"/>
      <c r="O6" s="799"/>
      <c r="P6" s="799"/>
      <c r="Q6" s="799"/>
      <c r="R6" s="799"/>
    </row>
    <row r="7" spans="1:29" ht="24.75" thickBot="1">
      <c r="A7" s="2438"/>
      <c r="B7" s="323" t="s">
        <v>2255</v>
      </c>
      <c r="C7" s="3466" t="s">
        <v>3437</v>
      </c>
      <c r="D7" s="2466"/>
      <c r="E7" s="2467"/>
      <c r="F7" s="2468" t="s">
        <v>2260</v>
      </c>
      <c r="G7" s="2469" t="s">
        <v>2261</v>
      </c>
      <c r="H7" s="799"/>
      <c r="I7" s="799"/>
      <c r="J7" s="799"/>
      <c r="K7" s="799"/>
      <c r="L7" s="799"/>
      <c r="M7" s="799"/>
      <c r="N7" s="799"/>
      <c r="O7" s="799"/>
      <c r="P7" s="799"/>
      <c r="Q7" s="799"/>
      <c r="R7" s="799"/>
    </row>
    <row r="8" spans="1:29">
      <c r="A8" s="2438"/>
      <c r="B8" s="323" t="s">
        <v>2258</v>
      </c>
      <c r="C8" s="3466" t="s">
        <v>3439</v>
      </c>
      <c r="D8" s="2466"/>
      <c r="E8" s="2466"/>
      <c r="F8" s="2470"/>
      <c r="G8" s="2470"/>
      <c r="H8" s="799"/>
      <c r="I8" s="799"/>
      <c r="J8" s="799"/>
      <c r="K8" s="799"/>
      <c r="L8" s="799"/>
      <c r="M8" s="799"/>
      <c r="N8" s="799"/>
      <c r="O8" s="799"/>
      <c r="P8" s="799"/>
      <c r="Q8" s="799"/>
      <c r="R8" s="799"/>
    </row>
    <row r="9" spans="1:29">
      <c r="A9" s="2438"/>
      <c r="B9" s="323" t="s">
        <v>2262</v>
      </c>
      <c r="C9" s="3465" t="s">
        <v>3437</v>
      </c>
      <c r="D9" s="2461"/>
      <c r="E9" s="2466"/>
      <c r="F9" s="2470"/>
      <c r="G9" s="2470"/>
      <c r="H9" s="799"/>
      <c r="I9" s="799"/>
      <c r="J9" s="799"/>
      <c r="K9" s="799"/>
      <c r="L9" s="799"/>
      <c r="M9" s="799"/>
      <c r="N9" s="799"/>
      <c r="O9" s="799"/>
      <c r="P9" s="799"/>
      <c r="Q9" s="799"/>
      <c r="R9" s="799"/>
    </row>
    <row r="10" spans="1:29" s="2476" customFormat="1" ht="15"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2280</v>
      </c>
      <c r="B13" s="2479"/>
      <c r="C13" s="2479"/>
      <c r="D13" s="2477"/>
      <c r="E13" s="2479"/>
      <c r="F13" s="2479"/>
      <c r="G13" s="2479"/>
    </row>
    <row r="14" spans="1:29" ht="15" thickBot="1">
      <c r="A14" s="2489"/>
      <c r="B14" s="2489"/>
      <c r="C14" s="2490" t="s">
        <v>2264</v>
      </c>
      <c r="D14" s="2461"/>
      <c r="E14" s="2491"/>
      <c r="F14" s="2491"/>
      <c r="G14" s="2456" t="s">
        <v>2265</v>
      </c>
    </row>
    <row r="15" spans="1:29" ht="25.5">
      <c r="A15" s="2440" t="s">
        <v>2266</v>
      </c>
      <c r="B15" s="2492" t="s">
        <v>2249</v>
      </c>
      <c r="C15" s="2493">
        <f>C3</f>
        <v>0</v>
      </c>
      <c r="D15" s="2461"/>
      <c r="E15" s="2441" t="s">
        <v>2267</v>
      </c>
      <c r="F15" s="2492" t="s">
        <v>2268</v>
      </c>
      <c r="G15" s="2494" t="str">
        <f>G3</f>
        <v>估价对象位于XX开发区，园区建设成熟度XX，产业集聚程度XX</v>
      </c>
    </row>
    <row r="16" spans="1:29" ht="38.25">
      <c r="A16" s="2442"/>
      <c r="B16" s="2495" t="s">
        <v>2251</v>
      </c>
      <c r="C16" s="2496" t="str">
        <f>C4</f>
        <v>一般</v>
      </c>
      <c r="D16" s="2461"/>
      <c r="E16" s="2443"/>
      <c r="F16" s="2497" t="s">
        <v>2252</v>
      </c>
      <c r="G16" s="2498" t="str">
        <f>G4</f>
        <v>估价对象周边道路状况、公共交通通达情况、停车便捷程度，综合评价交通便捷度较好</v>
      </c>
    </row>
    <row r="17" spans="1:18">
      <c r="A17" s="2442"/>
      <c r="B17" s="2495" t="s">
        <v>2254</v>
      </c>
      <c r="C17" s="2496" t="str">
        <f>C5</f>
        <v>一般</v>
      </c>
      <c r="D17" s="2466"/>
      <c r="E17" s="2443"/>
      <c r="F17" s="2497" t="s">
        <v>2269</v>
      </c>
      <c r="G17" s="2499"/>
    </row>
    <row r="18" spans="1:18" ht="25.5">
      <c r="A18" s="2442"/>
      <c r="B18" s="2497" t="s">
        <v>2257</v>
      </c>
      <c r="C18" s="2498" t="str">
        <f>C6</f>
        <v>较好</v>
      </c>
      <c r="D18" s="2466"/>
      <c r="E18" s="2443"/>
      <c r="F18" s="2497" t="s">
        <v>2260</v>
      </c>
      <c r="G18" s="2498" t="str">
        <f>G7</f>
        <v>该园区内是否有污染型企业，绿化情况，卫生条件，整体环境状况判断</v>
      </c>
    </row>
    <row r="19" spans="1:18" ht="25.5">
      <c r="A19" s="2442"/>
      <c r="B19" s="2497" t="s">
        <v>2270</v>
      </c>
      <c r="C19" s="2499"/>
      <c r="D19" s="2461"/>
      <c r="E19" s="2443"/>
      <c r="F19" s="323" t="s">
        <v>2255</v>
      </c>
      <c r="G19" s="2498" t="str">
        <f>G5</f>
        <v>估价对象所在区域公共配套设施齐备情况</v>
      </c>
    </row>
    <row r="20" spans="1:18">
      <c r="A20" s="2442"/>
      <c r="B20" s="2497" t="s">
        <v>2271</v>
      </c>
      <c r="C20" s="2496" t="str">
        <f>C9</f>
        <v>较好</v>
      </c>
      <c r="D20" s="2466"/>
      <c r="E20" s="2443"/>
      <c r="F20" s="323" t="s">
        <v>2258</v>
      </c>
      <c r="G20" s="2498" t="str">
        <f>G6</f>
        <v>估价对象所在区域基础设施水平</v>
      </c>
    </row>
    <row r="21" spans="1:18">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5"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5"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28" sqref="F28"/>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1139.1300000000001</v>
      </c>
      <c r="C1" s="2681"/>
      <c r="D1" s="2681"/>
      <c r="E1" s="2681"/>
      <c r="F1" s="2681"/>
      <c r="G1" s="2682"/>
      <c r="H1" s="2683"/>
      <c r="I1" s="2683"/>
      <c r="J1" s="2683"/>
      <c r="K1" s="2683"/>
    </row>
    <row r="2" spans="1:11" ht="16.5">
      <c r="A2" s="2507" t="s">
        <v>653</v>
      </c>
      <c r="B2" s="2507">
        <f>SUM(C14:C23)</f>
        <v>278.54000000000002</v>
      </c>
      <c r="C2" s="2681"/>
      <c r="D2" s="2681"/>
      <c r="E2" s="2681"/>
      <c r="F2" s="2681"/>
      <c r="G2" s="2682"/>
      <c r="H2" s="2683"/>
      <c r="I2" s="2683"/>
      <c r="J2" s="2683"/>
      <c r="K2" s="2683"/>
    </row>
    <row r="3" spans="1:11" ht="16.5">
      <c r="A3" s="2507" t="s">
        <v>662</v>
      </c>
      <c r="B3" s="2509">
        <f>项目基本情况!D3</f>
        <v>44965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7888</v>
      </c>
      <c r="C5" s="2507">
        <f ca="1">IF(B5=D14,结果表!H102,ROUND(B5*10000/$B$1,0))</f>
        <v>69246</v>
      </c>
      <c r="D5" s="2507">
        <f ca="1">ROUND(B5*10000/$B$2,0)</f>
        <v>283191</v>
      </c>
      <c r="E5" s="2681"/>
      <c r="F5" s="2682"/>
      <c r="G5" s="2682"/>
      <c r="H5" s="2683"/>
      <c r="I5" s="2683"/>
      <c r="J5" s="2683"/>
      <c r="K5" s="2683"/>
    </row>
    <row r="6" spans="1:11" ht="16.5">
      <c r="A6" s="2507" t="s">
        <v>656</v>
      </c>
      <c r="B6" s="2507">
        <f ca="1">SUM(G14:G23)</f>
        <v>7888</v>
      </c>
      <c r="C6" s="2507">
        <f ca="1">IF(B6=G14,结果表!H108,ROUND(B6*10000/$B$1,0))</f>
        <v>69246</v>
      </c>
      <c r="D6" s="2507">
        <f ca="1">ROUND(B6*10000/$B$2,0)</f>
        <v>283191</v>
      </c>
      <c r="E6" s="2681"/>
      <c r="F6" s="2682"/>
      <c r="G6" s="2682"/>
      <c r="H6" s="2683"/>
      <c r="I6" s="2683"/>
      <c r="J6" s="2683"/>
      <c r="K6" s="2683"/>
    </row>
    <row r="7" spans="1:11" ht="16.5">
      <c r="A7" s="2507" t="s">
        <v>664</v>
      </c>
      <c r="B7" s="2507">
        <f>SUM(H14:H23)</f>
        <v>0</v>
      </c>
      <c r="C7" s="2507">
        <f>IF(B7=H14,结果表!H110,ROUND(B7*10000/$B$1,0))</f>
        <v>0</v>
      </c>
      <c r="D7" s="2507">
        <f>ROUND(B7*10000/$B$2,0)</f>
        <v>0</v>
      </c>
      <c r="E7" s="2681"/>
      <c r="F7" s="2682"/>
      <c r="G7" s="2682"/>
      <c r="H7" s="2683"/>
      <c r="I7" s="2683"/>
      <c r="J7" s="2683"/>
      <c r="K7" s="2683"/>
    </row>
    <row r="8" spans="1:11" ht="16.5">
      <c r="A8" s="2507" t="s">
        <v>587</v>
      </c>
      <c r="B8" s="2507">
        <f>SUM(I14:I23)</f>
        <v>0</v>
      </c>
      <c r="C8" s="2507">
        <f>IF(B8=I14,结果表!H112,ROUND(B8*10000/$B$1,0))</f>
        <v>0</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1139.1300000000001</v>
      </c>
      <c r="C14" s="2513">
        <f>结果表!C118</f>
        <v>278.54000000000002</v>
      </c>
      <c r="D14" s="2513">
        <f ca="1">结果表!H118</f>
        <v>7888</v>
      </c>
      <c r="E14" s="2513">
        <f ca="1">结果表!I118</f>
        <v>69246</v>
      </c>
      <c r="F14" s="2513">
        <f ca="1">ROUND(D14*10000/C14,0)</f>
        <v>283191</v>
      </c>
      <c r="G14" s="2513">
        <f ca="1">结果表!D122</f>
        <v>7888</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90" zoomScaleNormal="100" zoomScaleSheetLayoutView="90" zoomScalePageLayoutView="80" workbookViewId="0">
      <selection activeCell="I118" sqref="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3376</v>
      </c>
      <c r="H1" s="1750" t="str">
        <f>IF(G1="现房","——","估价对象范围")</f>
        <v>——</v>
      </c>
      <c r="I1" s="1751" t="s">
        <v>3494</v>
      </c>
    </row>
    <row r="2" spans="1:12" ht="21.75" customHeight="1" thickBot="1">
      <c r="A2" s="3651" t="str">
        <f>项目基本情况!S2</f>
        <v>北京市崇文区珠市口东大街14号1-C房地产</v>
      </c>
      <c r="B2" s="3652"/>
      <c r="C2" s="3652"/>
      <c r="D2" s="3652"/>
      <c r="E2" s="3652"/>
      <c r="F2" s="3652"/>
      <c r="G2" s="3652"/>
      <c r="H2" s="3652"/>
      <c r="I2" s="3653"/>
    </row>
    <row r="3" spans="1:12" ht="12.75">
      <c r="A3" s="3655" t="s">
        <v>1263</v>
      </c>
      <c r="B3" s="3656"/>
      <c r="C3" s="3656"/>
      <c r="D3" s="3656"/>
      <c r="E3" s="3656"/>
      <c r="F3" s="3656"/>
      <c r="G3" s="3656"/>
      <c r="H3" s="3656"/>
      <c r="I3" s="3656"/>
    </row>
    <row r="4" spans="1:12" ht="14.25">
      <c r="A4" s="1754" t="s">
        <v>1264</v>
      </c>
      <c r="B4" s="1755" t="s">
        <v>1265</v>
      </c>
      <c r="C4" s="1756" t="s">
        <v>3400</v>
      </c>
      <c r="D4" s="1756" t="s">
        <v>3493</v>
      </c>
      <c r="E4" s="3660" t="s">
        <v>1266</v>
      </c>
      <c r="F4" s="3661"/>
      <c r="G4" s="3661"/>
      <c r="H4" s="3661"/>
      <c r="I4" s="366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1267</v>
      </c>
      <c r="B5" s="3654">
        <v>25</v>
      </c>
      <c r="C5" s="3657"/>
      <c r="D5" s="3645"/>
      <c r="E5" s="131" t="s">
        <v>1268</v>
      </c>
      <c r="F5" s="1757"/>
      <c r="G5" s="1757"/>
      <c r="H5" s="1757"/>
      <c r="I5" s="1373"/>
    </row>
    <row r="6" spans="1:12" ht="12.75">
      <c r="A6" s="3599"/>
      <c r="B6" s="3654"/>
      <c r="C6" s="3659"/>
      <c r="D6" s="3645"/>
      <c r="E6" s="131" t="s">
        <v>1269</v>
      </c>
      <c r="F6" s="1757"/>
      <c r="G6" s="1757"/>
      <c r="H6" s="1757"/>
      <c r="I6" s="1373"/>
    </row>
    <row r="7" spans="1:12" ht="12.75">
      <c r="A7" s="3599"/>
      <c r="B7" s="3654"/>
      <c r="C7" s="3658"/>
      <c r="D7" s="3645"/>
      <c r="E7" s="131" t="s">
        <v>1270</v>
      </c>
      <c r="F7" s="1757"/>
      <c r="G7" s="1757"/>
      <c r="H7" s="1757"/>
      <c r="I7" s="1373"/>
    </row>
    <row r="8" spans="1:12" ht="12.75">
      <c r="A8" s="3599" t="s">
        <v>1271</v>
      </c>
      <c r="B8" s="3654">
        <v>15</v>
      </c>
      <c r="C8" s="3657"/>
      <c r="D8" s="3645"/>
      <c r="E8" s="131" t="s">
        <v>1272</v>
      </c>
      <c r="F8" s="1757"/>
      <c r="G8" s="1757"/>
      <c r="H8" s="1757"/>
      <c r="I8" s="1373"/>
    </row>
    <row r="9" spans="1:12" ht="12.75">
      <c r="A9" s="3599"/>
      <c r="B9" s="3654"/>
      <c r="C9" s="3658"/>
      <c r="D9" s="3645"/>
      <c r="E9" s="131" t="s">
        <v>1273</v>
      </c>
      <c r="F9" s="1757"/>
      <c r="G9" s="1757"/>
      <c r="H9" s="1757"/>
      <c r="I9" s="1373"/>
    </row>
    <row r="10" spans="1:12" ht="12.75">
      <c r="A10" s="3599" t="s">
        <v>1274</v>
      </c>
      <c r="B10" s="3654">
        <v>15</v>
      </c>
      <c r="C10" s="3657"/>
      <c r="D10" s="3645"/>
      <c r="E10" s="131" t="s">
        <v>1275</v>
      </c>
      <c r="F10" s="1757"/>
      <c r="G10" s="1757"/>
      <c r="H10" s="1757"/>
      <c r="I10" s="1373"/>
    </row>
    <row r="11" spans="1:12" ht="12.75">
      <c r="A11" s="3599"/>
      <c r="B11" s="3654"/>
      <c r="C11" s="3658"/>
      <c r="D11" s="3645"/>
      <c r="E11" s="131" t="s">
        <v>1276</v>
      </c>
      <c r="F11" s="1757"/>
      <c r="G11" s="1757"/>
      <c r="H11" s="1757"/>
      <c r="I11" s="1373"/>
    </row>
    <row r="12" spans="1:12" ht="12.75">
      <c r="A12" s="3599" t="s">
        <v>1277</v>
      </c>
      <c r="B12" s="3654">
        <v>15</v>
      </c>
      <c r="C12" s="3657"/>
      <c r="D12" s="3645"/>
      <c r="E12" s="131" t="s">
        <v>1278</v>
      </c>
      <c r="F12" s="1757"/>
      <c r="G12" s="1757"/>
      <c r="H12" s="1757"/>
      <c r="I12" s="1373"/>
    </row>
    <row r="13" spans="1:12" ht="12.75">
      <c r="A13" s="3599"/>
      <c r="B13" s="3654"/>
      <c r="C13" s="3658"/>
      <c r="D13" s="3645"/>
      <c r="E13" s="131" t="s">
        <v>1279</v>
      </c>
      <c r="F13" s="1757"/>
      <c r="G13" s="1757"/>
      <c r="H13" s="1757"/>
      <c r="I13" s="1373"/>
    </row>
    <row r="14" spans="1:12" ht="12.75">
      <c r="A14" s="3599" t="s">
        <v>1280</v>
      </c>
      <c r="B14" s="3654">
        <v>30</v>
      </c>
      <c r="C14" s="3657">
        <v>7</v>
      </c>
      <c r="D14" s="3645">
        <v>3</v>
      </c>
      <c r="E14" s="131" t="s">
        <v>1281</v>
      </c>
      <c r="F14" s="1757"/>
      <c r="G14" s="1757"/>
      <c r="H14" s="1757"/>
      <c r="I14" s="1373"/>
    </row>
    <row r="15" spans="1:12" ht="12.75">
      <c r="A15" s="3599"/>
      <c r="B15" s="3654"/>
      <c r="C15" s="3659"/>
      <c r="D15" s="3645"/>
      <c r="E15" s="131" t="s">
        <v>1282</v>
      </c>
      <c r="F15" s="1757"/>
      <c r="G15" s="1757"/>
      <c r="H15" s="1757"/>
      <c r="I15" s="1373"/>
    </row>
    <row r="16" spans="1:12" ht="12.75">
      <c r="A16" s="3599"/>
      <c r="B16" s="3654"/>
      <c r="C16" s="3658"/>
      <c r="D16" s="3645"/>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76" t="s">
        <v>2130</v>
      </c>
      <c r="F18" s="3677"/>
      <c r="G18" s="3677"/>
      <c r="H18" s="3677"/>
      <c r="I18" s="3677"/>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5">
      <c r="A19" s="1761" t="s">
        <v>1289</v>
      </c>
      <c r="B19" s="1762" t="s">
        <v>1290</v>
      </c>
      <c r="C19" s="134">
        <f ca="1">SUMIF(INDIRECT("'"&amp;C4&amp;"'"&amp;"!A:A"),结果表!B19,INDIRECT("'"&amp;C4&amp;"'"&amp;"!B:B"))</f>
        <v>9059.8425999999999</v>
      </c>
      <c r="D19" s="135">
        <f ca="1">SUMIF(INDIRECT("'"&amp;D4&amp;"'"&amp;"!A:A"),结果表!B19,INDIRECT("'"&amp;D4&amp;"'"&amp;"!B:B"))</f>
        <v>5155.2885999999999</v>
      </c>
      <c r="E19" s="1761" t="s">
        <v>1291</v>
      </c>
      <c r="F19" s="1762" t="s">
        <v>1290</v>
      </c>
      <c r="G19" s="136">
        <f ca="1">ROUND(C19*$C$18+D19*$D$18,0)</f>
        <v>7888</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5">
      <c r="A20" s="1764"/>
      <c r="B20" s="1026" t="s">
        <v>1294</v>
      </c>
      <c r="C20" s="137">
        <f ca="1">SUMIF(INDIRECT("'"&amp;C4&amp;"'"&amp;"!A:A"),结果表!B20,INDIRECT("'"&amp;C4&amp;"'"&amp;"!B:B"))</f>
        <v>79533</v>
      </c>
      <c r="D20" s="138">
        <f ca="1">SUMIF(INDIRECT("'"&amp;D4&amp;"'"&amp;"!A:A"),结果表!B20,INDIRECT("'"&amp;D4&amp;"'"&amp;"!B:B"))</f>
        <v>45256</v>
      </c>
      <c r="E20" s="1764"/>
      <c r="F20" s="1026" t="s">
        <v>1294</v>
      </c>
      <c r="G20" s="139">
        <f ca="1">ROUND(C20*$C$18+D20*$D$18,0)</f>
        <v>69250</v>
      </c>
      <c r="H20" s="808" t="s">
        <v>1295</v>
      </c>
      <c r="I20" s="129"/>
      <c r="J20" s="3486" t="s">
        <v>3504</v>
      </c>
    </row>
    <row r="21" spans="1:36" ht="15" customHeight="1" thickBot="1">
      <c r="A21" s="828"/>
      <c r="B21" s="1765" t="s">
        <v>1296</v>
      </c>
      <c r="C21" s="719">
        <f ca="1">ROUND(C19*10000/L19,0)</f>
        <v>325262</v>
      </c>
      <c r="D21" s="720">
        <f ca="1">ROUND(D19*10000/L19,0)</f>
        <v>185083</v>
      </c>
      <c r="E21" s="828"/>
      <c r="F21" s="1765" t="s">
        <v>1296</v>
      </c>
      <c r="G21" s="140">
        <f ca="1">ROUND(G19*10000/L19,0)</f>
        <v>283191</v>
      </c>
      <c r="H21" s="1766" t="s">
        <v>1295</v>
      </c>
      <c r="I21" s="129"/>
    </row>
    <row r="22" spans="1:36" ht="15" thickBot="1">
      <c r="A22" s="1688" t="s">
        <v>1297</v>
      </c>
      <c r="B22" s="1767"/>
      <c r="C22" s="1768"/>
      <c r="D22" s="721">
        <f ca="1">IF(C19&lt;D19,D19/C19-1,C19/D19-1)</f>
        <v>0.75738805389091124</v>
      </c>
      <c r="E22" s="129"/>
      <c r="F22" s="129"/>
      <c r="G22" s="129"/>
      <c r="H22" s="129"/>
      <c r="I22" s="129"/>
      <c r="K22" s="725">
        <v>69500</v>
      </c>
      <c r="L22" s="725">
        <v>75000</v>
      </c>
    </row>
    <row r="23" spans="1:36" ht="13.5" thickBot="1">
      <c r="A23" s="1747"/>
      <c r="B23" s="1747"/>
      <c r="C23" s="1747"/>
      <c r="D23" s="1747"/>
      <c r="E23" s="129"/>
      <c r="F23" s="129"/>
      <c r="G23" s="129"/>
      <c r="H23" s="129"/>
      <c r="I23" s="129"/>
      <c r="K23" s="725">
        <f>K22*L18/10000</f>
        <v>7916.9535000000014</v>
      </c>
      <c r="L23" s="725">
        <f>L22*M18/10000</f>
        <v>8543.4750000000022</v>
      </c>
    </row>
    <row r="24" spans="1:36" ht="14.25">
      <c r="A24" s="3669" t="s">
        <v>1298</v>
      </c>
      <c r="B24" s="1762" t="s">
        <v>1290</v>
      </c>
      <c r="C24" s="136">
        <f>IF(B30=0,0,D30)</f>
        <v>0</v>
      </c>
      <c r="D24" s="1769"/>
      <c r="E24" s="129"/>
      <c r="F24" s="129"/>
      <c r="G24" s="129"/>
      <c r="H24" s="129"/>
      <c r="I24" s="129"/>
      <c r="K24" s="725" t="s">
        <v>3502</v>
      </c>
    </row>
    <row r="25" spans="1:36" ht="14.25">
      <c r="A25" s="3670"/>
      <c r="B25" s="1026" t="s">
        <v>1294</v>
      </c>
      <c r="C25" s="141">
        <f>IF(B30=0,0,C30)</f>
        <v>0</v>
      </c>
      <c r="D25" s="1770"/>
      <c r="E25" s="129"/>
      <c r="F25" s="129"/>
      <c r="G25" s="129"/>
      <c r="H25" s="129"/>
      <c r="I25" s="129"/>
      <c r="K25" s="725">
        <f>K23*0.0005</f>
        <v>3.9584767500000009</v>
      </c>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7888</v>
      </c>
      <c r="D32" s="1775" t="s">
        <v>3506</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46" t="s">
        <v>1311</v>
      </c>
      <c r="B36" s="1787" t="s">
        <v>1312</v>
      </c>
      <c r="C36" s="145"/>
      <c r="D36" s="1788"/>
      <c r="E36" s="1789"/>
      <c r="F36" s="1790"/>
      <c r="G36" s="129"/>
      <c r="H36" s="129"/>
      <c r="I36" s="129"/>
    </row>
    <row r="37" spans="1:15" ht="15.75" thickBot="1">
      <c r="A37" s="3647"/>
      <c r="B37" s="1674" t="s">
        <v>1313</v>
      </c>
      <c r="C37" s="147"/>
      <c r="D37" s="1139"/>
      <c r="E37" s="1139"/>
      <c r="F37" s="1790"/>
      <c r="G37" s="129"/>
      <c r="H37" s="129"/>
      <c r="I37" s="129"/>
    </row>
    <row r="38" spans="1:15" ht="15.75" thickBot="1">
      <c r="A38" s="364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66" t="s">
        <v>1325</v>
      </c>
      <c r="B45" s="3667"/>
      <c r="C45" s="3668"/>
      <c r="D45" s="155">
        <f ca="1">ROUND(H101*F45,0)</f>
        <v>7888</v>
      </c>
      <c r="E45" s="156" t="s">
        <v>1326</v>
      </c>
      <c r="F45" s="157">
        <v>1</v>
      </c>
      <c r="G45" s="158" t="s">
        <v>1327</v>
      </c>
      <c r="H45" s="129"/>
      <c r="I45" s="129"/>
      <c r="J45" s="3586" t="s">
        <v>1328</v>
      </c>
      <c r="K45" s="3586"/>
      <c r="L45" s="3586"/>
      <c r="M45" s="3586"/>
      <c r="N45" s="3586"/>
      <c r="O45" s="3586"/>
    </row>
    <row r="46" spans="1:15" ht="14.25" hidden="1" customHeight="1">
      <c r="A46" s="3663" t="s">
        <v>1329</v>
      </c>
      <c r="B46" s="3664"/>
      <c r="C46" s="3664"/>
      <c r="D46" s="3664"/>
      <c r="E46" s="3664"/>
      <c r="F46" s="3664"/>
      <c r="G46" s="3665"/>
      <c r="H46" s="1806"/>
      <c r="I46" s="159"/>
      <c r="J46" s="2518">
        <v>1</v>
      </c>
      <c r="K46" s="3587" t="s">
        <v>1330</v>
      </c>
      <c r="L46" s="3587"/>
      <c r="M46" s="3588"/>
      <c r="N46" s="3588"/>
      <c r="O46" s="3588"/>
    </row>
    <row r="47" spans="1:15" ht="12" hidden="1" customHeight="1">
      <c r="A47" s="160" t="s">
        <v>1331</v>
      </c>
      <c r="B47" s="161"/>
      <c r="C47" s="162"/>
      <c r="D47" s="1087" t="s">
        <v>1332</v>
      </c>
      <c r="E47" s="302" t="s">
        <v>1333</v>
      </c>
      <c r="F47" s="163" t="s">
        <v>1334</v>
      </c>
      <c r="G47" s="2541" t="s">
        <v>1335</v>
      </c>
      <c r="H47" s="2542"/>
      <c r="I47" s="159"/>
      <c r="J47" s="2518">
        <v>2</v>
      </c>
      <c r="K47" s="3587" t="s">
        <v>1336</v>
      </c>
      <c r="L47" s="3587"/>
      <c r="M47" s="3589">
        <f>'数据-取费表'!B2</f>
        <v>44965</v>
      </c>
      <c r="N47" s="3589"/>
      <c r="O47" s="3589"/>
    </row>
    <row r="48" spans="1:15" ht="25.5" hidden="1">
      <c r="A48" s="3649" t="s">
        <v>1337</v>
      </c>
      <c r="B48" s="3650"/>
      <c r="C48" s="3650"/>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587" t="s">
        <v>1339</v>
      </c>
      <c r="L48" s="3587"/>
      <c r="M48" s="3590">
        <f ca="1">H101</f>
        <v>7888</v>
      </c>
      <c r="N48" s="3590"/>
      <c r="O48" s="3590"/>
    </row>
    <row r="49" spans="1:35" ht="25.5" hidden="1" customHeight="1">
      <c r="A49" s="2333" t="s">
        <v>1340</v>
      </c>
      <c r="B49" s="3635" t="s">
        <v>1341</v>
      </c>
      <c r="C49" s="3635"/>
      <c r="D49" s="1590">
        <v>0</v>
      </c>
      <c r="E49" s="324" t="s">
        <v>1342</v>
      </c>
      <c r="F49" s="2420" t="s">
        <v>28</v>
      </c>
      <c r="G49" s="3618"/>
      <c r="H49" s="2310" t="s">
        <v>2133</v>
      </c>
      <c r="I49" s="2311"/>
      <c r="J49" s="2518">
        <v>4</v>
      </c>
      <c r="K49" s="3587" t="str">
        <f>IF(项目基本情况!E8="房地产抵押价值","房地产抵押价值","抵押担保权已注销时的房地产抵押价值")</f>
        <v>房地产抵押价值</v>
      </c>
      <c r="L49" s="3587"/>
      <c r="M49" s="3590">
        <f ca="1">IF(项目基本情况!E8="房地产抵押价值",H107,H109)</f>
        <v>7888</v>
      </c>
      <c r="N49" s="3590"/>
      <c r="O49" s="3590"/>
    </row>
    <row r="50" spans="1:35" ht="25.5" hidden="1" customHeight="1">
      <c r="A50" s="2546"/>
      <c r="B50" s="3635" t="s">
        <v>1343</v>
      </c>
      <c r="C50" s="3635"/>
      <c r="D50" s="2547"/>
      <c r="E50" s="332"/>
      <c r="F50" s="2420"/>
      <c r="G50" s="3619"/>
      <c r="H50" s="2312" t="s">
        <v>2134</v>
      </c>
      <c r="I50" s="2311"/>
      <c r="J50" s="3586" t="s">
        <v>1344</v>
      </c>
      <c r="K50" s="3586"/>
      <c r="L50" s="3586"/>
      <c r="M50" s="3586"/>
      <c r="N50" s="3586"/>
      <c r="O50" s="3586"/>
    </row>
    <row r="51" spans="1:35" ht="20.45" hidden="1" customHeight="1">
      <c r="A51" s="2548"/>
      <c r="B51" s="3635" t="s">
        <v>1345</v>
      </c>
      <c r="C51" s="3635"/>
      <c r="D51" s="1087"/>
      <c r="E51" s="327"/>
      <c r="F51" s="2420"/>
      <c r="G51" s="3620"/>
      <c r="H51" s="2312" t="s">
        <v>2135</v>
      </c>
      <c r="I51" s="2311"/>
      <c r="J51" s="2519" t="s">
        <v>1346</v>
      </c>
      <c r="K51" s="3587" t="s">
        <v>1347</v>
      </c>
      <c r="L51" s="3587"/>
      <c r="M51" s="2519" t="s">
        <v>1348</v>
      </c>
      <c r="N51" s="2519" t="s">
        <v>1349</v>
      </c>
      <c r="O51" s="2519" t="s">
        <v>1350</v>
      </c>
    </row>
    <row r="52" spans="1:35" ht="24" hidden="1" customHeight="1">
      <c r="A52" s="2335" t="s">
        <v>1351</v>
      </c>
      <c r="B52" s="3635" t="s">
        <v>1352</v>
      </c>
      <c r="C52" s="3635"/>
      <c r="D52" s="1087">
        <f ca="1">ROUND(D45*'数据-取费表'!B41/(1+'数据-取费表'!C42),0)</f>
        <v>421</v>
      </c>
      <c r="E52" s="2334" t="s">
        <v>1353</v>
      </c>
      <c r="F52" s="2549">
        <f>'数据-取费表'!B41</f>
        <v>5.6000000000000001E-2</v>
      </c>
      <c r="G52" s="2550"/>
      <c r="H52" s="2539"/>
      <c r="I52" s="1807"/>
      <c r="J52" s="2518">
        <v>1</v>
      </c>
      <c r="K52" s="3612" t="s">
        <v>1354</v>
      </c>
      <c r="L52" s="3612"/>
      <c r="M52" s="2520" t="b">
        <f>D48</f>
        <v>0</v>
      </c>
      <c r="N52" s="2518" t="str">
        <f>E48</f>
        <v>销售额×税（费）率</v>
      </c>
      <c r="O52" s="2521">
        <f>F48</f>
        <v>5.6000000000000001E-2</v>
      </c>
    </row>
    <row r="53" spans="1:35" ht="12" hidden="1" customHeight="1">
      <c r="A53" s="2335" t="s">
        <v>1355</v>
      </c>
      <c r="B53" s="3636" t="s">
        <v>2284</v>
      </c>
      <c r="C53" s="3637"/>
      <c r="D53" s="1087">
        <f ca="1">ROUND(D45*'数据-取费表'!B41/(1+'数据-取费表'!C42),0)</f>
        <v>421</v>
      </c>
      <c r="E53" s="2334" t="s">
        <v>1353</v>
      </c>
      <c r="F53" s="2549">
        <f>'数据-取费表'!B41</f>
        <v>5.6000000000000001E-2</v>
      </c>
      <c r="G53" s="2550"/>
      <c r="H53" s="2539"/>
      <c r="I53" s="1807"/>
      <c r="J53" s="2518">
        <v>2</v>
      </c>
      <c r="K53" s="3612" t="s">
        <v>1356</v>
      </c>
      <c r="L53" s="3612"/>
      <c r="M53" s="2520">
        <f t="shared" ref="M53:O54" ca="1" si="0">D55</f>
        <v>4</v>
      </c>
      <c r="N53" s="2518" t="str">
        <f t="shared" si="0"/>
        <v>销售额×税（费）率</v>
      </c>
      <c r="O53" s="2521" t="str">
        <f t="shared" si="0"/>
        <v>免征</v>
      </c>
    </row>
    <row r="54" spans="1:35" ht="12" hidden="1" customHeight="1">
      <c r="A54" s="2335" t="s">
        <v>1357</v>
      </c>
      <c r="B54" s="3636" t="s">
        <v>2285</v>
      </c>
      <c r="C54" s="3637"/>
      <c r="D54" s="1087">
        <f ca="1">C68</f>
        <v>421</v>
      </c>
      <c r="E54" s="327" t="s">
        <v>1358</v>
      </c>
      <c r="F54" s="2549">
        <f>'数据-取费表'!B41</f>
        <v>5.6000000000000001E-2</v>
      </c>
      <c r="G54" s="2550"/>
      <c r="H54" s="2551"/>
      <c r="I54" s="1807"/>
      <c r="J54" s="2518">
        <v>3</v>
      </c>
      <c r="K54" s="3612" t="s">
        <v>1359</v>
      </c>
      <c r="L54" s="3612"/>
      <c r="M54" s="2520">
        <f t="shared" ca="1" si="0"/>
        <v>4464</v>
      </c>
      <c r="N54" s="2518" t="str">
        <f t="shared" si="0"/>
        <v>增值额×税（费）率</v>
      </c>
      <c r="O54" s="2522" t="str">
        <f t="shared" si="0"/>
        <v>免征</v>
      </c>
    </row>
    <row r="55" spans="1:35" ht="24" hidden="1" customHeight="1">
      <c r="A55" s="3672" t="s">
        <v>1360</v>
      </c>
      <c r="B55" s="3650"/>
      <c r="C55" s="3650"/>
      <c r="D55" s="2324">
        <f ca="1">IF(H55="个人住宅",0,ROUND(D45*I55,0))</f>
        <v>4</v>
      </c>
      <c r="E55" s="2334" t="s">
        <v>1361</v>
      </c>
      <c r="F55" s="2549" t="str">
        <f>IF(H55="正常",I55,"免征")</f>
        <v>免征</v>
      </c>
      <c r="G55" s="2550"/>
      <c r="H55" s="2545"/>
      <c r="I55" s="165">
        <f>'数据-取费表'!B49</f>
        <v>5.0000000000000001E-4</v>
      </c>
      <c r="J55" s="2518">
        <f>IF(H59="非个人房产","",4)</f>
        <v>4</v>
      </c>
      <c r="K55" s="3612" t="str">
        <f>IF(H59="非个人房产","——","个人所得税")</f>
        <v>个人所得税</v>
      </c>
      <c r="L55" s="3612"/>
      <c r="M55" s="2523">
        <f ca="1">D59</f>
        <v>75</v>
      </c>
      <c r="N55" s="2040" t="str">
        <f>E59</f>
        <v>差额计税</v>
      </c>
      <c r="O55" s="2524">
        <f>F59</f>
        <v>0.01</v>
      </c>
    </row>
    <row r="56" spans="1:35" ht="24.75" hidden="1">
      <c r="A56" s="3672" t="s">
        <v>1362</v>
      </c>
      <c r="B56" s="3650"/>
      <c r="C56" s="3650"/>
      <c r="D56" s="2324">
        <f ca="1">IF(H56="个人住宅",D57,D58)</f>
        <v>4464</v>
      </c>
      <c r="E56" s="2334" t="s">
        <v>1363</v>
      </c>
      <c r="F56" s="2549" t="str">
        <f>IF(H56="正常",F58,"免征")</f>
        <v>免征</v>
      </c>
      <c r="G56" s="2552" t="s">
        <v>1364</v>
      </c>
      <c r="H56" s="2553"/>
      <c r="I56" s="1808"/>
      <c r="J56" s="2518" t="str">
        <f>IF(项目基本情况!K6="上海银行",IF(J55="",4,J55+1),"")</f>
        <v/>
      </c>
      <c r="K56" s="3593" t="str">
        <f>IF(项目基本情况!K6="上海银行","其他处置费用","")</f>
        <v/>
      </c>
      <c r="L56" s="3594"/>
      <c r="M56" s="2520" t="str">
        <f>IF(项目基本情况!K6="上海银行",M69,"")</f>
        <v/>
      </c>
      <c r="N56" s="3593" t="str">
        <f>IF(项目基本情况!K6="上海银行","包含处置中涉及的律师、诉讼、拍卖、评估等费用","")</f>
        <v/>
      </c>
      <c r="O56" s="3596"/>
    </row>
    <row r="57" spans="1:35" ht="12.75" hidden="1">
      <c r="A57" s="2335" t="s">
        <v>1340</v>
      </c>
      <c r="B57" s="3636" t="s">
        <v>1365</v>
      </c>
      <c r="C57" s="3637"/>
      <c r="D57" s="1590">
        <v>0</v>
      </c>
      <c r="E57" s="324" t="s">
        <v>1342</v>
      </c>
      <c r="F57" s="302"/>
      <c r="G57" s="2550"/>
      <c r="H57" s="2554"/>
      <c r="I57" s="1808"/>
      <c r="J57" s="3612">
        <f>IF(AND(J55="",J56=""),4,IF(项目基本情况!K6="上海银行",结果表!J56+1,结果表!J55+1))</f>
        <v>5</v>
      </c>
      <c r="K57" s="3612" t="s">
        <v>1366</v>
      </c>
      <c r="L57" s="2525" t="s">
        <v>1367</v>
      </c>
      <c r="M57" s="2526"/>
      <c r="N57" s="2527">
        <f ca="1">SUMIF(M52:M56,"&lt;9e307")</f>
        <v>4543</v>
      </c>
      <c r="O57" s="2528"/>
      <c r="P57" s="2685">
        <f ca="1">N57/M49</f>
        <v>0.57593813387423931</v>
      </c>
    </row>
    <row r="58" spans="1:35" ht="24.75" hidden="1">
      <c r="A58" s="2335" t="s">
        <v>1351</v>
      </c>
      <c r="B58" s="3636" t="s">
        <v>1368</v>
      </c>
      <c r="C58" s="3635"/>
      <c r="D58" s="2324">
        <f ca="1">IF(H58="转让取得",C81,C97)</f>
        <v>4464</v>
      </c>
      <c r="E58" s="2334" t="s">
        <v>1363</v>
      </c>
      <c r="F58" s="302" t="s">
        <v>28</v>
      </c>
      <c r="G58" s="2550"/>
      <c r="H58" s="2553"/>
      <c r="I58" s="1808"/>
      <c r="J58" s="3612"/>
      <c r="K58" s="3612"/>
      <c r="L58" s="2525" t="s">
        <v>1369</v>
      </c>
      <c r="M58" s="2529"/>
      <c r="N58" s="2530" t="str">
        <f ca="1">NUMBERSTRING(INT(N57*10000),2)&amp;"元整"</f>
        <v>肆仟伍佰肆拾叁万元整</v>
      </c>
      <c r="O58" s="2531"/>
    </row>
    <row r="59" spans="1:35" ht="24.75" hidden="1" thickBot="1">
      <c r="A59" s="3616" t="s">
        <v>1370</v>
      </c>
      <c r="B59" s="3617"/>
      <c r="C59" s="3617"/>
      <c r="D59" s="2555">
        <f ca="1">IF(H59="非个人房产","——",IF(H59="个人住宅（满五唯一有凭证）",0,IF(H59="个人其他（无凭证）",ROUND(D45*F59,0),ROUND(C67*F59,0))))</f>
        <v>75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14">
        <f>J57+1</f>
        <v>6</v>
      </c>
      <c r="K59" s="3612" t="s">
        <v>1371</v>
      </c>
      <c r="L59" s="2518" t="s">
        <v>1367</v>
      </c>
      <c r="M59" s="2532"/>
      <c r="N59" s="2533">
        <f ca="1">M49-N57</f>
        <v>3345</v>
      </c>
      <c r="O59" s="2534"/>
    </row>
    <row r="60" spans="1:35" ht="12" hidden="1" customHeight="1">
      <c r="A60" s="1809"/>
      <c r="B60" s="1747"/>
      <c r="C60" s="1747"/>
      <c r="D60" s="1747"/>
      <c r="E60" s="1578"/>
      <c r="F60" s="1808"/>
      <c r="G60" s="1808"/>
      <c r="H60" s="1810"/>
      <c r="I60" s="129"/>
      <c r="J60" s="3615"/>
      <c r="K60" s="3612"/>
      <c r="L60" s="2525" t="s">
        <v>1369</v>
      </c>
      <c r="M60" s="2529"/>
      <c r="N60" s="2530" t="str">
        <f ca="1">NUMBERSTRING(INT(N59*10000),2)&amp;"元整"</f>
        <v>叁仟叁佰肆拾伍万元整</v>
      </c>
      <c r="O60" s="2531"/>
    </row>
    <row r="61" spans="1:35" ht="13.5" hidden="1" thickBot="1">
      <c r="A61" s="3671" t="s">
        <v>1372</v>
      </c>
      <c r="B61" s="3671"/>
      <c r="C61" s="3671"/>
      <c r="D61" s="3671"/>
      <c r="E61" s="3671"/>
      <c r="F61" s="1808"/>
      <c r="G61" s="1808"/>
      <c r="H61" s="1810"/>
      <c r="I61" s="129"/>
      <c r="J61" s="2518">
        <f>J59+1</f>
        <v>7</v>
      </c>
      <c r="K61" s="3612" t="s">
        <v>1373</v>
      </c>
      <c r="L61" s="3612"/>
      <c r="M61" s="2535"/>
      <c r="N61" s="2536">
        <f ca="1">ROUND(N59*10000/'数据-汇总表'!E3,0)</f>
        <v>29365</v>
      </c>
      <c r="O61" s="2537"/>
    </row>
    <row r="62" spans="1:35" ht="12.75" hidden="1">
      <c r="A62" s="3631" t="s">
        <v>1374</v>
      </c>
      <c r="B62" s="3632"/>
      <c r="C62" s="2021"/>
      <c r="D62" s="2021" t="s">
        <v>1375</v>
      </c>
      <c r="E62" s="166" t="s">
        <v>1376</v>
      </c>
      <c r="F62" s="1808"/>
      <c r="G62" s="1808"/>
      <c r="H62" s="1810"/>
      <c r="I62" s="129"/>
    </row>
    <row r="63" spans="1:35" ht="12.75" hidden="1">
      <c r="A63" s="173" t="s">
        <v>330</v>
      </c>
      <c r="B63" s="167" t="s">
        <v>1377</v>
      </c>
      <c r="C63" s="2559">
        <f ca="1">ROUND((C64+C65)/(1+'数据-取费表'!C42),0)</f>
        <v>7512</v>
      </c>
      <c r="D63" s="167"/>
      <c r="E63" s="168"/>
      <c r="F63" s="1808"/>
      <c r="G63" s="1808"/>
      <c r="H63" s="1810"/>
      <c r="I63" s="129"/>
      <c r="J63" s="3595" t="s">
        <v>1378</v>
      </c>
      <c r="K63" s="1332" t="s">
        <v>1379</v>
      </c>
      <c r="L63" s="1332">
        <f ca="1">IF(M49&gt;10000,M49*0.5%,IF(AND(M49&gt;1000,M49&lt;=10000),M49*1%,IF(AND(M49&gt;100,M49&lt;=1000),M49*3%,IF(AND(M49&gt;10,M49&lt;=100),M49*5%,M49*8%))))</f>
        <v>78.88</v>
      </c>
      <c r="M63" s="302">
        <f ca="1">ROUND(L63,1)</f>
        <v>78.900000000000006</v>
      </c>
      <c r="N63" s="2538"/>
      <c r="Z63" s="1752"/>
      <c r="AI63" s="1753"/>
    </row>
    <row r="64" spans="1:35" ht="14.25" hidden="1" customHeight="1">
      <c r="A64" s="169" t="s">
        <v>325</v>
      </c>
      <c r="B64" s="170" t="s">
        <v>1380</v>
      </c>
      <c r="C64" s="2560">
        <f ca="1">D45</f>
        <v>7888</v>
      </c>
      <c r="D64" s="170" t="s">
        <v>26</v>
      </c>
      <c r="E64" s="172"/>
      <c r="F64" s="1808"/>
      <c r="G64" s="1808"/>
      <c r="H64" s="1810"/>
      <c r="I64" s="129"/>
      <c r="J64" s="3595"/>
      <c r="K64" s="1332" t="s">
        <v>1381</v>
      </c>
      <c r="L64" s="1332">
        <f ca="1">IF(M49&gt;2000,M49*0.5%,IF(AND(M49&gt;1000,M49&lt;=2000),M49*0.6%,IF(AND(M49&gt;500,M49&lt;=1000),M49*0.7%,IF(AND(M49&gt;200,M49&lt;=500),M49*0.8%,IF(AND(M49&gt;100,M49&lt;=200),M49*0.9%,IF(AND(M49&gt;50,M49&lt;=100),M49*1%,IF(AND(M49&gt;20,M49&lt;=50),M49*1.5%,IF(AND(M49&gt;10,M49&lt;=20),M49*2%,IF(AND(M49&gt;1,M49&lt;=10),M49*2.5%)))))))))</f>
        <v>39.44</v>
      </c>
      <c r="M64" s="302">
        <f t="shared" ref="M64:M65" ca="1" si="1">ROUND(L64,1)</f>
        <v>39.4</v>
      </c>
      <c r="N64" s="2539" t="s">
        <v>1382</v>
      </c>
      <c r="Z64" s="1752"/>
      <c r="AI64" s="1753"/>
    </row>
    <row r="65" spans="1:35" ht="14.25" hidden="1" customHeight="1">
      <c r="A65" s="169" t="s">
        <v>326</v>
      </c>
      <c r="B65" s="170" t="s">
        <v>1383</v>
      </c>
      <c r="C65" s="2561"/>
      <c r="D65" s="170"/>
      <c r="E65" s="172"/>
      <c r="F65" s="1808"/>
      <c r="G65" s="1808"/>
      <c r="H65" s="1810"/>
      <c r="I65" s="129"/>
      <c r="J65" s="3595"/>
      <c r="K65" s="1332" t="s">
        <v>1384</v>
      </c>
      <c r="L65" s="1332">
        <f ca="1">IF(M49&gt;1000,M49*0.1%,IF(AND(M49&gt;500,M49&lt;=1000),M49*0.5%,IF(AND(M49&gt;50,M49&lt;=500),M49*1%,IF(AND(M49&gt;1,M49&lt;=50),M49*1.5%))))</f>
        <v>7.8879999999999999</v>
      </c>
      <c r="M65" s="302">
        <f t="shared" ca="1" si="1"/>
        <v>7.9</v>
      </c>
      <c r="N65" s="2539" t="s">
        <v>1382</v>
      </c>
      <c r="Z65" s="1752"/>
      <c r="AI65" s="1753"/>
    </row>
    <row r="66" spans="1:35" ht="14.25" hidden="1" customHeight="1">
      <c r="A66" s="173" t="s">
        <v>327</v>
      </c>
      <c r="B66" s="174" t="s">
        <v>1385</v>
      </c>
      <c r="C66" s="2562"/>
      <c r="D66" s="174" t="s">
        <v>26</v>
      </c>
      <c r="E66" s="1338" t="s">
        <v>671</v>
      </c>
      <c r="F66" s="1808"/>
      <c r="G66" s="1808"/>
      <c r="H66" s="1810"/>
      <c r="I66" s="129"/>
      <c r="J66" s="3595"/>
      <c r="K66" s="1332" t="s">
        <v>1386</v>
      </c>
      <c r="L66" s="1332">
        <f ca="1">M49*0.5%</f>
        <v>39.44</v>
      </c>
      <c r="M66" s="302">
        <f ca="1">IF(L66&gt;0.5,0.5,ROUND(L66,0))</f>
        <v>0.5</v>
      </c>
      <c r="N66" s="2539" t="s">
        <v>1387</v>
      </c>
      <c r="Z66" s="1752"/>
      <c r="AI66" s="1753"/>
    </row>
    <row r="67" spans="1:35" ht="14.25" hidden="1" customHeight="1">
      <c r="A67" s="173" t="s">
        <v>328</v>
      </c>
      <c r="B67" s="174" t="s">
        <v>1388</v>
      </c>
      <c r="C67" s="2563">
        <f ca="1">C63-C66</f>
        <v>7512</v>
      </c>
      <c r="D67" s="170" t="s">
        <v>26</v>
      </c>
      <c r="E67" s="172"/>
      <c r="F67" s="1808"/>
      <c r="G67" s="1808"/>
      <c r="H67" s="1810"/>
      <c r="I67" s="129"/>
      <c r="J67" s="3595"/>
      <c r="K67" s="1332" t="s">
        <v>1389</v>
      </c>
      <c r="L67" s="1332">
        <f ca="1">IF(M49&gt;=10000,(8.25+(M49-10000)*0.01%),IF(AND(M49&gt;=8000,M49&lt;10000),(7.85+(M49-8000)*0.02%),IF(AND(M49&gt;=5000,M49&lt;8000),(6.65+(M49-5000)*0.04%),IF(AND(M49&gt;=2000,M49&lt;5000),(4.25+(PM49-2000)*0.08%),IF(AND(M49&gt;=1000,M49&lt;2000),(2.75+(M49-1000)*0.15%),IF(AND(M49&gt;=100,M49&lt;1000),(0.5+(M49-100)*0.25%),IF(AND(M49&gt;0,M49&lt;100),M49*0.5%)))))))</f>
        <v>7.8052000000000001</v>
      </c>
      <c r="M67" s="302">
        <f ca="1">ROUND(L67*0.9,1)</f>
        <v>7</v>
      </c>
      <c r="N67" s="2538"/>
      <c r="Z67" s="1752"/>
      <c r="AI67" s="1753"/>
    </row>
    <row r="68" spans="1:35" ht="14.25" hidden="1" customHeight="1" thickBot="1">
      <c r="A68" s="176" t="s">
        <v>329</v>
      </c>
      <c r="B68" s="177" t="s">
        <v>1390</v>
      </c>
      <c r="C68" s="2564">
        <f ca="1">IF(C67&lt;=0,0,ROUND(C67*D68,0))</f>
        <v>421</v>
      </c>
      <c r="D68" s="2565">
        <f>'数据-取费表'!B41</f>
        <v>5.6000000000000001E-2</v>
      </c>
      <c r="E68" s="178"/>
      <c r="F68" s="1808"/>
      <c r="G68" s="1808"/>
      <c r="H68" s="1810"/>
      <c r="I68" s="129"/>
      <c r="J68" s="3595"/>
      <c r="K68" s="1332" t="s">
        <v>1391</v>
      </c>
      <c r="L68" s="1332">
        <f ca="1">IF(M49&gt;10000,M49*0.5%,IF(AND(M49&gt;5000,M49&lt;=10000),M49*1%,IF(AND(M49&gt;1000,M49&lt;=5000),M49*2%,IF(AND(M49&gt;200,M49&lt;=1000),M49*3%,M49*5%))))</f>
        <v>78.88</v>
      </c>
      <c r="M68" s="302">
        <f ca="1">ROUND(L68,1)</f>
        <v>78.900000000000006</v>
      </c>
      <c r="N68" s="2538"/>
      <c r="Z68" s="1752"/>
      <c r="AI68" s="1753"/>
    </row>
    <row r="69" spans="1:35" s="1772" customFormat="1" ht="16.5" hidden="1" customHeight="1">
      <c r="A69" s="1811"/>
      <c r="B69" s="1812"/>
      <c r="C69" s="1813"/>
      <c r="D69" s="1814"/>
      <c r="E69" s="1815"/>
      <c r="F69" s="1578"/>
      <c r="G69" s="1578"/>
      <c r="H69" s="1577"/>
      <c r="I69" s="1747"/>
      <c r="J69" s="3595"/>
      <c r="K69" s="1332" t="s">
        <v>1392</v>
      </c>
      <c r="L69" s="1332"/>
      <c r="M69" s="302">
        <f ca="1">ROUND(SUM(M63:M68),0)</f>
        <v>213</v>
      </c>
      <c r="N69" s="2540">
        <f ca="1">M69/M49</f>
        <v>2.7003042596348885E-2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9" t="s">
        <v>1393</v>
      </c>
      <c r="B70" s="3640"/>
      <c r="C70" s="3640"/>
      <c r="D70" s="3640"/>
      <c r="E70" s="3640"/>
      <c r="F70" s="3640"/>
      <c r="G70" s="3640"/>
      <c r="H70" s="3640"/>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31" t="s">
        <v>1374</v>
      </c>
      <c r="B71" s="3632"/>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3">
        <f ca="1">ROUND(D45/(1+'数据-取费表'!C42),0)</f>
        <v>7512</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3">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636" t="s">
        <v>1401</v>
      </c>
      <c r="F76" s="3635"/>
      <c r="G76" s="3635"/>
      <c r="H76" s="363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45</v>
      </c>
      <c r="D78" s="2572">
        <f>'数据-取费表'!B43</f>
        <v>6.000000000000001E-3</v>
      </c>
      <c r="E78" s="3628" t="s">
        <v>1405</v>
      </c>
      <c r="F78" s="3629"/>
      <c r="G78" s="3629"/>
      <c r="H78" s="363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3">
        <f ca="1">C72-C73</f>
        <v>7467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165.93333333333334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4">
        <f ca="1">ROUND(IF(C79&lt;=0,0,IF(C80&gt;=200%,C79*60%-C73*35%,IF(C80&gt;=100%,C79*50%-C73*15%,IF(C80&gt;=50%,C79*40%-C73*5%,IF(C80&lt;50%,C79*30%,0))))),0)</f>
        <v>4464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9" t="s">
        <v>1409</v>
      </c>
      <c r="B83" s="3640"/>
      <c r="C83" s="3640"/>
      <c r="D83" s="3640"/>
      <c r="E83" s="3640"/>
      <c r="F83" s="3640"/>
      <c r="G83" s="3640"/>
      <c r="H83" s="364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31" t="s">
        <v>1374</v>
      </c>
      <c r="B84" s="363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3">
        <f ca="1">ROUND(D45/(1+'数据-取费表'!C42),0)</f>
        <v>7512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3">
        <f ca="1">IF(H88="仅含出让金",C87+C90+C91+C92+C93+C94,C87+C91+C92+C93+C94)</f>
        <v>45</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7"/>
      <c r="D90" s="2572"/>
      <c r="E90" s="193" t="str">
        <f>IF(H88="-","土地取得成本中已包含该笔费用"," ")</f>
        <v xml:space="preserve"> </v>
      </c>
      <c r="F90" s="2327"/>
      <c r="G90" s="3597" t="s">
        <v>2128</v>
      </c>
      <c r="H90" s="3598"/>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628" t="s">
        <v>1418</v>
      </c>
      <c r="F91" s="3629"/>
      <c r="G91" s="362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628" t="s">
        <v>1421</v>
      </c>
      <c r="F92" s="3629"/>
      <c r="G92" s="3629"/>
      <c r="H92" s="3630"/>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45</v>
      </c>
      <c r="D93" s="2572">
        <f>'数据-取费表'!B43</f>
        <v>6.000000000000001E-3</v>
      </c>
      <c r="E93" s="3628" t="s">
        <v>1405</v>
      </c>
      <c r="F93" s="3629"/>
      <c r="G93" s="3629"/>
      <c r="H93" s="363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673" t="s">
        <v>1425</v>
      </c>
      <c r="F94" s="3674"/>
      <c r="G94" s="3674"/>
      <c r="H94" s="36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3">
        <f ca="1">ROUND(C85-C86,0)</f>
        <v>7467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165.93333333333334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4">
        <f ca="1">ROUND(IF(C95&lt;=0,0,IF(C96&gt;=200%,C95*60%-C86*35%,IF(C96&gt;=100%,C95*50%-C86*15%,IF(C96&gt;=50%,C95*40%-C86*5%,IF(C96&lt;50%,C95*30%,0))))),0)</f>
        <v>4464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8" t="s">
        <v>1427</v>
      </c>
      <c r="B100" s="3579"/>
      <c r="C100" s="3579"/>
      <c r="D100" s="3613"/>
      <c r="E100" s="3579" t="s">
        <v>1428</v>
      </c>
      <c r="F100" s="3579"/>
      <c r="G100" s="3579"/>
      <c r="H100" s="3613"/>
      <c r="I100" s="129"/>
    </row>
    <row r="101" spans="1:35" ht="18.75" customHeight="1">
      <c r="A101" s="3621" t="s">
        <v>1429</v>
      </c>
      <c r="B101" s="3622"/>
      <c r="C101" s="2580" t="str">
        <f>C4</f>
        <v>比较法-商业</v>
      </c>
      <c r="D101" s="2581" t="str">
        <f>D4</f>
        <v>收益法（汇总）</v>
      </c>
      <c r="E101" s="3591" t="s">
        <v>1430</v>
      </c>
      <c r="F101" s="3592"/>
      <c r="G101" s="1827" t="s">
        <v>1431</v>
      </c>
      <c r="H101" s="2590">
        <f ca="1">H118</f>
        <v>7888</v>
      </c>
      <c r="I101" s="129"/>
    </row>
    <row r="102" spans="1:35" ht="18.75" customHeight="1">
      <c r="A102" s="3623" t="s">
        <v>1432</v>
      </c>
      <c r="B102" s="2579" t="s">
        <v>1431</v>
      </c>
      <c r="C102" s="2580">
        <f ca="1">IF(D32="楼面单价",ROUND(C19,0),C19)</f>
        <v>9059.8425999999999</v>
      </c>
      <c r="D102" s="2581">
        <f ca="1">IF(D32="楼面单价",ROUND(D19,0),D19)</f>
        <v>5155.2885999999999</v>
      </c>
      <c r="E102" s="3591"/>
      <c r="F102" s="3592"/>
      <c r="G102" s="1827" t="s">
        <v>1433</v>
      </c>
      <c r="H102" s="2550">
        <f ca="1">I118</f>
        <v>69246</v>
      </c>
      <c r="I102" s="129"/>
    </row>
    <row r="103" spans="1:35" ht="42.75" customHeight="1">
      <c r="A103" s="3623"/>
      <c r="B103" s="2579" t="s">
        <v>1433</v>
      </c>
      <c r="C103" s="2582">
        <f ca="1">C20</f>
        <v>79533</v>
      </c>
      <c r="D103" s="2583">
        <f ca="1">D20</f>
        <v>45256</v>
      </c>
      <c r="E103" s="3584" t="s">
        <v>1434</v>
      </c>
      <c r="F103" s="3585"/>
      <c r="G103" s="1828" t="s">
        <v>1435</v>
      </c>
      <c r="H103" s="2590">
        <f>IF(D36="正常操作",H104+H105+H106,H105+H106)</f>
        <v>0</v>
      </c>
      <c r="I103" s="129"/>
    </row>
    <row r="104" spans="1:35" ht="18.75" customHeight="1">
      <c r="A104" s="3623" t="s">
        <v>1436</v>
      </c>
      <c r="B104" s="2584" t="s">
        <v>1431</v>
      </c>
      <c r="C104" s="2585">
        <f ca="1">H118</f>
        <v>7888</v>
      </c>
      <c r="D104" s="2586"/>
      <c r="E104" s="1674" t="s">
        <v>1437</v>
      </c>
      <c r="F104" s="1666"/>
      <c r="G104" s="1828" t="s">
        <v>1435</v>
      </c>
      <c r="H104" s="2591">
        <f>IF(D36="同一抵押权人同一抵押物续贷",C36&amp;"（续贷，未扣减，详见特别提示）",C36)</f>
        <v>0</v>
      </c>
      <c r="I104" s="129"/>
    </row>
    <row r="105" spans="1:35" ht="18.75" customHeight="1" thickBot="1">
      <c r="A105" s="3633"/>
      <c r="B105" s="2587" t="s">
        <v>1433</v>
      </c>
      <c r="C105" s="2588">
        <f ca="1">I118</f>
        <v>69246</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24" t="str">
        <f>IF(项目基本情况!E8="已注销","——","3.房地产抵押价值")</f>
        <v>3.房地产抵押价值</v>
      </c>
      <c r="F107" s="3592"/>
      <c r="G107" s="1827" t="s">
        <v>1431</v>
      </c>
      <c r="H107" s="2590">
        <f ca="1">IF(E107="——","——",H101-H103)</f>
        <v>7888</v>
      </c>
      <c r="I107" s="129"/>
    </row>
    <row r="108" spans="1:35" ht="18.75" customHeight="1">
      <c r="A108" s="129"/>
      <c r="B108" s="129"/>
      <c r="C108" s="129"/>
      <c r="D108" s="129"/>
      <c r="E108" s="3624"/>
      <c r="F108" s="3592"/>
      <c r="G108" s="1827" t="s">
        <v>1433</v>
      </c>
      <c r="H108" s="2550">
        <f ca="1">IF(H107=H101,H102,ROUND(H107*10000/'数据-汇总表'!E3,0))</f>
        <v>69246</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592"/>
      <c r="G109" s="1827" t="s">
        <v>1431</v>
      </c>
      <c r="H109" s="2593" t="str">
        <f>IF(E109="——","——",H101-H105-H106)</f>
        <v>——</v>
      </c>
      <c r="I109" s="129"/>
    </row>
    <row r="110" spans="1:35" ht="18.75" customHeight="1">
      <c r="A110" s="129"/>
      <c r="B110" s="129"/>
      <c r="C110" s="129"/>
      <c r="D110" s="129"/>
      <c r="E110" s="3624"/>
      <c r="F110" s="3592"/>
      <c r="G110" s="1827" t="s">
        <v>1433</v>
      </c>
      <c r="H110" s="2550"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611"/>
      <c r="G111" s="1827" t="s">
        <v>1431</v>
      </c>
      <c r="H111" s="2590" t="str">
        <f>IF(E111="——","——",N59)</f>
        <v>——</v>
      </c>
      <c r="I111" s="129"/>
    </row>
    <row r="112" spans="1:35" ht="18.75" customHeight="1" thickBot="1">
      <c r="A112" s="129"/>
      <c r="B112" s="129"/>
      <c r="C112" s="129"/>
      <c r="D112" s="129"/>
      <c r="E112" s="3626"/>
      <c r="F112" s="3627"/>
      <c r="G112" s="1830" t="s">
        <v>1433</v>
      </c>
      <c r="H112" s="2594" t="str">
        <f>IF(E111="——","——",N61)</f>
        <v>——</v>
      </c>
      <c r="I112" s="129"/>
    </row>
    <row r="113" spans="1:27" ht="18.75" customHeight="1">
      <c r="A113" s="129"/>
      <c r="B113" s="129"/>
      <c r="C113" s="129"/>
      <c r="D113" s="129"/>
      <c r="E113" s="3634" t="s">
        <v>1439</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2" t="s">
        <v>1441</v>
      </c>
      <c r="B115" s="3643"/>
      <c r="C115" s="3643"/>
      <c r="D115" s="3643"/>
      <c r="E115" s="3643"/>
      <c r="F115" s="3643"/>
      <c r="G115" s="3643"/>
      <c r="H115" s="3643"/>
      <c r="I115" s="3644"/>
    </row>
    <row r="116" spans="1:27" ht="27" customHeight="1">
      <c r="A116" s="3599" t="s">
        <v>1442</v>
      </c>
      <c r="B116" s="3603" t="s">
        <v>1443</v>
      </c>
      <c r="C116" s="3603" t="s">
        <v>1444</v>
      </c>
      <c r="D116" s="3609" t="s">
        <v>1445</v>
      </c>
      <c r="E116" s="3610"/>
      <c r="F116" s="3641" t="s">
        <v>1446</v>
      </c>
      <c r="G116" s="3641"/>
      <c r="H116" s="3599" t="s">
        <v>1447</v>
      </c>
      <c r="I116" s="3599"/>
    </row>
    <row r="117" spans="1:27" ht="18.75" customHeight="1">
      <c r="A117" s="3599"/>
      <c r="B117" s="3604"/>
      <c r="C117" s="3604"/>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7888</v>
      </c>
      <c r="I118" s="2329">
        <f ca="1">ROUND(IF(D32="楼面单价",C32,H118*10000/B118),0)</f>
        <v>69246</v>
      </c>
    </row>
    <row r="119" spans="1:27" ht="18.75" customHeight="1">
      <c r="A119" s="3599" t="s">
        <v>1451</v>
      </c>
      <c r="B119" s="3599"/>
      <c r="C119" s="3599"/>
      <c r="D119" s="3605" t="e">
        <f ca="1">NUMBERSTRING(INT(D118*10000),2)&amp;"元整"</f>
        <v>#REF!</v>
      </c>
      <c r="E119" s="3606"/>
      <c r="F119" s="3605" t="e">
        <f ca="1">NUMBERSTRING(INT(F118*10000),2)&amp;"元整"</f>
        <v>#REF!</v>
      </c>
      <c r="G119" s="3606"/>
      <c r="H119" s="3605" t="str">
        <f ca="1">NUMBERSTRING(INT(H118*10000),2)&amp;"元整"</f>
        <v>柒仟捌佰捌拾捌万元整</v>
      </c>
      <c r="I119" s="3606"/>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1451</v>
      </c>
      <c r="B121" s="3607"/>
      <c r="C121" s="3606"/>
      <c r="D121" s="3605" t="str">
        <f>IF(D120=0,"零元整",NUMBERSTRING(INT(D120*10000),2)&amp;"元整")</f>
        <v>零元整</v>
      </c>
      <c r="E121" s="3607"/>
      <c r="F121" s="3607"/>
      <c r="G121" s="3607"/>
      <c r="H121" s="3607"/>
      <c r="I121" s="3606"/>
      <c r="AA121" s="725"/>
    </row>
    <row r="122" spans="1:27" ht="18.75" customHeight="1">
      <c r="A122" s="3611" t="str">
        <f>IF(项目基本情况!B9="房地产市场价值","",MID(E107,3,LEN(E107)-2))</f>
        <v>房地产抵押价值</v>
      </c>
      <c r="B122" s="3611"/>
      <c r="C122" s="3611"/>
      <c r="D122" s="3600">
        <f ca="1">H107</f>
        <v>7888</v>
      </c>
      <c r="E122" s="3601"/>
      <c r="F122" s="3601"/>
      <c r="G122" s="3601"/>
      <c r="H122" s="3601"/>
      <c r="I122" s="3602"/>
      <c r="AA122" s="725"/>
    </row>
    <row r="123" spans="1:27" ht="18.75" customHeight="1">
      <c r="A123" s="3599" t="s">
        <v>1451</v>
      </c>
      <c r="B123" s="3599"/>
      <c r="C123" s="3599"/>
      <c r="D123" s="3605" t="str">
        <f ca="1">NUMBERSTRING(INT(D122*10000),2)&amp;"元整"</f>
        <v>柒仟捌佰捌拾捌万元整</v>
      </c>
      <c r="E123" s="3607"/>
      <c r="F123" s="3607"/>
      <c r="G123" s="3607"/>
      <c r="H123" s="3607"/>
      <c r="I123" s="3606"/>
      <c r="AA123" s="725"/>
    </row>
    <row r="124" spans="1:27" ht="18.75" customHeight="1">
      <c r="A124" s="3611" t="str">
        <f>IF(项目基本情况!B9="房地产市场价值","",MID(E109,3,LEN(E109)-2))</f>
        <v/>
      </c>
      <c r="B124" s="3611"/>
      <c r="C124" s="3611"/>
      <c r="D124" s="3600" t="str">
        <f>H109</f>
        <v>——</v>
      </c>
      <c r="E124" s="3601"/>
      <c r="F124" s="3601"/>
      <c r="G124" s="3601"/>
      <c r="H124" s="3601"/>
      <c r="I124" s="3602"/>
      <c r="AA124" s="725"/>
    </row>
    <row r="125" spans="1:27" ht="18.75" customHeight="1">
      <c r="A125" s="3599" t="s">
        <v>1451</v>
      </c>
      <c r="B125" s="3599"/>
      <c r="C125" s="3599"/>
      <c r="D125" s="3605" t="e">
        <f>NUMBERSTRING(INT(D124*10000),2)&amp;"元整"</f>
        <v>#VALUE!</v>
      </c>
      <c r="E125" s="3607"/>
      <c r="F125" s="3607"/>
      <c r="G125" s="3607"/>
      <c r="H125" s="3607"/>
      <c r="I125" s="3606"/>
      <c r="AA125" s="725"/>
    </row>
    <row r="126" spans="1:27" ht="18.75" customHeight="1">
      <c r="A126" s="3611" t="str">
        <f>IF(项目基本情况!B9="房地产市场价值","",MID(E111,3,LEN(E111)-2))</f>
        <v/>
      </c>
      <c r="B126" s="3611"/>
      <c r="C126" s="3611"/>
      <c r="D126" s="3600" t="str">
        <f>H111</f>
        <v>——</v>
      </c>
      <c r="E126" s="3601"/>
      <c r="F126" s="3601"/>
      <c r="G126" s="3601"/>
      <c r="H126" s="3601"/>
      <c r="I126" s="3602"/>
      <c r="AA126" s="725"/>
    </row>
    <row r="127" spans="1:27" ht="18.75" customHeight="1">
      <c r="A127" s="3599" t="s">
        <v>1451</v>
      </c>
      <c r="B127" s="3599"/>
      <c r="C127" s="3599"/>
      <c r="D127" s="3605" t="e">
        <f>NUMBERSTRING(INT(D126*10000),2)&amp;"元整"</f>
        <v>#VALUE!</v>
      </c>
      <c r="E127" s="3607"/>
      <c r="F127" s="3607"/>
      <c r="G127" s="3607"/>
      <c r="H127" s="3607"/>
      <c r="I127" s="3606"/>
      <c r="AA127" s="725"/>
    </row>
    <row r="128" spans="1:27" ht="21.75" customHeight="1">
      <c r="A128" s="3608" t="s">
        <v>1452</v>
      </c>
      <c r="B128" s="3608"/>
      <c r="C128" s="3608"/>
      <c r="D128" s="3608"/>
      <c r="E128" s="3608"/>
      <c r="F128" s="3608"/>
      <c r="G128" s="3608"/>
      <c r="H128" s="3608"/>
      <c r="I128" s="360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90" zoomScaleNormal="70" zoomScaleSheetLayoutView="90" workbookViewId="0">
      <selection activeCell="H39" sqref="H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t="s">
        <v>3389</v>
      </c>
      <c r="F1" s="1879" t="s">
        <v>3390</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9059.8425999999999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79533</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81" t="s">
        <v>1771</v>
      </c>
      <c r="AC4" s="3678" t="s">
        <v>1772</v>
      </c>
    </row>
    <row r="5" spans="1:29" ht="15">
      <c r="A5" s="358"/>
      <c r="B5" s="359"/>
      <c r="C5" s="3690" t="s">
        <v>3440</v>
      </c>
      <c r="D5" s="3691"/>
      <c r="E5" s="3688" t="str">
        <f>案例!A2</f>
        <v>珠市口东大街</v>
      </c>
      <c r="F5" s="3689"/>
      <c r="G5" s="3694" t="str">
        <f>案例!A3</f>
        <v>北京汇</v>
      </c>
      <c r="H5" s="3691"/>
      <c r="I5" s="3694" t="str">
        <f>案例!A4</f>
        <v>幸福家园三期</v>
      </c>
      <c r="J5" s="3691"/>
      <c r="K5" s="559"/>
      <c r="L5" s="2710"/>
      <c r="M5" s="2711"/>
      <c r="N5" s="2711"/>
      <c r="O5" s="2711"/>
      <c r="P5" s="3704"/>
      <c r="Q5" s="3705"/>
      <c r="R5" s="3686"/>
      <c r="S5" s="3687"/>
      <c r="T5" s="3686"/>
      <c r="U5" s="3687"/>
      <c r="V5" s="3681"/>
      <c r="W5" s="3681"/>
      <c r="X5" s="1355"/>
      <c r="Y5" s="3686"/>
      <c r="Z5" s="3687"/>
      <c r="AA5" s="3679"/>
      <c r="AB5" s="3681"/>
      <c r="AC5" s="3679"/>
    </row>
    <row r="6" spans="1:29" ht="15.75" thickBot="1">
      <c r="A6" s="360"/>
      <c r="B6" s="361"/>
      <c r="C6" s="3692" t="s">
        <v>1676</v>
      </c>
      <c r="D6" s="3693"/>
      <c r="E6" s="3695" t="s">
        <v>1676</v>
      </c>
      <c r="F6" s="3696"/>
      <c r="G6" s="3692" t="s">
        <v>1676</v>
      </c>
      <c r="H6" s="3693"/>
      <c r="I6" s="3692" t="s">
        <v>1676</v>
      </c>
      <c r="J6" s="3693"/>
      <c r="K6" s="559" t="s">
        <v>1677</v>
      </c>
      <c r="L6" s="2710"/>
      <c r="M6" s="2711"/>
      <c r="N6" s="2711"/>
      <c r="O6" s="2711"/>
      <c r="P6" s="3706"/>
      <c r="Q6" s="3707"/>
      <c r="R6" s="3686"/>
      <c r="S6" s="3687"/>
      <c r="T6" s="3708"/>
      <c r="U6" s="3709"/>
      <c r="V6" s="3681"/>
      <c r="W6" s="3681"/>
      <c r="X6" s="1355"/>
      <c r="Y6" s="3708"/>
      <c r="Z6" s="3709"/>
      <c r="AA6" s="3680"/>
      <c r="AB6" s="3681"/>
      <c r="AC6" s="3680"/>
    </row>
    <row r="7" spans="1:29" s="108" customFormat="1" ht="15.7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682" t="s">
        <v>1679</v>
      </c>
      <c r="Q7" s="3710"/>
      <c r="R7" s="701" t="s">
        <v>14</v>
      </c>
      <c r="S7" s="702">
        <f t="shared" ref="S7:S15" si="0">F7</f>
        <v>100</v>
      </c>
      <c r="T7" s="701" t="s">
        <v>14</v>
      </c>
      <c r="U7" s="702">
        <f t="shared" ref="U7:U15" si="1">H7</f>
        <v>100</v>
      </c>
      <c r="V7" s="701" t="s">
        <v>14</v>
      </c>
      <c r="W7" s="702">
        <f t="shared" ref="W7:W15" si="2">J7</f>
        <v>100</v>
      </c>
      <c r="X7" s="703"/>
      <c r="Y7" s="3682" t="s">
        <v>1679</v>
      </c>
      <c r="Z7" s="3683"/>
      <c r="AA7" s="704">
        <f>D7/F7</f>
        <v>1</v>
      </c>
      <c r="AB7" s="704">
        <f>D7/H7</f>
        <v>1</v>
      </c>
      <c r="AC7" s="704">
        <f>D7/J7</f>
        <v>1</v>
      </c>
    </row>
    <row r="8" spans="1:29" s="108" customFormat="1" ht="15.75" thickBot="1">
      <c r="A8" s="362" t="s">
        <v>1680</v>
      </c>
      <c r="B8" s="363"/>
      <c r="C8" s="368" t="s">
        <v>3441</v>
      </c>
      <c r="D8" s="365">
        <v>100</v>
      </c>
      <c r="E8" s="368" t="s">
        <v>3441</v>
      </c>
      <c r="F8" s="367">
        <f>SUMIF(61:61,E8,62:62)-SUMIF(61:61,C8,62:62)+100</f>
        <v>100</v>
      </c>
      <c r="G8" s="368" t="s">
        <v>3441</v>
      </c>
      <c r="H8" s="365">
        <f>SUMIF(61:61,G8,62:62)-SUMIF(61:61,C8,62:62)+100</f>
        <v>100</v>
      </c>
      <c r="I8" s="368" t="s">
        <v>3441</v>
      </c>
      <c r="J8" s="365">
        <f>SUMIF(61:61,I8,62:62)-SUMIF(61:61,C8,62:62)+100</f>
        <v>100</v>
      </c>
      <c r="K8" s="560"/>
      <c r="L8" s="2712"/>
      <c r="M8" s="2713"/>
      <c r="N8" s="2713"/>
      <c r="O8" s="2713"/>
      <c r="P8" s="3682" t="s">
        <v>1682</v>
      </c>
      <c r="Q8" s="3683"/>
      <c r="R8" s="701" t="s">
        <v>14</v>
      </c>
      <c r="S8" s="702">
        <f t="shared" si="0"/>
        <v>100</v>
      </c>
      <c r="T8" s="701" t="s">
        <v>14</v>
      </c>
      <c r="U8" s="702">
        <f t="shared" si="1"/>
        <v>100</v>
      </c>
      <c r="V8" s="701" t="s">
        <v>14</v>
      </c>
      <c r="W8" s="702">
        <f t="shared" si="2"/>
        <v>100</v>
      </c>
      <c r="X8" s="703"/>
      <c r="Y8" s="3682" t="s">
        <v>1682</v>
      </c>
      <c r="Z8" s="3683"/>
      <c r="AA8" s="704">
        <f t="shared" ref="AA8:AA46" si="3">D8/F8</f>
        <v>1</v>
      </c>
      <c r="AB8" s="704">
        <f t="shared" ref="AB8:AB46" si="4">D8/H8</f>
        <v>1</v>
      </c>
      <c r="AC8" s="704">
        <f t="shared" ref="AC8:AC46" si="5">D8/J8</f>
        <v>1</v>
      </c>
    </row>
    <row r="9" spans="1:29" s="108" customFormat="1">
      <c r="A9" s="369" t="s">
        <v>1683</v>
      </c>
      <c r="B9" s="63" t="s">
        <v>1684</v>
      </c>
      <c r="C9" s="3471" t="s">
        <v>3480</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7"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29" s="378" customFormat="1" ht="27">
      <c r="A10" s="374"/>
      <c r="B10" s="375" t="s">
        <v>1687</v>
      </c>
      <c r="C10" s="3429" t="str">
        <f>E65</f>
        <v>10-20（含）</v>
      </c>
      <c r="D10" s="127">
        <v>100</v>
      </c>
      <c r="E10" s="3430" t="str">
        <f>C10</f>
        <v>10-20（含）</v>
      </c>
      <c r="F10" s="376">
        <f>SUMIF(65:65,E10,66:66)-SUMIF(65:65,C10,66:66)+100</f>
        <v>100</v>
      </c>
      <c r="G10" s="3429" t="str">
        <f>D65</f>
        <v>20-30（含）</v>
      </c>
      <c r="H10" s="127">
        <f>SUMIF(65:65,G10,66:66)-SUMIF(65:65,C10,66:66)+100</f>
        <v>105</v>
      </c>
      <c r="I10" s="3429" t="str">
        <f>G10</f>
        <v>20-30（含）</v>
      </c>
      <c r="J10" s="127">
        <f>SUMIF(65:65,I10,66:66)-SUMIF(65:65,C10,66:66)+100</f>
        <v>105</v>
      </c>
      <c r="K10" s="560"/>
      <c r="L10" s="2714"/>
      <c r="M10" s="2715"/>
      <c r="N10" s="2715"/>
      <c r="O10" s="2715"/>
      <c r="P10" s="3697"/>
      <c r="Q10" s="1343" t="str">
        <f t="shared" si="6"/>
        <v>土地使用年限（年）</v>
      </c>
      <c r="R10" s="701" t="s">
        <v>14</v>
      </c>
      <c r="S10" s="702">
        <f t="shared" si="0"/>
        <v>100</v>
      </c>
      <c r="T10" s="701" t="s">
        <v>14</v>
      </c>
      <c r="U10" s="702">
        <f t="shared" si="1"/>
        <v>105</v>
      </c>
      <c r="V10" s="701" t="s">
        <v>14</v>
      </c>
      <c r="W10" s="702">
        <f t="shared" si="2"/>
        <v>105</v>
      </c>
      <c r="X10" s="703"/>
      <c r="Y10" s="3654"/>
      <c r="Z10" s="52" t="str">
        <f t="shared" si="7"/>
        <v>土地使用年限（年）</v>
      </c>
      <c r="AA10" s="704">
        <f t="shared" si="3"/>
        <v>1</v>
      </c>
      <c r="AB10" s="704">
        <f t="shared" si="4"/>
        <v>0.95238095238095233</v>
      </c>
      <c r="AC10" s="704">
        <f t="shared" si="5"/>
        <v>0.95238095238095233</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7"/>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7"/>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7"/>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7"/>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3418</v>
      </c>
      <c r="F15" s="394">
        <f>SUMIF(76:76,E16,77:77)-SUMIF(76:76,C16,77:77)+100</f>
        <v>100</v>
      </c>
      <c r="G15" s="403" t="s">
        <v>3417</v>
      </c>
      <c r="H15" s="392">
        <f>SUMIF(76:76,G16,77:77)-SUMIF(76:76,C16,77:77)+100</f>
        <v>105</v>
      </c>
      <c r="I15" s="393" t="s">
        <v>3418</v>
      </c>
      <c r="J15" s="392">
        <f>SUMIF(76:76,I16,77:77)-SUMIF(76:76,C16,77:77)+100</f>
        <v>100</v>
      </c>
      <c r="K15" s="563">
        <v>5</v>
      </c>
      <c r="L15" s="2717"/>
      <c r="M15" s="2711"/>
      <c r="N15" s="2711"/>
      <c r="O15" s="2711"/>
      <c r="P15" s="3711" t="s">
        <v>1690</v>
      </c>
      <c r="Q15" s="1352" t="str">
        <f t="shared" si="6"/>
        <v>商业繁华度</v>
      </c>
      <c r="R15" s="705" t="s">
        <v>14</v>
      </c>
      <c r="S15" s="706">
        <f t="shared" si="0"/>
        <v>100</v>
      </c>
      <c r="T15" s="705" t="s">
        <v>14</v>
      </c>
      <c r="U15" s="706">
        <f t="shared" si="1"/>
        <v>105</v>
      </c>
      <c r="V15" s="705" t="s">
        <v>14</v>
      </c>
      <c r="W15" s="706">
        <f t="shared" si="2"/>
        <v>100</v>
      </c>
      <c r="X15" s="1355"/>
      <c r="Y15" s="3713" t="s">
        <v>1690</v>
      </c>
      <c r="Z15" s="1356" t="str">
        <f t="shared" si="7"/>
        <v>商业繁华度</v>
      </c>
      <c r="AA15" s="1353">
        <f t="shared" si="3"/>
        <v>1</v>
      </c>
      <c r="AB15" s="1353">
        <f t="shared" si="4"/>
        <v>0.95238095238095233</v>
      </c>
      <c r="AC15" s="1353">
        <f t="shared" si="5"/>
        <v>1</v>
      </c>
    </row>
    <row r="16" spans="1:29" ht="15">
      <c r="A16" s="379"/>
      <c r="B16" s="397"/>
      <c r="C16" s="398" t="s">
        <v>3418</v>
      </c>
      <c r="D16" s="399"/>
      <c r="E16" s="398" t="s">
        <v>3418</v>
      </c>
      <c r="F16" s="400"/>
      <c r="G16" s="1903" t="s">
        <v>3417</v>
      </c>
      <c r="H16" s="401"/>
      <c r="I16" s="398" t="s">
        <v>3418</v>
      </c>
      <c r="J16" s="399"/>
      <c r="K16" s="564"/>
      <c r="L16" s="2717"/>
      <c r="M16" s="2711"/>
      <c r="N16" s="2711"/>
      <c r="O16" s="2711"/>
      <c r="P16" s="3712"/>
      <c r="Q16" s="1352"/>
      <c r="R16" s="705"/>
      <c r="S16" s="706"/>
      <c r="T16" s="705"/>
      <c r="U16" s="706"/>
      <c r="V16" s="705"/>
      <c r="W16" s="706"/>
      <c r="X16" s="1355"/>
      <c r="Y16" s="3714"/>
      <c r="Z16" s="1356"/>
      <c r="AA16" s="1353">
        <v>1</v>
      </c>
      <c r="AB16" s="1353">
        <v>1</v>
      </c>
      <c r="AC16" s="1353">
        <v>1</v>
      </c>
    </row>
    <row r="17" spans="1:29" ht="15">
      <c r="A17" s="379"/>
      <c r="B17" s="402" t="s">
        <v>1258</v>
      </c>
      <c r="C17" s="1900" t="str">
        <f>估价对象房地状况!C6</f>
        <v>较好</v>
      </c>
      <c r="D17" s="401">
        <v>100</v>
      </c>
      <c r="E17" s="403" t="s">
        <v>3417</v>
      </c>
      <c r="F17" s="404">
        <f>SUMIF(78:78,E18,79:79)-SUMIF(78:78,C18,79:79)+100</f>
        <v>100</v>
      </c>
      <c r="G17" s="403" t="s">
        <v>3417</v>
      </c>
      <c r="H17" s="406">
        <f>SUMIF(78:78,G18,79:79)-SUMIF(78:78,C18,79:79)+100</f>
        <v>100</v>
      </c>
      <c r="I17" s="403" t="s">
        <v>3417</v>
      </c>
      <c r="J17" s="406">
        <f>SUMIF(78:78,I18,79:79)-SUMIF(78:78,C18,79:79)+100</f>
        <v>100</v>
      </c>
      <c r="K17" s="563">
        <v>2</v>
      </c>
      <c r="L17" s="2717"/>
      <c r="M17" s="2711"/>
      <c r="N17" s="2711"/>
      <c r="O17" s="2711"/>
      <c r="P17" s="3712"/>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t="s">
        <v>3417</v>
      </c>
      <c r="D18" s="401"/>
      <c r="E18" s="1903" t="s">
        <v>3417</v>
      </c>
      <c r="F18" s="404"/>
      <c r="G18" s="1903" t="s">
        <v>3417</v>
      </c>
      <c r="H18" s="399"/>
      <c r="I18" s="1903" t="s">
        <v>3417</v>
      </c>
      <c r="J18" s="399"/>
      <c r="K18" s="564"/>
      <c r="L18" s="2717"/>
      <c r="M18" s="2711"/>
      <c r="N18" s="2711"/>
      <c r="O18" s="2711"/>
      <c r="P18" s="3712"/>
      <c r="Q18" s="1352"/>
      <c r="R18" s="705"/>
      <c r="S18" s="706"/>
      <c r="T18" s="705"/>
      <c r="U18" s="706"/>
      <c r="V18" s="705"/>
      <c r="W18" s="706"/>
      <c r="X18" s="1355"/>
      <c r="Y18" s="3714"/>
      <c r="Z18" s="1356"/>
      <c r="AA18" s="1353">
        <v>1</v>
      </c>
      <c r="AB18" s="1353">
        <v>1</v>
      </c>
      <c r="AC18" s="1353">
        <v>1</v>
      </c>
    </row>
    <row r="19" spans="1:29" ht="15">
      <c r="A19" s="379"/>
      <c r="B19" s="402" t="s">
        <v>1777</v>
      </c>
      <c r="C19" s="1900" t="str">
        <f>估价对象房地状况!C7</f>
        <v>较好</v>
      </c>
      <c r="D19" s="406">
        <v>100</v>
      </c>
      <c r="E19" s="408" t="s">
        <v>3417</v>
      </c>
      <c r="F19" s="409">
        <f>SUMIF(80:80,E20,81:81)-SUMIF(80:80,C20,81:81)+100</f>
        <v>100</v>
      </c>
      <c r="G19" s="408" t="s">
        <v>3417</v>
      </c>
      <c r="H19" s="401">
        <f>SUMIF(80:80,G20,81:81)-SUMIF(80:80,C20,81:81)+100</f>
        <v>100</v>
      </c>
      <c r="I19" s="408" t="s">
        <v>3417</v>
      </c>
      <c r="J19" s="401">
        <f>SUMIF(80:80,I20,81:81)-SUMIF(80:80,C20,81:81)+100</f>
        <v>100</v>
      </c>
      <c r="K19" s="563">
        <v>2</v>
      </c>
      <c r="L19" s="2717"/>
      <c r="M19" s="2711"/>
      <c r="N19" s="2711"/>
      <c r="O19" s="2711"/>
      <c r="P19" s="3712"/>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t="s">
        <v>3417</v>
      </c>
      <c r="D20" s="399"/>
      <c r="E20" s="1898" t="s">
        <v>3417</v>
      </c>
      <c r="F20" s="400"/>
      <c r="G20" s="1898" t="s">
        <v>3417</v>
      </c>
      <c r="H20" s="399"/>
      <c r="I20" s="1898" t="s">
        <v>3417</v>
      </c>
      <c r="J20" s="399"/>
      <c r="K20" s="564"/>
      <c r="L20" s="2717"/>
      <c r="M20" s="2711"/>
      <c r="N20" s="2711"/>
      <c r="O20" s="2711"/>
      <c r="P20" s="3712"/>
      <c r="Q20" s="1352"/>
      <c r="R20" s="705"/>
      <c r="S20" s="706"/>
      <c r="T20" s="705"/>
      <c r="U20" s="706"/>
      <c r="V20" s="705"/>
      <c r="W20" s="706"/>
      <c r="X20" s="1355"/>
      <c r="Y20" s="3714"/>
      <c r="Z20" s="1356"/>
      <c r="AA20" s="1353">
        <v>1</v>
      </c>
      <c r="AB20" s="1353">
        <v>1</v>
      </c>
      <c r="AC20" s="1353">
        <v>1</v>
      </c>
    </row>
    <row r="21" spans="1:29" ht="15">
      <c r="A21" s="379"/>
      <c r="B21" s="1131" t="s">
        <v>1778</v>
      </c>
      <c r="C21" s="1900" t="str">
        <f>估价对象房地状况!C8</f>
        <v>七通</v>
      </c>
      <c r="D21" s="406">
        <v>100</v>
      </c>
      <c r="E21" s="408" t="s">
        <v>3438</v>
      </c>
      <c r="F21" s="409">
        <f>SUMIF(82:82,E22,83:83)-SUMIF(82:82,C22,83:83)+100</f>
        <v>100</v>
      </c>
      <c r="G21" s="408" t="s">
        <v>3438</v>
      </c>
      <c r="H21" s="401">
        <f>SUMIF(82:82,G22,83:83)-SUMIF(82:82,C22,83:83)+100</f>
        <v>100</v>
      </c>
      <c r="I21" s="408" t="s">
        <v>3438</v>
      </c>
      <c r="J21" s="401">
        <f>SUMIF(82:82,I22,83:83)-SUMIF(82:82,C22,83:83)+100</f>
        <v>100</v>
      </c>
      <c r="K21" s="563">
        <v>1</v>
      </c>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t="s">
        <v>3438</v>
      </c>
      <c r="D22" s="399"/>
      <c r="E22" s="398" t="s">
        <v>3438</v>
      </c>
      <c r="F22" s="400"/>
      <c r="G22" s="398" t="s">
        <v>3438</v>
      </c>
      <c r="H22" s="399"/>
      <c r="I22" s="398" t="s">
        <v>3438</v>
      </c>
      <c r="J22" s="399"/>
      <c r="K22" s="1130"/>
      <c r="L22" s="2717"/>
      <c r="M22" s="2711"/>
      <c r="N22" s="2711"/>
      <c r="O22" s="2711"/>
      <c r="P22" s="3712"/>
      <c r="Q22" s="1352"/>
      <c r="R22" s="705"/>
      <c r="S22" s="706"/>
      <c r="T22" s="705"/>
      <c r="U22" s="706"/>
      <c r="V22" s="705"/>
      <c r="W22" s="706"/>
      <c r="X22" s="1355"/>
      <c r="Y22" s="3714"/>
      <c r="Z22" s="1356"/>
      <c r="AA22" s="1353">
        <v>1</v>
      </c>
      <c r="AB22" s="1353">
        <v>1</v>
      </c>
      <c r="AC22" s="1353">
        <v>1</v>
      </c>
    </row>
    <row r="23" spans="1:29" ht="15">
      <c r="A23" s="379"/>
      <c r="B23" s="402" t="s">
        <v>1260</v>
      </c>
      <c r="C23" s="1955" t="str">
        <f>估价对象房地状况!C9</f>
        <v>较好</v>
      </c>
      <c r="D23" s="401">
        <v>100</v>
      </c>
      <c r="E23" s="403" t="s">
        <v>3417</v>
      </c>
      <c r="F23" s="404">
        <f>SUMIF(84:84,E24,85:85)-SUMIF(84:84,C24,85:85)+100</f>
        <v>100</v>
      </c>
      <c r="G23" s="403" t="s">
        <v>3417</v>
      </c>
      <c r="H23" s="401">
        <f>SUMIF(84:84,G24,85:85)-SUMIF(84:84,C24,85:85)+100</f>
        <v>100</v>
      </c>
      <c r="I23" s="403" t="s">
        <v>3417</v>
      </c>
      <c r="J23" s="401">
        <f>SUMIF(84:84,I24,85:85)-SUMIF(84:84,C24,85:85)+100</f>
        <v>100</v>
      </c>
      <c r="K23" s="563">
        <v>2</v>
      </c>
      <c r="L23" s="2717"/>
      <c r="M23" s="2711"/>
      <c r="N23" s="2711"/>
      <c r="O23" s="2711"/>
      <c r="P23" s="3712"/>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t="s">
        <v>3417</v>
      </c>
      <c r="D24" s="399"/>
      <c r="E24" s="1898" t="s">
        <v>3417</v>
      </c>
      <c r="F24" s="400"/>
      <c r="G24" s="1898" t="s">
        <v>3417</v>
      </c>
      <c r="H24" s="399"/>
      <c r="I24" s="1898" t="s">
        <v>3417</v>
      </c>
      <c r="J24" s="399"/>
      <c r="K24" s="564"/>
      <c r="L24" s="2717"/>
      <c r="M24" s="2711"/>
      <c r="N24" s="2711"/>
      <c r="O24" s="2711"/>
      <c r="P24" s="3712"/>
      <c r="Q24" s="1352"/>
      <c r="R24" s="705"/>
      <c r="S24" s="706"/>
      <c r="T24" s="705"/>
      <c r="U24" s="706"/>
      <c r="V24" s="705"/>
      <c r="W24" s="706"/>
      <c r="X24" s="1355"/>
      <c r="Y24" s="3714"/>
      <c r="Z24" s="1356"/>
      <c r="AA24" s="1353">
        <v>1</v>
      </c>
      <c r="AB24" s="1353">
        <v>1</v>
      </c>
      <c r="AC24" s="1353">
        <v>1</v>
      </c>
    </row>
    <row r="25" spans="1:29" ht="15">
      <c r="A25" s="379"/>
      <c r="B25" s="375" t="s">
        <v>1779</v>
      </c>
      <c r="C25" s="565" t="s">
        <v>3447</v>
      </c>
      <c r="D25" s="386">
        <v>100</v>
      </c>
      <c r="E25" s="565" t="s">
        <v>3447</v>
      </c>
      <c r="F25" s="412">
        <f>SUMIF(86:86,E25,87:87)-SUMIF(86:86,C25,87:87)+100</f>
        <v>100</v>
      </c>
      <c r="G25" s="565" t="s">
        <v>3447</v>
      </c>
      <c r="H25" s="386">
        <f>SUMIF(86:86,G25,87:87)-SUMIF(86:86,C25,87:87)+100</f>
        <v>100</v>
      </c>
      <c r="I25" s="565" t="s">
        <v>3447</v>
      </c>
      <c r="J25" s="386">
        <f>SUMIF(86:86,I25,87:87)-SUMIF(86:86,C25,87:87)+100</f>
        <v>100</v>
      </c>
      <c r="K25" s="561">
        <v>2</v>
      </c>
      <c r="L25" s="2717"/>
      <c r="M25" s="2711"/>
      <c r="N25" s="2711"/>
      <c r="O25" s="2711"/>
      <c r="P25" s="3712"/>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1780</v>
      </c>
      <c r="C26" s="3472" t="s">
        <v>3450</v>
      </c>
      <c r="D26" s="386">
        <v>100</v>
      </c>
      <c r="E26" s="3472" t="s">
        <v>3450</v>
      </c>
      <c r="F26" s="412">
        <f>SUMIF(88:88,E26,89:89)-SUMIF(88:88,C26,89:89)+100</f>
        <v>100</v>
      </c>
      <c r="G26" s="3472" t="s">
        <v>3450</v>
      </c>
      <c r="H26" s="386">
        <f>SUMIF(88:88,G26,89:89)-SUMIF(88:88,C26,89:89)+100</f>
        <v>100</v>
      </c>
      <c r="I26" s="3472" t="s">
        <v>3450</v>
      </c>
      <c r="J26" s="386">
        <f>SUMIF(88:88,I26,89:89)-SUMIF(88:88,C26,89:89)+100</f>
        <v>100</v>
      </c>
      <c r="K26" s="562"/>
      <c r="L26" s="2717"/>
      <c r="M26" s="2711"/>
      <c r="N26" s="2711"/>
      <c r="O26" s="2711"/>
      <c r="P26" s="3712"/>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1781</v>
      </c>
      <c r="C27" s="1956" t="s">
        <v>3418</v>
      </c>
      <c r="D27" s="413">
        <v>100</v>
      </c>
      <c r="E27" s="1956" t="s">
        <v>3452</v>
      </c>
      <c r="F27" s="415">
        <f>SUMIF(90:90,E27,91:91)-SUMIF(90:90,C27,91:91)+100</f>
        <v>105</v>
      </c>
      <c r="G27" s="1956" t="s">
        <v>3452</v>
      </c>
      <c r="H27" s="413">
        <f>SUMIF(90:90,G27,91:91)-SUMIF(90:90,C27,91:91)+100</f>
        <v>105</v>
      </c>
      <c r="I27" s="1956" t="s">
        <v>3452</v>
      </c>
      <c r="J27" s="413">
        <f>SUMIF(90:90,I27,91:91)-SUMIF(90:90,C27,91:91)+100</f>
        <v>105</v>
      </c>
      <c r="K27" s="561">
        <v>5</v>
      </c>
      <c r="L27" s="2712"/>
      <c r="M27" s="2713"/>
      <c r="N27" s="2713"/>
      <c r="O27" s="2713"/>
      <c r="P27" s="3712"/>
      <c r="Q27" s="1343" t="str">
        <f t="shared" si="11"/>
        <v>人流量</v>
      </c>
      <c r="R27" s="701" t="s">
        <v>14</v>
      </c>
      <c r="S27" s="702">
        <f>F27</f>
        <v>105</v>
      </c>
      <c r="T27" s="701" t="s">
        <v>14</v>
      </c>
      <c r="U27" s="702">
        <f>H27</f>
        <v>105</v>
      </c>
      <c r="V27" s="701" t="s">
        <v>14</v>
      </c>
      <c r="W27" s="702">
        <f>J27</f>
        <v>105</v>
      </c>
      <c r="X27" s="703"/>
      <c r="Y27" s="3714"/>
      <c r="Z27" s="52" t="str">
        <f>Q27</f>
        <v>人流量</v>
      </c>
      <c r="AA27" s="1353">
        <f>D27/F27</f>
        <v>0.95238095238095233</v>
      </c>
      <c r="AB27" s="1353">
        <f>D27/H27</f>
        <v>0.95238095238095233</v>
      </c>
      <c r="AC27" s="1353">
        <f>D27/J27</f>
        <v>0.95238095238095233</v>
      </c>
    </row>
    <row r="28" spans="1:29" ht="15.75" thickBot="1">
      <c r="A28" s="379"/>
      <c r="B28" s="375" t="s">
        <v>1782</v>
      </c>
      <c r="C28" s="565" t="s">
        <v>3484</v>
      </c>
      <c r="D28" s="386">
        <v>100</v>
      </c>
      <c r="E28" s="565" t="s">
        <v>3484</v>
      </c>
      <c r="F28" s="412">
        <f>SUMIF(92:92,E28,93:93)-SUMIF(92:92,C28,93:93)+100</f>
        <v>100</v>
      </c>
      <c r="G28" s="565" t="s">
        <v>3484</v>
      </c>
      <c r="H28" s="386">
        <f>SUMIF(92:92,G28,93:93)-SUMIF(92:92,C28,93:93)+100</f>
        <v>100</v>
      </c>
      <c r="I28" s="565" t="s">
        <v>3484</v>
      </c>
      <c r="J28" s="386">
        <f>SUMIF(92:92,I28,93:93)-SUMIF(92:92,C28,93:93)+100</f>
        <v>100</v>
      </c>
      <c r="K28" s="562"/>
      <c r="L28" s="2717"/>
      <c r="M28" s="2711"/>
      <c r="N28" s="2711"/>
      <c r="O28" s="2711"/>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2"/>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2"/>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2"/>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1693</v>
      </c>
      <c r="B32" s="63" t="s">
        <v>1783</v>
      </c>
      <c r="C32" s="1910" t="s">
        <v>3460</v>
      </c>
      <c r="D32" s="418">
        <v>100</v>
      </c>
      <c r="E32" s="1910" t="s">
        <v>3460</v>
      </c>
      <c r="F32" s="412">
        <f>SUMIF(100:100,E32,101:101)-SUMIF(100:100,C32,101:101)+100</f>
        <v>100</v>
      </c>
      <c r="G32" s="1910" t="s">
        <v>3462</v>
      </c>
      <c r="H32" s="386">
        <f>SUMIF(100:100,G32,101:101)-SUMIF(100:100,C32,101:101)+100</f>
        <v>98</v>
      </c>
      <c r="I32" s="1910" t="s">
        <v>3462</v>
      </c>
      <c r="J32" s="418">
        <f>SUMIF(100:100,I32,101:101)-SUMIF(100:100,C32,101:101)+100</f>
        <v>98</v>
      </c>
      <c r="K32" s="561">
        <v>2</v>
      </c>
      <c r="L32" s="2717"/>
      <c r="M32" s="2711"/>
      <c r="N32" s="2711"/>
      <c r="O32" s="2711"/>
      <c r="P32" s="3715" t="s">
        <v>1695</v>
      </c>
      <c r="Q32" s="1352" t="str">
        <f t="shared" si="11"/>
        <v>商业类型</v>
      </c>
      <c r="R32" s="705" t="s">
        <v>14</v>
      </c>
      <c r="S32" s="706">
        <f t="shared" si="12"/>
        <v>100</v>
      </c>
      <c r="T32" s="705" t="s">
        <v>14</v>
      </c>
      <c r="U32" s="706">
        <f t="shared" si="13"/>
        <v>98</v>
      </c>
      <c r="V32" s="705" t="s">
        <v>14</v>
      </c>
      <c r="W32" s="706">
        <f t="shared" si="14"/>
        <v>98</v>
      </c>
      <c r="X32" s="1355"/>
      <c r="Y32" s="3718"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3474">
        <f>'数据-汇总表'!E3</f>
        <v>1139.1300000000001</v>
      </c>
      <c r="D33" s="127">
        <v>100</v>
      </c>
      <c r="E33" s="3493">
        <f>案例!C2</f>
        <v>102.01</v>
      </c>
      <c r="F33" s="376">
        <f>LOOKUP(E33,103:103,104:104)-LOOKUP(C33,103:103,104:104)+100</f>
        <v>109</v>
      </c>
      <c r="G33" s="3494">
        <f>案例!C3</f>
        <v>348.14</v>
      </c>
      <c r="H33" s="127">
        <f>LOOKUP(G33,103:103,104:104)-LOOKUP(C33,103:103,104:104)+100</f>
        <v>104</v>
      </c>
      <c r="I33" s="3494">
        <f>案例!C4</f>
        <v>79.48</v>
      </c>
      <c r="J33" s="127">
        <f>LOOKUP(I33,103:103,104:104)-LOOKUP(C33,103:103,104:104)+100</f>
        <v>109</v>
      </c>
      <c r="K33" s="562"/>
      <c r="L33" s="2716"/>
      <c r="M33" s="2718"/>
      <c r="N33" s="2718"/>
      <c r="O33" s="2718"/>
      <c r="P33" s="3716"/>
      <c r="Q33" s="707" t="str">
        <f t="shared" si="11"/>
        <v>项目建筑规模</v>
      </c>
      <c r="R33" s="708" t="s">
        <v>14</v>
      </c>
      <c r="S33" s="709">
        <f t="shared" si="12"/>
        <v>109</v>
      </c>
      <c r="T33" s="708" t="s">
        <v>14</v>
      </c>
      <c r="U33" s="709">
        <f t="shared" si="13"/>
        <v>104</v>
      </c>
      <c r="V33" s="708" t="s">
        <v>14</v>
      </c>
      <c r="W33" s="709">
        <f t="shared" si="14"/>
        <v>109</v>
      </c>
      <c r="X33" s="710"/>
      <c r="Y33" s="3718"/>
      <c r="Z33" s="711" t="str">
        <f t="shared" si="15"/>
        <v>项目建筑规模</v>
      </c>
      <c r="AA33" s="1353">
        <f t="shared" si="3"/>
        <v>0.91743119266055051</v>
      </c>
      <c r="AB33" s="1353">
        <f t="shared" si="4"/>
        <v>0.96153846153846156</v>
      </c>
      <c r="AC33" s="1353">
        <f t="shared" si="5"/>
        <v>0.91743119266055051</v>
      </c>
    </row>
    <row r="34" spans="1:29" ht="15">
      <c r="A34" s="423"/>
      <c r="B34" s="375" t="s">
        <v>1697</v>
      </c>
      <c r="C34" s="1912" t="s">
        <v>3392</v>
      </c>
      <c r="D34" s="386">
        <v>100</v>
      </c>
      <c r="E34" s="1912" t="s">
        <v>3392</v>
      </c>
      <c r="F34" s="412">
        <f>SUMIF(105:105,E34,106:106)-SUMIF(105:105,C34,106:106)+100</f>
        <v>100</v>
      </c>
      <c r="G34" s="1912" t="s">
        <v>3392</v>
      </c>
      <c r="H34" s="386">
        <f>SUMIF(105:105,G34,106:106)-SUMIF(105:105,C34,106:106)+100</f>
        <v>100</v>
      </c>
      <c r="I34" s="1912" t="s">
        <v>3392</v>
      </c>
      <c r="J34" s="386">
        <f>SUMIF(105:105,I34,106:106)-SUMIF(105:105,C34,106:106)+100</f>
        <v>100</v>
      </c>
      <c r="K34" s="561">
        <v>2</v>
      </c>
      <c r="L34" s="2717"/>
      <c r="M34" s="2711"/>
      <c r="N34" s="2711"/>
      <c r="O34" s="2711"/>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1784</v>
      </c>
      <c r="C35" s="1906" t="s">
        <v>3465</v>
      </c>
      <c r="D35" s="386">
        <v>100</v>
      </c>
      <c r="E35" s="1906" t="s">
        <v>3465</v>
      </c>
      <c r="F35" s="412">
        <f>SUMIF(107:107,E35,108:108)-SUMIF(107:107,C35,108:108)+100</f>
        <v>100</v>
      </c>
      <c r="G35" s="1906" t="s">
        <v>3465</v>
      </c>
      <c r="H35" s="386">
        <f>SUMIF(107:107,G35,108:108)-SUMIF(107:107,C35,108:108)+100</f>
        <v>100</v>
      </c>
      <c r="I35" s="1906" t="s">
        <v>3465</v>
      </c>
      <c r="J35" s="386">
        <f>SUMIF(107:107,I35,108:108)-SUMIF(107:107,C35,108:108)+100</f>
        <v>100</v>
      </c>
      <c r="K35" s="561">
        <v>2</v>
      </c>
      <c r="L35" s="2717"/>
      <c r="M35" s="2711"/>
      <c r="N35" s="2711"/>
      <c r="O35" s="2711"/>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716"/>
      <c r="Q36" s="1352" t="str">
        <f t="shared" si="11"/>
        <v>成新度</v>
      </c>
      <c r="R36" s="705" t="s">
        <v>14</v>
      </c>
      <c r="S36" s="706">
        <f t="shared" si="12"/>
        <v>100</v>
      </c>
      <c r="T36" s="705" t="s">
        <v>14</v>
      </c>
      <c r="U36" s="706">
        <f t="shared" si="13"/>
        <v>100</v>
      </c>
      <c r="V36" s="705" t="s">
        <v>14</v>
      </c>
      <c r="W36" s="706">
        <f t="shared" si="14"/>
        <v>100</v>
      </c>
      <c r="X36" s="1355"/>
      <c r="Y36" s="3718"/>
      <c r="Z36" s="1356" t="str">
        <f t="shared" si="15"/>
        <v>成新度</v>
      </c>
      <c r="AA36" s="1353">
        <f t="shared" si="3"/>
        <v>1</v>
      </c>
      <c r="AB36" s="1353">
        <f t="shared" si="4"/>
        <v>1</v>
      </c>
      <c r="AC36" s="1353">
        <f t="shared" si="5"/>
        <v>1</v>
      </c>
    </row>
    <row r="37" spans="1:29" s="108" customFormat="1" ht="15">
      <c r="A37" s="424"/>
      <c r="B37" s="375" t="s">
        <v>1786</v>
      </c>
      <c r="C37" s="1906" t="s">
        <v>3485</v>
      </c>
      <c r="D37" s="127">
        <v>100</v>
      </c>
      <c r="E37" s="1906" t="s">
        <v>3485</v>
      </c>
      <c r="F37" s="412">
        <f>SUMIF(112:112,E37,113:113)-SUMIF(112:112,C37,113:113)+100</f>
        <v>100</v>
      </c>
      <c r="G37" s="1906" t="s">
        <v>3486</v>
      </c>
      <c r="H37" s="386">
        <f>SUMIF(112:112,G37,113:113)-SUMIF(112:112,C37,113:113)+100</f>
        <v>101</v>
      </c>
      <c r="I37" s="1906" t="s">
        <v>3486</v>
      </c>
      <c r="J37" s="386">
        <f>SUMIF(112:112,I37,113:113)-SUMIF(112:112,C37,113:113)+100</f>
        <v>101</v>
      </c>
      <c r="K37" s="561">
        <v>1</v>
      </c>
      <c r="L37" s="2712"/>
      <c r="M37" s="2713"/>
      <c r="N37" s="2713"/>
      <c r="O37" s="2713"/>
      <c r="P37" s="3716"/>
      <c r="Q37" s="1343" t="str">
        <f t="shared" si="11"/>
        <v>市政基础设施</v>
      </c>
      <c r="R37" s="701" t="s">
        <v>14</v>
      </c>
      <c r="S37" s="702">
        <f t="shared" si="12"/>
        <v>100</v>
      </c>
      <c r="T37" s="701" t="s">
        <v>14</v>
      </c>
      <c r="U37" s="702">
        <f t="shared" si="13"/>
        <v>101</v>
      </c>
      <c r="V37" s="701" t="s">
        <v>14</v>
      </c>
      <c r="W37" s="702">
        <f t="shared" si="14"/>
        <v>101</v>
      </c>
      <c r="X37" s="703"/>
      <c r="Y37" s="3718"/>
      <c r="Z37" s="52" t="str">
        <f t="shared" si="15"/>
        <v>市政基础设施</v>
      </c>
      <c r="AA37" s="704">
        <f t="shared" si="3"/>
        <v>1</v>
      </c>
      <c r="AB37" s="704">
        <f t="shared" si="4"/>
        <v>0.99009900990099009</v>
      </c>
      <c r="AC37" s="704">
        <f t="shared" si="5"/>
        <v>0.99009900990099009</v>
      </c>
    </row>
    <row r="38" spans="1:29" ht="15">
      <c r="A38" s="423"/>
      <c r="B38" s="375" t="s">
        <v>1787</v>
      </c>
      <c r="C38" s="1906" t="s">
        <v>3472</v>
      </c>
      <c r="D38" s="386">
        <v>100</v>
      </c>
      <c r="E38" s="1906" t="s">
        <v>3472</v>
      </c>
      <c r="F38" s="412">
        <f>SUMIF(114:114,E38,115:115)-SUMIF(114:114,C38,115:115)+100</f>
        <v>100</v>
      </c>
      <c r="G38" s="1906" t="s">
        <v>3472</v>
      </c>
      <c r="H38" s="386">
        <f>SUMIF(114:114,G38,115:115)-SUMIF(114:114,C38,115:115)+100</f>
        <v>100</v>
      </c>
      <c r="I38" s="1906" t="s">
        <v>3472</v>
      </c>
      <c r="J38" s="386">
        <f>SUMIF(114:114,I38,115:115)-SUMIF(114:114,C38,115:115)+100</f>
        <v>100</v>
      </c>
      <c r="K38" s="561">
        <v>5</v>
      </c>
      <c r="L38" s="2717"/>
      <c r="M38" s="2711"/>
      <c r="N38" s="2711"/>
      <c r="O38" s="2711"/>
      <c r="P38" s="3716" t="s">
        <v>1695</v>
      </c>
      <c r="Q38" s="1352" t="str">
        <f t="shared" si="11"/>
        <v>业态</v>
      </c>
      <c r="R38" s="705" t="s">
        <v>14</v>
      </c>
      <c r="S38" s="706">
        <f t="shared" si="12"/>
        <v>100</v>
      </c>
      <c r="T38" s="705" t="s">
        <v>14</v>
      </c>
      <c r="U38" s="706">
        <f t="shared" si="13"/>
        <v>100</v>
      </c>
      <c r="V38" s="705" t="s">
        <v>14</v>
      </c>
      <c r="W38" s="706">
        <f t="shared" si="14"/>
        <v>100</v>
      </c>
      <c r="X38" s="1355"/>
      <c r="Y38" s="371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1790</v>
      </c>
      <c r="C41" s="565" t="s">
        <v>3476</v>
      </c>
      <c r="D41" s="386">
        <v>100</v>
      </c>
      <c r="E41" s="565" t="s">
        <v>3476</v>
      </c>
      <c r="F41" s="412">
        <f>SUMIF(120:120,E41,121:121)-SUMIF(120:120,C41,121:121)+100</f>
        <v>100</v>
      </c>
      <c r="G41" s="565" t="s">
        <v>3476</v>
      </c>
      <c r="H41" s="386">
        <f>SUMIF(120:120,G41,121:121)-SUMIF(120:120,C41,121:121)+100</f>
        <v>100</v>
      </c>
      <c r="I41" s="565" t="s">
        <v>3476</v>
      </c>
      <c r="J41" s="386">
        <f>SUMIF(120:120,I41,121:121)-SUMIF(120:120,C41,121:121)+100</f>
        <v>100</v>
      </c>
      <c r="K41" s="561">
        <v>2</v>
      </c>
      <c r="L41" s="2716"/>
      <c r="M41" s="2718"/>
      <c r="N41" s="2718"/>
      <c r="O41" s="2718"/>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1791</v>
      </c>
      <c r="C42" s="1906" t="s">
        <v>3467</v>
      </c>
      <c r="D42" s="386">
        <v>100</v>
      </c>
      <c r="E42" s="1906" t="s">
        <v>3467</v>
      </c>
      <c r="F42" s="412">
        <f>SUMIF(122:122,E42,123:123)-SUMIF(122:122,C42,123:123)+100</f>
        <v>100</v>
      </c>
      <c r="G42" s="1906" t="s">
        <v>3467</v>
      </c>
      <c r="H42" s="386">
        <f>SUMIF(122:122,G42,123:123)-SUMIF(122:122,C42,123:123)+100</f>
        <v>100</v>
      </c>
      <c r="I42" s="1906" t="s">
        <v>3467</v>
      </c>
      <c r="J42" s="386">
        <f>SUMIF(122:122,I42,123:123)-SUMIF(122:122,C42,123:123)+100</f>
        <v>100</v>
      </c>
      <c r="K42" s="561">
        <v>2</v>
      </c>
      <c r="L42" s="2717"/>
      <c r="M42" s="2711"/>
      <c r="N42" s="2711"/>
      <c r="O42" s="2711"/>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75" thickBot="1">
      <c r="A43" s="423"/>
      <c r="B43" s="375" t="s">
        <v>1706</v>
      </c>
      <c r="C43" s="1906" t="s">
        <v>3417</v>
      </c>
      <c r="D43" s="386">
        <v>100</v>
      </c>
      <c r="E43" s="1906" t="s">
        <v>3417</v>
      </c>
      <c r="F43" s="412">
        <f>SUMIF(124:124,E43,125:125)-SUMIF(124:124,C43,125:125)+100</f>
        <v>100</v>
      </c>
      <c r="G43" s="1906" t="s">
        <v>3417</v>
      </c>
      <c r="H43" s="386">
        <f>SUMIF(124:124,G43,125:125)-SUMIF(124:124,C43,125:125)+100</f>
        <v>100</v>
      </c>
      <c r="I43" s="1906" t="s">
        <v>3417</v>
      </c>
      <c r="J43" s="386">
        <f>SUMIF(124:124,I43,125:125)-SUMIF(124:124,C43,125:125)+100</f>
        <v>100</v>
      </c>
      <c r="K43" s="561">
        <v>2</v>
      </c>
      <c r="L43" s="2717"/>
      <c r="M43" s="2711"/>
      <c r="N43" s="2711"/>
      <c r="O43" s="2711"/>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720" t="str">
        <f>A47</f>
        <v>成交单价（元/平方米）</v>
      </c>
      <c r="Q47" s="3720"/>
      <c r="R47" s="3681">
        <f>E47</f>
        <v>89992</v>
      </c>
      <c r="S47" s="3681"/>
      <c r="T47" s="3681">
        <f>G47</f>
        <v>93066</v>
      </c>
      <c r="U47" s="3681"/>
      <c r="V47" s="3681">
        <f>I47</f>
        <v>97384</v>
      </c>
      <c r="W47" s="3681"/>
      <c r="X47" s="690"/>
      <c r="Y47" s="712"/>
      <c r="Z47" s="690"/>
      <c r="AA47" s="690"/>
      <c r="AB47" s="690"/>
      <c r="AC47" s="690"/>
    </row>
    <row r="48" spans="1:29" ht="15.75" thickBot="1">
      <c r="A48" s="437" t="s">
        <v>1792</v>
      </c>
      <c r="B48" s="438"/>
      <c r="C48" s="1160">
        <f>R49</f>
        <v>79533</v>
      </c>
      <c r="D48" s="2317" t="s">
        <v>2137</v>
      </c>
      <c r="E48" s="1161">
        <f>R48</f>
        <v>78630</v>
      </c>
      <c r="F48" s="2318"/>
      <c r="G48" s="1160">
        <f>T48</f>
        <v>78098</v>
      </c>
      <c r="H48" s="2318"/>
      <c r="I48" s="1161">
        <f>V48</f>
        <v>81872</v>
      </c>
      <c r="J48" s="2318"/>
      <c r="K48" s="2320">
        <f>F48+H48+J48</f>
        <v>0</v>
      </c>
      <c r="L48" s="2719">
        <v>0.9</v>
      </c>
      <c r="M48" s="2720"/>
      <c r="N48" s="2711"/>
      <c r="O48" s="2720"/>
      <c r="P48" s="3720" t="str">
        <f>A48</f>
        <v>比较价值（元/平方米）</v>
      </c>
      <c r="Q48" s="3720"/>
      <c r="R48" s="3721">
        <f>IF(F1="售价",ROUND(PRODUCT(R47,AA7:AA46),0),ROUND(PRODUCT(R47,AA7:AA46),1))</f>
        <v>78630</v>
      </c>
      <c r="S48" s="3721"/>
      <c r="T48" s="3721">
        <f>IF(F1="售价",ROUND(PRODUCT(T47,AB7:AB46),0),ROUND(PRODUCT(T47,AB7:AB46),1))</f>
        <v>78098</v>
      </c>
      <c r="U48" s="3721"/>
      <c r="V48" s="3721">
        <f>IF(F1="售价",ROUND(PRODUCT(V47,AC7:AC46),0),ROUND(PRODUCT(V47,AC7:AC46),1))</f>
        <v>81872</v>
      </c>
      <c r="W48" s="3721"/>
      <c r="X48" s="690"/>
      <c r="Y48" s="690"/>
      <c r="Z48" s="690"/>
      <c r="AA48" s="690"/>
      <c r="AB48" s="690"/>
      <c r="AC48" s="690"/>
    </row>
    <row r="49" spans="1:29" ht="15.75" thickBot="1">
      <c r="A49" s="441" t="s">
        <v>1793</v>
      </c>
      <c r="B49" s="442"/>
      <c r="C49" s="1163">
        <f>R49</f>
        <v>79533</v>
      </c>
      <c r="D49" s="1163"/>
      <c r="E49" s="1163"/>
      <c r="F49" s="1163"/>
      <c r="G49" s="1163"/>
      <c r="H49" s="1163"/>
      <c r="I49" s="1163"/>
      <c r="J49" s="1163"/>
      <c r="K49" s="715"/>
      <c r="L49" s="2719"/>
      <c r="M49" s="2720"/>
      <c r="N49" s="2711"/>
      <c r="O49" s="2720"/>
      <c r="P49" s="3722" t="str">
        <f>A49</f>
        <v>估价对象XX用房的比较价值（楼面单价，元/平方米）</v>
      </c>
      <c r="Q49" s="3723"/>
      <c r="R49" s="3724">
        <f>IF(F1="售价",ROUND(IF(D48="简单平均",AVERAGE(R48:V48),R48*F48+T48*H48+V48*J48),0),ROUND(IF(D48="简单平均",AVERAGE(R48:V48),R48*F48+T48*H48+V48*J48),1))</f>
        <v>79533</v>
      </c>
      <c r="S49" s="3724"/>
      <c r="T49" s="3724"/>
      <c r="U49" s="3724"/>
      <c r="V49" s="3724"/>
      <c r="W49" s="372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0.1444995548772734</v>
      </c>
      <c r="F52" s="449" t="str">
        <f>IF(OR(E52&gt;=0.3,E52&lt;=-0.3),"超过30%","")</f>
        <v/>
      </c>
      <c r="G52" s="448">
        <f>IF(G47&lt;G48,G48/G47-1,G47/G48-1)</f>
        <v>0.19165663653358611</v>
      </c>
      <c r="H52" s="449" t="str">
        <f>IF(OR(G52&gt;=0.3,G52&lt;=-0.3),"超过30%","")</f>
        <v/>
      </c>
      <c r="I52" s="448">
        <f>IF(I47&lt;I48,I48/I47-1,I47/I48-1)</f>
        <v>0.18946648426812596</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6.8119542113753706E-3</v>
      </c>
      <c r="F53" s="449" t="str">
        <f>IF(OR(E53&gt;=0.2,E53&lt;=-0.2),"超过20%","")</f>
        <v/>
      </c>
      <c r="G53" s="448">
        <f>IF(G48&lt;I48,I48/G48-1,G48/I48-1)</f>
        <v>4.8323900740095738E-2</v>
      </c>
      <c r="H53" s="449" t="str">
        <f>IF(OR(G53&gt;=0.2,G53&lt;=-0.2),"超过20%","")</f>
        <v/>
      </c>
      <c r="I53" s="448">
        <f>IF(I48&lt;E48,E48/I48-1,I48/E48-1)</f>
        <v>4.1231082284115539E-2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t="s">
        <v>3442</v>
      </c>
      <c r="D65" s="532" t="s">
        <v>3443</v>
      </c>
      <c r="E65" s="532" t="s">
        <v>3444</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v>95</v>
      </c>
      <c r="E66" s="485">
        <v>90</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3467" t="s">
        <v>3445</v>
      </c>
      <c r="D86" s="3467" t="s">
        <v>3446</v>
      </c>
      <c r="E86" s="3467" t="s">
        <v>3448</v>
      </c>
      <c r="F86" s="3467" t="s">
        <v>3449</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67" t="str">
        <f t="shared" ref="C88:G89" si="21">C84</f>
        <v>好</v>
      </c>
      <c r="D88" s="3467" t="str">
        <f t="shared" si="21"/>
        <v>较好</v>
      </c>
      <c r="E88" s="3467" t="str">
        <f t="shared" si="21"/>
        <v>一般</v>
      </c>
      <c r="F88" s="3467" t="str">
        <f t="shared" si="21"/>
        <v>较差</v>
      </c>
      <c r="G88" s="3467" t="str">
        <f t="shared" si="21"/>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f t="shared" si="21"/>
        <v>100</v>
      </c>
      <c r="D89" s="509">
        <f t="shared" si="21"/>
        <v>98</v>
      </c>
      <c r="E89" s="509">
        <f t="shared" si="21"/>
        <v>96</v>
      </c>
      <c r="F89" s="509">
        <f t="shared" si="21"/>
        <v>94</v>
      </c>
      <c r="G89" s="509">
        <f t="shared" si="21"/>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67" t="s">
        <v>3451</v>
      </c>
      <c r="D90" s="3467" t="s">
        <v>3453</v>
      </c>
      <c r="E90" s="3467" t="s">
        <v>3454</v>
      </c>
      <c r="F90" s="3467" t="s">
        <v>3455</v>
      </c>
      <c r="G90" s="3467" t="s">
        <v>3456</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3457</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3468" t="s">
        <v>3458</v>
      </c>
      <c r="D100" s="3468" t="s">
        <v>3459</v>
      </c>
      <c r="E100" s="3468" t="s">
        <v>3461</v>
      </c>
      <c r="F100" s="3468" t="s">
        <v>3463</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9"/>
      <c r="O101" s="2749"/>
      <c r="P101" s="2739"/>
      <c r="Q101" s="2734"/>
      <c r="R101" s="2720"/>
      <c r="S101" s="2720"/>
      <c r="T101" s="2720"/>
      <c r="U101" s="2720"/>
      <c r="V101" s="2720"/>
      <c r="W101" s="2720"/>
      <c r="X101" s="2720"/>
      <c r="Y101" s="2720"/>
      <c r="Z101" s="2720"/>
      <c r="AA101" s="2720"/>
      <c r="AB101" s="2720"/>
      <c r="AC101" s="2720"/>
    </row>
    <row r="102" spans="1:29" ht="29.25" thickTop="1">
      <c r="A102" s="483"/>
      <c r="B102" s="487" t="s">
        <v>1736</v>
      </c>
      <c r="C102" s="527" t="str">
        <f>C103&amp;"(含)"&amp;"-"&amp;D103</f>
        <v>0(含)-200</v>
      </c>
      <c r="D102" s="527" t="str">
        <f t="shared" ref="D102:L102" si="24">D103&amp;"(含)"&amp;"-"&amp;E103</f>
        <v>200(含)-500</v>
      </c>
      <c r="E102" s="527" t="str">
        <f t="shared" si="24"/>
        <v>500(含)-1000</v>
      </c>
      <c r="F102" s="527" t="str">
        <f t="shared" si="24"/>
        <v>1000(含)-1500</v>
      </c>
      <c r="G102" s="527" t="str">
        <f t="shared" si="24"/>
        <v>1500(含)-</v>
      </c>
      <c r="H102" s="527" t="str">
        <f t="shared" si="24"/>
        <v>(含)-</v>
      </c>
      <c r="I102" s="527" t="str">
        <f t="shared" si="24"/>
        <v>(含)-</v>
      </c>
      <c r="J102" s="527" t="str">
        <f t="shared" si="24"/>
        <v>(含)-</v>
      </c>
      <c r="K102" s="527" t="str">
        <f t="shared" si="24"/>
        <v>(含)-</v>
      </c>
      <c r="L102" s="527" t="str">
        <f t="shared" si="24"/>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200</v>
      </c>
      <c r="E103" s="544">
        <v>500</v>
      </c>
      <c r="F103" s="544">
        <v>1000</v>
      </c>
      <c r="G103" s="544">
        <v>1500</v>
      </c>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3491">
        <v>95</v>
      </c>
      <c r="E104" s="485">
        <f>D104-2</f>
        <v>93</v>
      </c>
      <c r="F104" s="485">
        <f>E104-2</f>
        <v>91</v>
      </c>
      <c r="G104" s="485">
        <f>F104-2</f>
        <v>89</v>
      </c>
      <c r="H104" s="485">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467" t="s">
        <v>3464</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467" t="s">
        <v>3466</v>
      </c>
      <c r="D107" s="3467" t="s">
        <v>3468</v>
      </c>
      <c r="E107" s="3467" t="s">
        <v>3469</v>
      </c>
      <c r="F107" s="3469" t="s">
        <v>3470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467" t="s">
        <v>3471</v>
      </c>
      <c r="D114" s="3467" t="s">
        <v>3473</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467" t="s">
        <v>3474</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469" t="s">
        <v>3475</v>
      </c>
      <c r="D120" s="3469" t="s">
        <v>3477</v>
      </c>
      <c r="E120" s="3469" t="s">
        <v>3454</v>
      </c>
      <c r="F120" s="3469" t="s">
        <v>3478</v>
      </c>
      <c r="G120" s="3470" t="s">
        <v>3479</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北京市崇文区珠市口东大街14号1-C房地产抵押价值预评估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B6" sqref="B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5155.2885999999999</v>
      </c>
      <c r="C2" s="1872" t="s">
        <v>1650</v>
      </c>
      <c r="D2" s="1873" t="s">
        <v>1651</v>
      </c>
      <c r="E2" s="2602">
        <f>SUM(E6:E13)</f>
        <v>1139.1300000000001</v>
      </c>
      <c r="F2" s="2702"/>
      <c r="G2" s="1489"/>
      <c r="H2" s="1489"/>
      <c r="I2" s="1489"/>
      <c r="J2" s="1489"/>
      <c r="K2" s="1489"/>
      <c r="L2" s="1489"/>
      <c r="M2" s="1489"/>
      <c r="N2" s="1489"/>
      <c r="O2" s="1489"/>
      <c r="P2" s="1489"/>
      <c r="Q2" s="1489"/>
      <c r="R2" s="1489"/>
      <c r="S2" s="1489"/>
    </row>
    <row r="3" spans="1:22" ht="15.75">
      <c r="A3" s="1870" t="s">
        <v>686</v>
      </c>
      <c r="B3" s="2596">
        <f ca="1">ROUND(B2*10000/E2,0)</f>
        <v>45256</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25" t="s">
        <v>1653</v>
      </c>
      <c r="C5" s="3726"/>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收益法-北京银行</v>
      </c>
      <c r="B6" s="2597">
        <f ca="1">IF(F6="是",'数据-取费表'!AO6,0)</f>
        <v>5155.2885999999999</v>
      </c>
      <c r="C6" s="1872" t="s">
        <v>1650</v>
      </c>
      <c r="D6" s="2704"/>
      <c r="E6" s="2601">
        <f>IF(OR(A6=0,F6="否"),0,'数据-取费表'!K6+'数据-取费表'!S6)</f>
        <v>1139.1300000000001</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4"/>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3487</v>
      </c>
      <c r="D1" s="1362" t="s">
        <v>43</v>
      </c>
      <c r="E1" s="1363" t="s">
        <v>678</v>
      </c>
      <c r="F1" s="1062">
        <f ca="1">J53</f>
        <v>18.3</v>
      </c>
      <c r="G1" s="1378">
        <f>MATCH(C1,'数据-取费表'!A6:A16,0)+5</f>
        <v>6</v>
      </c>
      <c r="H1" s="2687"/>
      <c r="I1" s="3489">
        <f ca="1">C40+J29</f>
        <v>5066</v>
      </c>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5157</v>
      </c>
      <c r="C2" s="1387" t="s">
        <v>805</v>
      </c>
      <c r="D2" s="1387"/>
      <c r="E2" s="1388"/>
      <c r="F2" s="1389"/>
      <c r="G2" s="2701"/>
      <c r="H2" s="2690"/>
      <c r="I2" s="2690"/>
      <c r="J2" s="2690"/>
      <c r="K2" s="2691"/>
      <c r="L2" s="2690"/>
      <c r="M2" s="2690"/>
    </row>
    <row r="3" spans="1:37" ht="18" customHeight="1" thickBot="1">
      <c r="A3" s="1390" t="s">
        <v>806</v>
      </c>
      <c r="B3" s="1391">
        <f ca="1">IF(ISERROR(B2*10000/F43),0,ROUND(B2*10000/F43,0))</f>
        <v>45271</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425</v>
      </c>
      <c r="D5" s="1364" t="s">
        <v>693</v>
      </c>
      <c r="E5" s="1071"/>
      <c r="F5" s="1072"/>
      <c r="G5" s="1384"/>
      <c r="H5" s="299">
        <v>1</v>
      </c>
      <c r="I5" s="300" t="s">
        <v>692</v>
      </c>
      <c r="J5" s="1070">
        <f ca="1">J6+J10+J12</f>
        <v>574</v>
      </c>
      <c r="K5" s="1364" t="s">
        <v>693</v>
      </c>
      <c r="L5" s="1071"/>
      <c r="M5" s="1072"/>
    </row>
    <row r="6" spans="1:37" ht="18" customHeight="1">
      <c r="A6" s="1069" t="s">
        <v>398</v>
      </c>
      <c r="B6" s="3729" t="s">
        <v>694</v>
      </c>
      <c r="C6" s="1074">
        <f ca="1">ROUND(F6*F8*F7*(1-F9)/10000,0)</f>
        <v>424</v>
      </c>
      <c r="D6" s="155" t="s">
        <v>2108</v>
      </c>
      <c r="E6" s="302" t="s">
        <v>696</v>
      </c>
      <c r="F6" s="303">
        <f ca="1">INDIRECT("'数据-取费表'!u"&amp;$G$1)</f>
        <v>10.199999999999999</v>
      </c>
      <c r="G6" s="1384"/>
      <c r="H6" s="1069" t="s">
        <v>398</v>
      </c>
      <c r="I6" s="3729" t="s">
        <v>694</v>
      </c>
      <c r="J6" s="301">
        <f ca="1">ROUND(M6*M8*M7*(1-M9)/10000,0)</f>
        <v>573</v>
      </c>
      <c r="K6" s="155" t="s">
        <v>2107</v>
      </c>
      <c r="L6" s="302" t="s">
        <v>696</v>
      </c>
      <c r="M6" s="303">
        <f ca="1">INDIRECT("'数据-取费表'!z"&amp;$G$1)</f>
        <v>14.5</v>
      </c>
    </row>
    <row r="7" spans="1:37" ht="18" customHeight="1">
      <c r="A7" s="1073"/>
      <c r="B7" s="3730"/>
      <c r="C7" s="1075"/>
      <c r="D7" s="307"/>
      <c r="E7" s="1076" t="s">
        <v>697</v>
      </c>
      <c r="F7" s="303">
        <f ca="1">IF(INDIRECT("'数据-取费表'!ah"&amp;$G$1)="",INDIRECT("'数据-取费表'!k"&amp;$G$1),INDIRECT("'数据-取费表'!ah"&amp;$G$1))</f>
        <v>1139.1300000000001</v>
      </c>
      <c r="G7" s="1384"/>
      <c r="H7" s="304"/>
      <c r="I7" s="3730"/>
      <c r="J7" s="306"/>
      <c r="K7" s="307"/>
      <c r="L7" s="302" t="s">
        <v>697</v>
      </c>
      <c r="M7" s="303">
        <f ca="1">F7</f>
        <v>1139.1300000000001</v>
      </c>
    </row>
    <row r="8" spans="1:37" ht="18" customHeight="1">
      <c r="A8" s="304"/>
      <c r="B8" s="3730"/>
      <c r="C8" s="306"/>
      <c r="D8" s="307"/>
      <c r="E8" s="302" t="s">
        <v>698</v>
      </c>
      <c r="F8" s="303">
        <f ca="1">INDIRECT("'数据-取费表'!ai"&amp;$G$1)</f>
        <v>365</v>
      </c>
      <c r="G8" s="1384"/>
      <c r="H8" s="304"/>
      <c r="I8" s="3730"/>
      <c r="J8" s="306"/>
      <c r="K8" s="307"/>
      <c r="L8" s="302" t="s">
        <v>698</v>
      </c>
      <c r="M8" s="303">
        <f ca="1">INDIRECT("'数据-取费表'!ai"&amp;$G$1)</f>
        <v>365</v>
      </c>
    </row>
    <row r="9" spans="1:37" ht="18" customHeight="1">
      <c r="A9" s="304"/>
      <c r="B9" s="3731"/>
      <c r="C9" s="306"/>
      <c r="D9" s="307"/>
      <c r="E9" s="302" t="s">
        <v>699</v>
      </c>
      <c r="F9" s="312">
        <f ca="1">INDIRECT("'数据-取费表'!w"&amp;$G$1)</f>
        <v>0</v>
      </c>
      <c r="G9" s="1384"/>
      <c r="H9" s="304"/>
      <c r="I9" s="3731"/>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3391</v>
      </c>
      <c r="G10" s="1384"/>
      <c r="H10" s="1069" t="s">
        <v>402</v>
      </c>
      <c r="I10" s="1365" t="s">
        <v>700</v>
      </c>
      <c r="J10" s="301">
        <f ca="1">ROUND(IF(M10="押一",J6/12*M11,IF(M10="押二",J6/12*2*M11,IF(M10="押三",J6/12*3*M11,J11*M11))),0)</f>
        <v>1</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722</v>
      </c>
      <c r="D13" s="1081" t="s">
        <v>705</v>
      </c>
      <c r="E13" s="1081" t="s">
        <v>706</v>
      </c>
      <c r="F13" s="1082">
        <f ca="1">INDIRECT("'数据-取费表'!y"&amp;$G$1)</f>
        <v>0.85</v>
      </c>
      <c r="G13" s="1384"/>
      <c r="H13" s="1079">
        <v>2</v>
      </c>
      <c r="I13" s="1080" t="s">
        <v>704</v>
      </c>
      <c r="J13" s="1068">
        <f ca="1">ROUND(J14*J15,0)</f>
        <v>671</v>
      </c>
      <c r="K13" s="1087" t="s">
        <v>705</v>
      </c>
      <c r="L13" s="1392"/>
      <c r="M13" s="1393"/>
    </row>
    <row r="14" spans="1:37" ht="18" customHeight="1">
      <c r="A14" s="982" t="s">
        <v>397</v>
      </c>
      <c r="B14" s="302" t="s">
        <v>707</v>
      </c>
      <c r="C14" s="318">
        <f ca="1">INDIRECT("'数据-取费表'!m"&amp;$G$1)+INDIRECT("'数据-取费表'!t"&amp;$G$1)</f>
        <v>570</v>
      </c>
      <c r="D14" s="1345" t="s">
        <v>708</v>
      </c>
      <c r="E14" s="1342"/>
      <c r="F14" s="319"/>
      <c r="G14" s="1384"/>
      <c r="H14" s="982" t="s">
        <v>398</v>
      </c>
      <c r="I14" s="302" t="s">
        <v>709</v>
      </c>
      <c r="J14" s="21">
        <f ca="1">C29</f>
        <v>849</v>
      </c>
      <c r="K14" s="12"/>
      <c r="L14" s="807"/>
      <c r="M14" s="808"/>
    </row>
    <row r="15" spans="1:37" s="1397" customFormat="1" ht="18" customHeight="1" thickBot="1">
      <c r="A15" s="982" t="s">
        <v>399</v>
      </c>
      <c r="B15" s="302" t="s">
        <v>710</v>
      </c>
      <c r="C15" s="21">
        <f ca="1">ROUND(C14*F15,0)</f>
        <v>17</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112</v>
      </c>
      <c r="K16" s="1087" t="s">
        <v>715</v>
      </c>
      <c r="L16" s="1088"/>
      <c r="M16" s="1072"/>
    </row>
    <row r="17" spans="1:37" s="1397" customFormat="1" ht="18" customHeight="1">
      <c r="A17" s="982" t="s">
        <v>681</v>
      </c>
      <c r="B17" s="302" t="s">
        <v>716</v>
      </c>
      <c r="C17" s="21">
        <f ca="1">ROUND(F17*(F43+INDIRECT("'数据-取费表'!S"&amp;$G$1))/10000,0)</f>
        <v>23</v>
      </c>
      <c r="D17" s="302" t="s">
        <v>717</v>
      </c>
      <c r="E17" s="302" t="s">
        <v>718</v>
      </c>
      <c r="F17" s="23">
        <f>'数据-取费表'!B35</f>
        <v>200</v>
      </c>
      <c r="G17" s="1396"/>
      <c r="H17" s="982" t="s">
        <v>398</v>
      </c>
      <c r="I17" s="302" t="s">
        <v>719</v>
      </c>
      <c r="J17" s="2316">
        <f ca="1">ROUND(IF(AND(项目基本情况!B11="自然人",项目基本情况!B10="北京市"),J6*M17/(1+'数据-取费表'!C42),J18+J19+J20),2)</f>
        <v>96.72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v>
      </c>
      <c r="D18" s="302" t="s">
        <v>711</v>
      </c>
      <c r="E18" s="302" t="s">
        <v>712</v>
      </c>
      <c r="F18" s="322">
        <f>'数据-取费表'!B36</f>
        <v>1.4999999999999999E-2</v>
      </c>
      <c r="G18" s="1396"/>
      <c r="H18" s="982" t="s">
        <v>397</v>
      </c>
      <c r="I18" s="302" t="s">
        <v>723</v>
      </c>
      <c r="J18" s="21">
        <f ca="1">ROUND(J6*M18/(1+'数据-取费表'!C42),2)</f>
        <v>30.56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619</v>
      </c>
      <c r="D19" s="131" t="s">
        <v>726</v>
      </c>
      <c r="E19" s="1360"/>
      <c r="F19" s="23"/>
      <c r="G19" s="1384"/>
      <c r="H19" s="982" t="s">
        <v>399</v>
      </c>
      <c r="I19" s="302" t="s">
        <v>727</v>
      </c>
      <c r="J19" s="21">
        <f ca="1">IF(K19="按租金收入计税",ROUND(J6*M19/(1+'数据-取费表'!C42),2),ROUND(C29*M19*0.7,2))</f>
        <v>65.489999999999995</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0.67</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278.54000000000002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0.67</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5.74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462</v>
      </c>
      <c r="K25" s="1095" t="s">
        <v>753</v>
      </c>
      <c r="L25" s="1096"/>
      <c r="M25" s="1097"/>
    </row>
    <row r="26" spans="1:37">
      <c r="A26" s="982" t="s">
        <v>397</v>
      </c>
      <c r="B26" s="302" t="s">
        <v>754</v>
      </c>
      <c r="C26" s="21">
        <f ca="1">ROUND((C19+C20)*F26,0)</f>
        <v>126</v>
      </c>
      <c r="D26" s="323" t="s">
        <v>755</v>
      </c>
      <c r="E26" s="313" t="s">
        <v>756</v>
      </c>
      <c r="F26" s="312">
        <f ca="1">INDIRECT("'数据-取费表'!q"&amp;$G$1)</f>
        <v>0.2</v>
      </c>
      <c r="G26" s="1384"/>
      <c r="H26" s="299" t="s">
        <v>395</v>
      </c>
      <c r="I26" s="300" t="s">
        <v>757</v>
      </c>
      <c r="J26" s="301">
        <f ca="1">IF(J5&lt;&gt;0,ROUND(J25*(1-((1+M28)/(1+M26))^M27)/(M26-M28),0),0)</f>
        <v>4618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849</v>
      </c>
      <c r="D29" s="1092"/>
      <c r="E29" s="1090"/>
      <c r="F29" s="1093"/>
      <c r="G29" s="1396"/>
      <c r="H29" s="334" t="s">
        <v>396</v>
      </c>
      <c r="I29" s="335" t="s">
        <v>768</v>
      </c>
      <c r="J29" s="336">
        <f ca="1">ROUND(J26/(1+F40)^F41,0)</f>
        <v>3294</v>
      </c>
      <c r="K29" s="337" t="s">
        <v>769</v>
      </c>
      <c r="L29" s="338"/>
      <c r="M29" s="339">
        <f ca="1">INDIRECT("'数据-取费表'!k"&amp;$G$1)</f>
        <v>1139.1300000000001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71.739999999999995</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22.61</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48.46</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0.67</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278.54000000000002</v>
      </c>
      <c r="G35" s="1384"/>
      <c r="H35" s="2692"/>
      <c r="I35" s="1398"/>
      <c r="J35" s="1399"/>
      <c r="K35" s="2696"/>
      <c r="L35" s="2695"/>
      <c r="M35" s="2695"/>
    </row>
    <row r="36" spans="1:18" ht="18" customHeight="1">
      <c r="A36" s="1102" t="s">
        <v>402</v>
      </c>
      <c r="B36" s="302" t="s">
        <v>738</v>
      </c>
      <c r="C36" s="21">
        <f ca="1">ROUND(C29*F36,2)</f>
        <v>8.49</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0.72</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4.25</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340</v>
      </c>
      <c r="D39" s="1095" t="s">
        <v>773</v>
      </c>
      <c r="E39" s="1096"/>
      <c r="F39" s="1097"/>
      <c r="G39" s="1384"/>
      <c r="H39" s="2695"/>
      <c r="I39" s="1398"/>
      <c r="J39" s="1399"/>
      <c r="K39" s="2699"/>
      <c r="L39" s="2695"/>
      <c r="M39" s="2695"/>
    </row>
    <row r="40" spans="1:18" ht="18" customHeight="1">
      <c r="A40" s="299" t="s">
        <v>395</v>
      </c>
      <c r="B40" s="300" t="s">
        <v>774</v>
      </c>
      <c r="C40" s="301">
        <f ca="1">ROUND(C39*(1-((1+F42)/(1+F40))^F41)/(F40-F42),0)</f>
        <v>1772</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15556</v>
      </c>
      <c r="D43" s="337" t="s">
        <v>777</v>
      </c>
      <c r="E43" s="338" t="s">
        <v>778</v>
      </c>
      <c r="F43" s="339">
        <f ca="1">INDIRECT("'数据-取费表'!k"&amp;$G$1)</f>
        <v>1139.1300000000001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-1824</v>
      </c>
      <c r="D46" s="1406" t="str">
        <f>C2</f>
        <v>万元</v>
      </c>
      <c r="E46" s="1400"/>
      <c r="F46" s="1400"/>
      <c r="I46" s="1407" t="s">
        <v>810</v>
      </c>
      <c r="J46" s="1408"/>
      <c r="K46" s="1409"/>
      <c r="L46" s="1410">
        <f ca="1">IF(M47="住宅",0,IF(L48&gt;J51,L60,J60))</f>
        <v>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5066</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91</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'数据-取费表'!N19</f>
        <v>2003</v>
      </c>
      <c r="K49" s="1423" t="s">
        <v>824</v>
      </c>
      <c r="L49" s="1427"/>
      <c r="O49" s="1428" t="s">
        <v>405</v>
      </c>
      <c r="P49" s="1419" t="s">
        <v>825</v>
      </c>
      <c r="Q49" s="1420">
        <f ca="1">C29</f>
        <v>849</v>
      </c>
      <c r="R49" s="1420" t="s">
        <v>818</v>
      </c>
    </row>
    <row r="50" spans="1:18" s="1384" customFormat="1" ht="13.5" thickBot="1">
      <c r="A50" s="976"/>
      <c r="B50" s="979"/>
      <c r="C50" s="1118"/>
      <c r="D50" s="953"/>
      <c r="E50" s="1056" t="s">
        <v>697</v>
      </c>
      <c r="F50" s="1057">
        <f ca="1">F7</f>
        <v>1139.1300000000001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4967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27" t="s">
        <v>837</v>
      </c>
      <c r="L53" s="3728"/>
      <c r="O53" s="1418" t="s">
        <v>409</v>
      </c>
      <c r="P53" s="1419" t="s">
        <v>838</v>
      </c>
      <c r="Q53" s="1420">
        <f ca="1">Q47+Q48</f>
        <v>5157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722</v>
      </c>
      <c r="D56" s="1447"/>
      <c r="E56" s="1448"/>
      <c r="F56" s="1440"/>
      <c r="I56" s="1449" t="s">
        <v>842</v>
      </c>
      <c r="J56" s="1450" t="s">
        <v>3433</v>
      </c>
      <c r="K56" s="1421" t="s">
        <v>843</v>
      </c>
      <c r="L56" s="1424" t="str">
        <f ca="1">IF(L48&lt;J51,"——",L48-J53)</f>
        <v>——</v>
      </c>
      <c r="O56" s="1418" t="s">
        <v>403</v>
      </c>
      <c r="P56" s="1419" t="s">
        <v>817</v>
      </c>
      <c r="Q56" s="1420">
        <f ca="1">C40+J29</f>
        <v>5066</v>
      </c>
      <c r="R56" s="1420" t="s">
        <v>818</v>
      </c>
    </row>
    <row r="57" spans="1:18" s="1384" customFormat="1" ht="24.75" thickBot="1">
      <c r="A57" s="1451"/>
      <c r="B57" s="950" t="s">
        <v>767</v>
      </c>
      <c r="C57" s="238">
        <f ca="1">C29</f>
        <v>849</v>
      </c>
      <c r="D57" s="1452"/>
      <c r="E57" s="1453"/>
      <c r="F57" s="1454"/>
      <c r="I57" s="1455" t="s">
        <v>844</v>
      </c>
      <c r="J57" s="1456">
        <f ca="1">IF(OR(M47="住宅",J51&lt;L48,J56="是"),"——",J51-L48)</f>
        <v>21.7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0.67</v>
      </c>
      <c r="D62" s="965" t="s">
        <v>786</v>
      </c>
      <c r="E62" s="950" t="s">
        <v>787</v>
      </c>
      <c r="F62" s="325">
        <f t="shared" si="0"/>
        <v>24</v>
      </c>
      <c r="I62" s="1462" t="s">
        <v>858</v>
      </c>
      <c r="J62" s="1463" t="s">
        <v>859</v>
      </c>
      <c r="K62" s="1463" t="s">
        <v>860</v>
      </c>
      <c r="L62" s="1463" t="s">
        <v>861</v>
      </c>
      <c r="M62" s="1464" t="s">
        <v>862</v>
      </c>
      <c r="O62" s="1418" t="s">
        <v>409</v>
      </c>
      <c r="P62" s="1419" t="s">
        <v>863</v>
      </c>
      <c r="Q62" s="1420">
        <f ca="1">Q56+Q57</f>
        <v>5066</v>
      </c>
      <c r="R62" s="1420" t="s">
        <v>410</v>
      </c>
    </row>
    <row r="63" spans="1:18" s="1384" customFormat="1" ht="13.5" thickBot="1">
      <c r="A63" s="326"/>
      <c r="B63" s="956"/>
      <c r="C63" s="26"/>
      <c r="D63" s="966"/>
      <c r="E63" s="950" t="s">
        <v>788</v>
      </c>
      <c r="F63" s="303">
        <f t="shared" ca="1" si="0"/>
        <v>278.54000000000002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0.72</v>
      </c>
      <c r="D65" s="964" t="s">
        <v>743</v>
      </c>
      <c r="E65" s="950" t="s">
        <v>744</v>
      </c>
      <c r="F65" s="330">
        <f t="shared" ca="1" si="0"/>
        <v>1E-3</v>
      </c>
      <c r="I65" s="1462" t="s">
        <v>867</v>
      </c>
      <c r="J65" s="1463">
        <v>40</v>
      </c>
      <c r="K65" s="1463">
        <v>30</v>
      </c>
      <c r="L65" s="1463">
        <v>50</v>
      </c>
      <c r="M65" s="1465">
        <v>0.02</v>
      </c>
      <c r="O65" s="1418" t="s">
        <v>403</v>
      </c>
      <c r="P65" s="1419" t="s">
        <v>868</v>
      </c>
      <c r="Q65" s="1420">
        <f ca="1">C40+J29</f>
        <v>5066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4967</v>
      </c>
      <c r="R67" s="1420" t="s">
        <v>870</v>
      </c>
    </row>
    <row r="68" spans="1:18" s="1384" customFormat="1" ht="16.5" thickBot="1">
      <c r="A68" s="947" t="s">
        <v>395</v>
      </c>
      <c r="B68" s="948" t="s">
        <v>774</v>
      </c>
      <c r="C68" s="301">
        <f ca="1">ROUND(C67*(1-((1+F70)/(1+F68))^F69)/(F68-F70),0)</f>
        <v>-52</v>
      </c>
      <c r="D68" s="965" t="s">
        <v>758</v>
      </c>
      <c r="E68" s="950" t="s">
        <v>759</v>
      </c>
      <c r="F68" s="312">
        <f ca="1">F40</f>
        <v>5.5E-2</v>
      </c>
      <c r="K68" s="1384" t="s">
        <v>3503</v>
      </c>
      <c r="O68" s="1428" t="s">
        <v>406</v>
      </c>
      <c r="P68" s="1467" t="s">
        <v>871</v>
      </c>
      <c r="Q68" s="1420">
        <f ca="1">ROUND(Q69-Q70*Q71,0)</f>
        <v>289</v>
      </c>
      <c r="R68" s="1420" t="s">
        <v>414</v>
      </c>
    </row>
    <row r="69" spans="1:18" s="1384" customFormat="1" ht="13.5" thickBot="1">
      <c r="A69" s="951"/>
      <c r="B69" s="952"/>
      <c r="C69" s="306"/>
      <c r="D69" s="970" t="s">
        <v>762</v>
      </c>
      <c r="E69" s="950" t="s">
        <v>763</v>
      </c>
      <c r="F69" s="333">
        <f ca="1">F41</f>
        <v>6.31</v>
      </c>
      <c r="O69" s="1428" t="s">
        <v>411</v>
      </c>
      <c r="P69" s="1467" t="s">
        <v>872</v>
      </c>
      <c r="Q69" s="1420">
        <f ca="1">C39</f>
        <v>340</v>
      </c>
      <c r="R69" s="1420" t="s">
        <v>818</v>
      </c>
    </row>
    <row r="70" spans="1:18" s="1384" customFormat="1" ht="13.5" thickBot="1">
      <c r="A70" s="954"/>
      <c r="B70" s="955"/>
      <c r="C70" s="310"/>
      <c r="D70" s="966"/>
      <c r="E70" s="950" t="s">
        <v>766</v>
      </c>
      <c r="F70" s="1054"/>
      <c r="O70" s="1428" t="s">
        <v>412</v>
      </c>
      <c r="P70" s="1467" t="s">
        <v>873</v>
      </c>
      <c r="Q70" s="1420">
        <f ca="1">C13</f>
        <v>722</v>
      </c>
      <c r="R70" s="1420" t="s">
        <v>818</v>
      </c>
    </row>
    <row r="71" spans="1:18" s="1384" customFormat="1" ht="13.5" thickBot="1">
      <c r="A71" s="971" t="s">
        <v>396</v>
      </c>
      <c r="B71" s="972" t="s">
        <v>776</v>
      </c>
      <c r="C71" s="336">
        <f ca="1">ROUND(C68*10000/F71,0)</f>
        <v>-456</v>
      </c>
      <c r="D71" s="973" t="s">
        <v>777</v>
      </c>
      <c r="E71" s="974" t="s">
        <v>778</v>
      </c>
      <c r="F71" s="339">
        <f ca="1">F43</f>
        <v>1139.1300000000001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51</v>
      </c>
      <c r="D75" s="1384"/>
      <c r="E75" s="1384"/>
      <c r="F75" s="1384"/>
      <c r="K75" s="1402"/>
      <c r="L75" s="1384"/>
      <c r="O75" s="1418" t="s">
        <v>409</v>
      </c>
      <c r="P75" s="1419" t="s">
        <v>838</v>
      </c>
      <c r="Q75" s="1420">
        <f ca="1">Q65+Q66</f>
        <v>5066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v>
      </c>
    </row>
    <row r="80" spans="1:18">
      <c r="B80" s="340" t="s">
        <v>800</v>
      </c>
      <c r="C80" s="274">
        <f ca="1">ROUND(C75/C39,3)</f>
        <v>0.15</v>
      </c>
    </row>
    <row r="81" spans="2:3">
      <c r="B81" s="270" t="s">
        <v>801</v>
      </c>
      <c r="C81" s="238"/>
    </row>
    <row r="82" spans="2:3">
      <c r="B82" s="273" t="s">
        <v>802</v>
      </c>
      <c r="C82" s="275">
        <f ca="1">1-C83</f>
        <v>0.59299999999999997</v>
      </c>
    </row>
    <row r="83" spans="2:3">
      <c r="B83" s="273" t="s">
        <v>803</v>
      </c>
      <c r="C83" s="274">
        <f ca="1">ROUND(C13/C40,3)</f>
        <v>0.40699999999999997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5" sqref="D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3489</v>
      </c>
      <c r="D1" s="1362" t="s">
        <v>43</v>
      </c>
      <c r="E1" s="1363" t="s">
        <v>678</v>
      </c>
      <c r="F1" s="1062" t="e">
        <f ca="1">J53</f>
        <v>#N/A</v>
      </c>
      <c r="G1" s="1378"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29" t="s">
        <v>694</v>
      </c>
      <c r="C6" s="1074" t="e">
        <f ca="1">ROUND(F6*F8*F7*(1-F9)/10000,0)</f>
        <v>#N/A</v>
      </c>
      <c r="D6" s="155" t="s">
        <v>2108</v>
      </c>
      <c r="E6" s="302" t="s">
        <v>696</v>
      </c>
      <c r="F6" s="303" t="e">
        <f ca="1">INDIRECT("'数据-取费表'!u"&amp;$G$1)</f>
        <v>#N/A</v>
      </c>
      <c r="G6" s="1384"/>
      <c r="H6" s="1069" t="s">
        <v>398</v>
      </c>
      <c r="I6" s="3729" t="s">
        <v>694</v>
      </c>
      <c r="J6" s="301" t="e">
        <f ca="1">ROUND(M6*M8*M7*(1-M9)/10000,0)</f>
        <v>#N/A</v>
      </c>
      <c r="K6" s="155" t="s">
        <v>2107</v>
      </c>
      <c r="L6" s="302" t="s">
        <v>696</v>
      </c>
      <c r="M6" s="303" t="e">
        <f ca="1">INDIRECT("'数据-取费表'!z"&amp;$G$1)</f>
        <v>#N/A</v>
      </c>
    </row>
    <row r="7" spans="1:37" ht="18" customHeight="1">
      <c r="A7" s="1073"/>
      <c r="B7" s="3730"/>
      <c r="C7" s="1075"/>
      <c r="D7" s="307"/>
      <c r="E7" s="3449" t="s">
        <v>697</v>
      </c>
      <c r="F7" s="303" t="e">
        <f ca="1">IF(INDIRECT("'数据-取费表'!ah"&amp;$G$1)="",INDIRECT("'数据-取费表'!k"&amp;$G$1),INDIRECT("'数据-取费表'!ah"&amp;$G$1))</f>
        <v>#N/A</v>
      </c>
      <c r="G7" s="1384"/>
      <c r="H7" s="304"/>
      <c r="I7" s="3730"/>
      <c r="J7" s="306"/>
      <c r="K7" s="307"/>
      <c r="L7" s="302" t="s">
        <v>697</v>
      </c>
      <c r="M7" s="303" t="e">
        <f ca="1">F7</f>
        <v>#N/A</v>
      </c>
    </row>
    <row r="8" spans="1:37" ht="18" customHeight="1">
      <c r="A8" s="304"/>
      <c r="B8" s="3730"/>
      <c r="C8" s="306"/>
      <c r="D8" s="307"/>
      <c r="E8" s="302" t="s">
        <v>698</v>
      </c>
      <c r="F8" s="303" t="e">
        <f ca="1">INDIRECT("'数据-取费表'!ai"&amp;$G$1)</f>
        <v>#N/A</v>
      </c>
      <c r="G8" s="1384"/>
      <c r="H8" s="304"/>
      <c r="I8" s="3730"/>
      <c r="J8" s="306"/>
      <c r="K8" s="307"/>
      <c r="L8" s="302" t="s">
        <v>698</v>
      </c>
      <c r="M8" s="303" t="e">
        <f ca="1">INDIRECT("'数据-取费表'!ai"&amp;$G$1)</f>
        <v>#N/A</v>
      </c>
    </row>
    <row r="9" spans="1:37" ht="18" customHeight="1">
      <c r="A9" s="304"/>
      <c r="B9" s="3731"/>
      <c r="C9" s="306"/>
      <c r="D9" s="307"/>
      <c r="E9" s="302" t="s">
        <v>699</v>
      </c>
      <c r="F9" s="312" t="e">
        <f ca="1">INDIRECT("'数据-取费表'!w"&amp;$G$1)</f>
        <v>#N/A</v>
      </c>
      <c r="G9" s="1384"/>
      <c r="H9" s="304"/>
      <c r="I9" s="3731"/>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3391</v>
      </c>
      <c r="G10" s="1384"/>
      <c r="H10" s="1069" t="s">
        <v>402</v>
      </c>
      <c r="I10" s="1365" t="s">
        <v>700</v>
      </c>
      <c r="J10" s="301" t="e">
        <f ca="1">ROUND(IF(M10="押一",J6/12*M11,IF(M10="押二",J6/12*2*M11,IF(M10="押三",J6/12*3*M11,J11*M11))),0)</f>
        <v>#N/A</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46" t="s">
        <v>705</v>
      </c>
      <c r="E13" s="3446"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2" t="s">
        <v>708</v>
      </c>
      <c r="E14" s="3451"/>
      <c r="F14" s="319"/>
      <c r="G14" s="1384"/>
      <c r="H14" s="982" t="s">
        <v>398</v>
      </c>
      <c r="I14" s="302" t="s">
        <v>709</v>
      </c>
      <c r="J14" s="21" t="e">
        <f ca="1">C29</f>
        <v>#N/A</v>
      </c>
      <c r="K14" s="3448"/>
      <c r="L14" s="807"/>
      <c r="M14" s="808"/>
    </row>
    <row r="15" spans="1:37" s="1397" customFormat="1" ht="18" customHeight="1" thickBot="1">
      <c r="A15" s="982" t="s">
        <v>399</v>
      </c>
      <c r="B15" s="302" t="s">
        <v>710</v>
      </c>
      <c r="C15" s="21" t="e">
        <f ca="1">ROUND(C14*F15,0)</f>
        <v>#N/A</v>
      </c>
      <c r="D15" s="3447" t="s">
        <v>711</v>
      </c>
      <c r="E15" s="3447"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54"/>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t="e">
        <f ca="1">C14*F18</f>
        <v>#N/A</v>
      </c>
      <c r="H18" s="982" t="s">
        <v>397</v>
      </c>
      <c r="I18" s="302" t="s">
        <v>723</v>
      </c>
      <c r="J18" s="21" t="e">
        <f ca="1">ROUND(J6*M18/(1+'数据-取费表'!C42),2)</f>
        <v>#N/A</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56"/>
      <c r="F19" s="23"/>
      <c r="G19" s="1384"/>
      <c r="H19" s="982" t="s">
        <v>399</v>
      </c>
      <c r="I19" s="302" t="s">
        <v>727</v>
      </c>
      <c r="J19" s="21" t="e">
        <f ca="1">IF(K19="按租金收入计税",ROUND(J6*M19/(1+'数据-取费表'!C42),2),ROUND(C29*M19*0.7,2))</f>
        <v>#N/A</v>
      </c>
      <c r="K19" s="1370" t="s">
        <v>3335</v>
      </c>
      <c r="L19" s="302" t="s">
        <v>712</v>
      </c>
      <c r="M19" s="322">
        <f>IF(K19="按租金收入计税",'数据-取费表'!B51,'数据-取费表'!B50)</f>
        <v>0.12</v>
      </c>
    </row>
    <row r="20" spans="1:37" s="1397" customFormat="1" ht="18" customHeight="1">
      <c r="A20" s="982" t="s">
        <v>402</v>
      </c>
      <c r="B20" s="302" t="s">
        <v>728</v>
      </c>
      <c r="C20" s="21" t="e">
        <f ca="1">ROUND(C19*F20,0)</f>
        <v>#N/A</v>
      </c>
      <c r="D20" s="2424" t="s">
        <v>729</v>
      </c>
      <c r="E20" s="302" t="s">
        <v>712</v>
      </c>
      <c r="F20" s="322">
        <f>'数据-取费表'!B37</f>
        <v>0.02</v>
      </c>
      <c r="G20" s="1396"/>
      <c r="H20" s="982" t="s">
        <v>680</v>
      </c>
      <c r="I20" s="155" t="s">
        <v>730</v>
      </c>
      <c r="J20" s="22" t="e">
        <f ca="1">ROUND(M20*M21/10000,2)</f>
        <v>#N/A</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t="e">
        <f ca="1">ROUND(J14*M22,2)</f>
        <v>#N/A</v>
      </c>
      <c r="K22" s="3453"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3"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t="e">
        <f ca="1">J5-J16</f>
        <v>#N/A</v>
      </c>
      <c r="K25" s="1095" t="s">
        <v>753</v>
      </c>
      <c r="L25" s="1096"/>
      <c r="M25" s="1097"/>
    </row>
    <row r="26" spans="1:37">
      <c r="A26" s="982" t="s">
        <v>397</v>
      </c>
      <c r="B26" s="302" t="s">
        <v>754</v>
      </c>
      <c r="C26" s="21" t="e">
        <f ca="1">ROUND((C19+C20)*F26,0)</f>
        <v>#N/A</v>
      </c>
      <c r="D26" s="2424"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4" t="s">
        <v>761</v>
      </c>
      <c r="E27" s="3447"/>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54"/>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ROUND(IF(AND(项目基本情况!B11="自然人",项目基本情况!B10="北京市"),C6*F31/(1+'数据-取费表'!C42),C32+C33+C34),2)</f>
        <v>#N/A</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t="e">
        <f ca="1">IF(项目基本情况!B11="自然人","——",ROUND(C6*F32/(1+'数据-取费表'!C42),2))</f>
        <v>#N/A</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ROUND(C29*F36,2)</f>
        <v>#N/A</v>
      </c>
      <c r="D36" s="3453"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ROUND(C13*F37,2)</f>
        <v>#N/A</v>
      </c>
      <c r="D37" s="3453" t="s">
        <v>743</v>
      </c>
      <c r="E37" s="302" t="s">
        <v>744</v>
      </c>
      <c r="F37" s="330" t="e">
        <f ca="1">INDIRECT("'数据-取费表'!Al"&amp;$G$1)</f>
        <v>#N/A</v>
      </c>
      <c r="G37" s="1384"/>
      <c r="H37" s="2695"/>
      <c r="I37" s="1398"/>
      <c r="J37" s="1399"/>
      <c r="K37" s="2539"/>
      <c r="L37" s="2695"/>
      <c r="M37" s="2695"/>
    </row>
    <row r="38" spans="1:18" ht="18" customHeight="1" thickBot="1">
      <c r="A38" s="1089" t="s">
        <v>684</v>
      </c>
      <c r="B38" s="1090" t="s">
        <v>728</v>
      </c>
      <c r="C38" s="1091" t="e">
        <f ca="1">ROUND(C5*F38,2)</f>
        <v>#N/A</v>
      </c>
      <c r="D38" s="1092" t="s">
        <v>748</v>
      </c>
      <c r="E38" s="1090" t="s">
        <v>744</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55" t="e">
        <f ca="1">C49+C53+C55</f>
        <v>#N/A</v>
      </c>
      <c r="D48" s="1112"/>
      <c r="E48" s="1113"/>
      <c r="F48" s="962"/>
      <c r="G48" s="722"/>
      <c r="H48" s="723"/>
      <c r="I48" s="1421" t="s">
        <v>819</v>
      </c>
      <c r="J48" s="1422" t="s">
        <v>3393</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f>'数据-取费表'!N19</f>
        <v>2003</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'收益法-北京银行（万元）'!J52</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727" t="s">
        <v>837</v>
      </c>
      <c r="L53" s="3728"/>
      <c r="O53" s="1418" t="s">
        <v>409</v>
      </c>
      <c r="P53" s="1419" t="s">
        <v>838</v>
      </c>
      <c r="Q53" s="1420" t="e">
        <f ca="1">Q47+Q48</f>
        <v>#N/A</v>
      </c>
      <c r="R53" s="1420" t="s">
        <v>410</v>
      </c>
    </row>
    <row r="54" spans="1:18" s="1384" customFormat="1" ht="13.5" thickBot="1">
      <c r="A54" s="1153"/>
      <c r="B54" s="1367" t="s">
        <v>679</v>
      </c>
      <c r="C54" s="959"/>
      <c r="D54" s="1366"/>
      <c r="E54" s="3450"/>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0"/>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3433</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3335</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3487</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5155.2885999999999</v>
      </c>
      <c r="C2" s="1387" t="s">
        <v>879</v>
      </c>
      <c r="D2" s="1471">
        <f ca="1">C40+J29+L46</f>
        <v>51552886</v>
      </c>
      <c r="E2" s="1388" t="s">
        <v>880</v>
      </c>
      <c r="F2" s="1389"/>
      <c r="G2" s="2701"/>
      <c r="H2" s="2690"/>
      <c r="I2" s="2690"/>
      <c r="J2" s="2690"/>
      <c r="K2" s="2691"/>
      <c r="L2" s="2690"/>
      <c r="M2" s="2690"/>
    </row>
    <row r="3" spans="1:37" ht="18" customHeight="1" thickBot="1">
      <c r="A3" s="1390" t="s">
        <v>881</v>
      </c>
      <c r="B3" s="1391">
        <f ca="1">IF(ISERROR(D2/F43),0,ROUND(D2/F43,0))</f>
        <v>45256</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4240981</v>
      </c>
      <c r="D5" s="1364" t="s">
        <v>889</v>
      </c>
      <c r="E5" s="1071"/>
      <c r="F5" s="1072"/>
      <c r="G5" s="1384"/>
      <c r="H5" s="299">
        <v>1</v>
      </c>
      <c r="I5" s="300" t="s">
        <v>888</v>
      </c>
      <c r="J5" s="1070">
        <f ca="1">J6+J10+J12</f>
        <v>5741722</v>
      </c>
      <c r="K5" s="1364" t="s">
        <v>889</v>
      </c>
      <c r="L5" s="1071"/>
      <c r="M5" s="1072"/>
    </row>
    <row r="6" spans="1:37" ht="18" customHeight="1">
      <c r="A6" s="1069" t="s">
        <v>398</v>
      </c>
      <c r="B6" s="3729" t="s">
        <v>694</v>
      </c>
      <c r="C6" s="1074">
        <f ca="1">ROUND(F6*F8*F7*(1-F9),0)</f>
        <v>4240981</v>
      </c>
      <c r="D6" s="155" t="s">
        <v>2105</v>
      </c>
      <c r="E6" s="302" t="s">
        <v>696</v>
      </c>
      <c r="F6" s="303">
        <f ca="1">INDIRECT("'数据-取费表'!u"&amp;$G$1)</f>
        <v>10.199999999999999</v>
      </c>
      <c r="G6" s="1384"/>
      <c r="H6" s="1069" t="s">
        <v>398</v>
      </c>
      <c r="I6" s="3729" t="s">
        <v>694</v>
      </c>
      <c r="J6" s="301">
        <f ca="1">ROUND(M6*M8*M7*(1-M9),0)</f>
        <v>5727403</v>
      </c>
      <c r="K6" s="1376" t="s">
        <v>2106</v>
      </c>
      <c r="L6" s="302" t="s">
        <v>696</v>
      </c>
      <c r="M6" s="303">
        <f ca="1">INDIRECT("'数据-取费表'!z"&amp;$G$1)</f>
        <v>14.5</v>
      </c>
    </row>
    <row r="7" spans="1:37" ht="18" customHeight="1">
      <c r="A7" s="1073"/>
      <c r="B7" s="3730"/>
      <c r="C7" s="1075"/>
      <c r="D7" s="307"/>
      <c r="E7" s="1076" t="s">
        <v>697</v>
      </c>
      <c r="F7" s="303">
        <f ca="1">IF(INDIRECT("'数据-取费表'!ah"&amp;$G$1)="",INDIRECT("'数据-取费表'!k"&amp;$G$1),INDIRECT("'数据-取费表'!ah"&amp;$G$1))</f>
        <v>1139.1300000000001</v>
      </c>
      <c r="G7" s="1384"/>
      <c r="H7" s="304"/>
      <c r="I7" s="3730"/>
      <c r="J7" s="306"/>
      <c r="K7" s="307"/>
      <c r="L7" s="302" t="s">
        <v>697</v>
      </c>
      <c r="M7" s="303">
        <f ca="1">F7</f>
        <v>1139.1300000000001</v>
      </c>
    </row>
    <row r="8" spans="1:37" ht="18" customHeight="1">
      <c r="A8" s="304"/>
      <c r="B8" s="3730"/>
      <c r="C8" s="306"/>
      <c r="D8" s="307"/>
      <c r="E8" s="302" t="s">
        <v>698</v>
      </c>
      <c r="F8" s="303">
        <f ca="1">INDIRECT("'数据-取费表'!ai"&amp;$G$1)</f>
        <v>365</v>
      </c>
      <c r="G8" s="1384"/>
      <c r="H8" s="304"/>
      <c r="I8" s="3730"/>
      <c r="J8" s="306"/>
      <c r="K8" s="307"/>
      <c r="L8" s="302" t="s">
        <v>698</v>
      </c>
      <c r="M8" s="303">
        <f ca="1">INDIRECT("'数据-取费表'!ai"&amp;$G$1)</f>
        <v>365</v>
      </c>
    </row>
    <row r="9" spans="1:37" ht="18" customHeight="1">
      <c r="A9" s="304"/>
      <c r="B9" s="3731"/>
      <c r="C9" s="306"/>
      <c r="D9" s="307"/>
      <c r="E9" s="302" t="s">
        <v>699</v>
      </c>
      <c r="F9" s="312">
        <f ca="1">INDIRECT("'数据-取费表'!w"&amp;$G$1)</f>
        <v>0</v>
      </c>
      <c r="G9" s="1384"/>
      <c r="H9" s="304"/>
      <c r="I9" s="3731"/>
      <c r="J9" s="306"/>
      <c r="K9" s="307"/>
      <c r="L9" s="313" t="s">
        <v>699</v>
      </c>
      <c r="M9" s="314">
        <f ca="1">INDIRECT("'数据-取费表'!ab"&amp;$G$1)</f>
        <v>0.05</v>
      </c>
    </row>
    <row r="10" spans="1:37" ht="18" customHeight="1">
      <c r="A10" s="1069" t="s">
        <v>402</v>
      </c>
      <c r="B10" s="1365" t="s">
        <v>700</v>
      </c>
      <c r="C10" s="316">
        <f ca="1">ROUND(IF(F10="押一",C6/12*F11,IF(F10="押二",C6/12*2*F11,IF(F10="押三",C6/12*3*F11,C11*F11))),0)</f>
        <v>0</v>
      </c>
      <c r="D10" s="1366" t="s">
        <v>2115</v>
      </c>
      <c r="E10" s="313" t="s">
        <v>701</v>
      </c>
      <c r="F10" s="1116" t="s">
        <v>3505</v>
      </c>
      <c r="G10" s="1384"/>
      <c r="H10" s="1069" t="s">
        <v>402</v>
      </c>
      <c r="I10" s="1365" t="s">
        <v>700</v>
      </c>
      <c r="J10" s="301">
        <f ca="1">ROUND(IF(M10="押一",J6/12*M11,IF(M10="押二",J6/12*2*M11,IF(M10="押三",J6/12*3*M11,J11*M11))),0)</f>
        <v>14319</v>
      </c>
      <c r="K10" s="1377" t="s">
        <v>2117</v>
      </c>
      <c r="L10" s="313" t="s">
        <v>701</v>
      </c>
      <c r="M10" s="1116" t="s">
        <v>3507</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7215312</v>
      </c>
      <c r="D13" s="1081" t="s">
        <v>705</v>
      </c>
      <c r="E13" s="1081" t="s">
        <v>706</v>
      </c>
      <c r="F13" s="1082">
        <f ca="1">INDIRECT("'数据-取费表'!y"&amp;$G$1)</f>
        <v>0.85</v>
      </c>
      <c r="G13" s="1384"/>
      <c r="H13" s="1079">
        <v>2</v>
      </c>
      <c r="I13" s="1080" t="s">
        <v>704</v>
      </c>
      <c r="J13" s="1068">
        <f ca="1">ROUND(J14*J15,0)</f>
        <v>6705996</v>
      </c>
      <c r="K13" s="1087" t="s">
        <v>705</v>
      </c>
      <c r="L13" s="1392"/>
      <c r="M13" s="1393"/>
    </row>
    <row r="14" spans="1:37" ht="18" customHeight="1">
      <c r="A14" s="982" t="s">
        <v>397</v>
      </c>
      <c r="B14" s="302" t="s">
        <v>707</v>
      </c>
      <c r="C14" s="318">
        <f ca="1">ROUND(INDIRECT("'数据-取费表'!l"&amp;$G$1)*F43+'数据-取费表'!L14*INDIRECT("'数据-取费表'!S"&amp;$G$1),0)</f>
        <v>5695650</v>
      </c>
      <c r="D14" s="1345" t="s">
        <v>708</v>
      </c>
      <c r="E14" s="1342"/>
      <c r="F14" s="319"/>
      <c r="G14" s="1384"/>
      <c r="H14" s="982" t="s">
        <v>398</v>
      </c>
      <c r="I14" s="302" t="s">
        <v>709</v>
      </c>
      <c r="J14" s="21">
        <f ca="1">C29</f>
        <v>8488602</v>
      </c>
      <c r="K14" s="12"/>
      <c r="L14" s="807"/>
      <c r="M14" s="808"/>
    </row>
    <row r="15" spans="1:37" s="1397" customFormat="1" ht="18" customHeight="1" thickBot="1">
      <c r="A15" s="982" t="s">
        <v>399</v>
      </c>
      <c r="B15" s="302" t="s">
        <v>710</v>
      </c>
      <c r="C15" s="21">
        <f ca="1">ROUND(C14*F15,0)</f>
        <v>170870</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1115715</v>
      </c>
      <c r="K16" s="1087" t="s">
        <v>715</v>
      </c>
      <c r="L16" s="1088"/>
      <c r="M16" s="1072"/>
    </row>
    <row r="17" spans="1:37" s="1397" customFormat="1" ht="18" customHeight="1">
      <c r="A17" s="982" t="s">
        <v>681</v>
      </c>
      <c r="B17" s="302" t="s">
        <v>716</v>
      </c>
      <c r="C17" s="21">
        <f ca="1">ROUND(F17*(F43+INDIRECT("'数据-取费表'!S"&amp;$G$1)),0)</f>
        <v>227826</v>
      </c>
      <c r="D17" s="302" t="s">
        <v>717</v>
      </c>
      <c r="E17" s="302" t="s">
        <v>718</v>
      </c>
      <c r="F17" s="23">
        <f>'数据-取费表'!B35</f>
        <v>200</v>
      </c>
      <c r="G17" s="1396"/>
      <c r="H17" s="982" t="s">
        <v>398</v>
      </c>
      <c r="I17" s="302" t="s">
        <v>719</v>
      </c>
      <c r="J17" s="2316">
        <f ca="1">ROUND(IF(AND(项目基本情况!B11="自然人",项目基本情况!B10="北京市"),J6*M17/(1+'数据-取费表'!C42),J18+J19+J20),0)</f>
        <v>966706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85435</v>
      </c>
      <c r="D18" s="302" t="s">
        <v>711</v>
      </c>
      <c r="E18" s="302" t="s">
        <v>712</v>
      </c>
      <c r="F18" s="322">
        <f>'数据-取费表'!B36</f>
        <v>1.4999999999999999E-2</v>
      </c>
      <c r="G18" s="1396"/>
      <c r="H18" s="982" t="s">
        <v>397</v>
      </c>
      <c r="I18" s="302" t="s">
        <v>723</v>
      </c>
      <c r="J18" s="21">
        <f ca="1">ROUND(J6*M18/(1+'数据-取费表'!C42),0)</f>
        <v>305461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6179781</v>
      </c>
      <c r="D19" s="131" t="s">
        <v>726</v>
      </c>
      <c r="E19" s="1360"/>
      <c r="F19" s="23"/>
      <c r="G19" s="1384"/>
      <c r="H19" s="982" t="s">
        <v>399</v>
      </c>
      <c r="I19" s="302" t="s">
        <v>727</v>
      </c>
      <c r="J19" s="21">
        <f ca="1">IF(K19="按租金收入计税",ROUND(J6*M19/(1+'数据-取费表'!C42),0),ROUND(C29*M19*0.7,0))</f>
        <v>654560</v>
      </c>
      <c r="K19" s="1370" t="s">
        <v>3335</v>
      </c>
      <c r="L19" s="302" t="s">
        <v>712</v>
      </c>
      <c r="M19" s="322">
        <f>IF(K19="按租金收入计税",'数据-取费表'!B51,'数据-取费表'!B50)</f>
        <v>0.12</v>
      </c>
    </row>
    <row r="20" spans="1:37" s="1397" customFormat="1" ht="18" customHeight="1">
      <c r="A20" s="982" t="s">
        <v>402</v>
      </c>
      <c r="B20" s="302" t="s">
        <v>728</v>
      </c>
      <c r="C20" s="21">
        <f ca="1">ROUND(C19*F20,0)</f>
        <v>123596</v>
      </c>
      <c r="D20" s="323" t="s">
        <v>729</v>
      </c>
      <c r="E20" s="302" t="s">
        <v>712</v>
      </c>
      <c r="F20" s="322">
        <f>'数据-取费表'!B37</f>
        <v>0.02</v>
      </c>
      <c r="G20" s="1396"/>
      <c r="H20" s="982" t="s">
        <v>680</v>
      </c>
      <c r="I20" s="155" t="s">
        <v>730</v>
      </c>
      <c r="J20" s="22">
        <f ca="1">ROUND(M20*M21,0)</f>
        <v>6685</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278.54000000000002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84886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261590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6706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57417</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4626007</v>
      </c>
      <c r="K25" s="1095" t="s">
        <v>753</v>
      </c>
      <c r="L25" s="1096"/>
      <c r="M25" s="1097"/>
    </row>
    <row r="26" spans="1:37" ht="18" customHeight="1">
      <c r="A26" s="982" t="s">
        <v>397</v>
      </c>
      <c r="B26" s="302" t="s">
        <v>754</v>
      </c>
      <c r="C26" s="21">
        <f ca="1">ROUND((C19+C20)*F26,0)</f>
        <v>1260675</v>
      </c>
      <c r="D26" s="323" t="s">
        <v>755</v>
      </c>
      <c r="E26" s="313" t="s">
        <v>756</v>
      </c>
      <c r="F26" s="312">
        <f ca="1">INDIRECT("'数据-取费表'!q"&amp;$G$1)</f>
        <v>0.2</v>
      </c>
      <c r="G26" s="1384"/>
      <c r="H26" s="299" t="s">
        <v>395</v>
      </c>
      <c r="I26" s="300" t="s">
        <v>757</v>
      </c>
      <c r="J26" s="301">
        <f ca="1">IF(J5&lt;&gt;0,ROUND(J25*(1-((1+M28)/(1+M26))^M27)/(M26-M28),0),0)</f>
        <v>46240873</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8488602</v>
      </c>
      <c r="D29" s="1092"/>
      <c r="E29" s="1090"/>
      <c r="F29" s="1093"/>
      <c r="G29" s="1396"/>
      <c r="H29" s="334" t="s">
        <v>396</v>
      </c>
      <c r="I29" s="335" t="s">
        <v>768</v>
      </c>
      <c r="J29" s="336">
        <f ca="1">ROUND(J26/(1+F40)^F41,0)</f>
        <v>32983976</v>
      </c>
      <c r="K29" s="337" t="s">
        <v>769</v>
      </c>
      <c r="L29" s="338"/>
      <c r="M29" s="339">
        <f ca="1">INDIRECT("'数据-取费表'!k"&amp;$G$1)</f>
        <v>1139.1300000000001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852066</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717555</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226186</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484684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6685</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278.54000000000002</v>
      </c>
      <c r="G35" s="1384"/>
      <c r="H35" s="2692"/>
      <c r="I35" s="1398">
        <f ca="1">C40+J29</f>
        <v>50648984</v>
      </c>
      <c r="J35" s="1399"/>
      <c r="K35" s="2696"/>
      <c r="L35" s="2695"/>
      <c r="M35" s="2695"/>
    </row>
    <row r="36" spans="1:18" ht="18" customHeight="1">
      <c r="A36" s="1102" t="s">
        <v>402</v>
      </c>
      <c r="B36" s="302" t="s">
        <v>738</v>
      </c>
      <c r="C36" s="21">
        <f ca="1">ROUND(C29*F36,0)</f>
        <v>84886</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7215</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42410</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3388915</v>
      </c>
      <c r="D39" s="1095" t="s">
        <v>773</v>
      </c>
      <c r="E39" s="1096"/>
      <c r="F39" s="1097"/>
      <c r="G39" s="1384"/>
      <c r="H39" s="2695"/>
      <c r="I39" s="1398"/>
      <c r="J39" s="1399"/>
      <c r="K39" s="2699"/>
      <c r="L39" s="2695"/>
      <c r="M39" s="2695"/>
    </row>
    <row r="40" spans="1:18" ht="18" customHeight="1">
      <c r="A40" s="299" t="s">
        <v>395</v>
      </c>
      <c r="B40" s="300" t="s">
        <v>774</v>
      </c>
      <c r="C40" s="301">
        <f ca="1">ROUND(C39*(1-((1+F42)/(1+F40))^F41)/(F40-F42),0)</f>
        <v>17665008</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ROUND(C40/F43,0)</f>
        <v>15507</v>
      </c>
      <c r="D43" s="337" t="s">
        <v>777</v>
      </c>
      <c r="E43" s="338" t="s">
        <v>778</v>
      </c>
      <c r="F43" s="339">
        <f ca="1">INDIRECT("'数据-取费表'!k"&amp;$G$1)</f>
        <v>1139.1300000000001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219.6678</v>
      </c>
      <c r="D45" s="3427" t="s">
        <v>3352</v>
      </c>
      <c r="E45" s="1400"/>
      <c r="F45" s="1400"/>
      <c r="O45" s="1403" t="s">
        <v>808</v>
      </c>
      <c r="P45" s="1461"/>
      <c r="Q45" s="1461"/>
      <c r="R45" s="1461"/>
    </row>
    <row r="46" spans="1:18" s="1384" customFormat="1" ht="13.5" thickBot="1">
      <c r="A46" s="1404" t="s">
        <v>809</v>
      </c>
      <c r="C46" s="1405">
        <f ca="1">ROUND(C45,0)</f>
        <v>220</v>
      </c>
      <c r="D46" s="1406" t="str">
        <f>C2</f>
        <v>万元</v>
      </c>
      <c r="I46" s="1407" t="s">
        <v>810</v>
      </c>
      <c r="J46" s="1408"/>
      <c r="K46" s="1409"/>
      <c r="L46" s="1410">
        <f ca="1">IF(M47="住宅",0,IF(L48&gt;J51,L60,J60))</f>
        <v>903902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50648984</v>
      </c>
      <c r="R47" s="1420" t="s">
        <v>818</v>
      </c>
    </row>
    <row r="48" spans="1:18" s="1384" customFormat="1" ht="28.5" thickBot="1">
      <c r="A48" s="1110" t="s">
        <v>438</v>
      </c>
      <c r="B48" s="300" t="s">
        <v>692</v>
      </c>
      <c r="C48" s="1359">
        <f ca="1">C49+C53+C55</f>
        <v>4751770</v>
      </c>
      <c r="D48" s="1112"/>
      <c r="E48" s="1113"/>
      <c r="F48" s="962"/>
      <c r="G48" s="722"/>
      <c r="H48" s="723"/>
      <c r="I48" s="1421" t="s">
        <v>819</v>
      </c>
      <c r="J48" s="1422" t="s">
        <v>3393</v>
      </c>
      <c r="K48" s="1423" t="s">
        <v>820</v>
      </c>
      <c r="L48" s="1424">
        <f ca="1">INDIRECT("'数据-取费表'!f"&amp;$G$1)</f>
        <v>18.3</v>
      </c>
      <c r="O48" s="1418" t="s">
        <v>404</v>
      </c>
      <c r="P48" s="1419" t="s">
        <v>821</v>
      </c>
      <c r="Q48" s="1420">
        <f ca="1">J60</f>
        <v>903902</v>
      </c>
      <c r="R48" s="1420" t="s">
        <v>822</v>
      </c>
    </row>
    <row r="49" spans="1:18" s="1384" customFormat="1" ht="13.5" thickBot="1">
      <c r="A49" s="975" t="s">
        <v>439</v>
      </c>
      <c r="B49" s="1371" t="s">
        <v>779</v>
      </c>
      <c r="C49" s="1114">
        <f ca="1">ROUND(F49*F51*F50*(1-F52),0)</f>
        <v>4739920</v>
      </c>
      <c r="D49" s="1055" t="s">
        <v>695</v>
      </c>
      <c r="E49" s="1372" t="s">
        <v>780</v>
      </c>
      <c r="F49" s="1060">
        <v>12</v>
      </c>
      <c r="G49" s="1425"/>
      <c r="H49" s="723"/>
      <c r="I49" s="1421" t="s">
        <v>823</v>
      </c>
      <c r="J49" s="1426">
        <f>'数据-取费表'!N19</f>
        <v>2003</v>
      </c>
      <c r="K49" s="1423" t="s">
        <v>824</v>
      </c>
      <c r="L49" s="1427"/>
      <c r="O49" s="1428" t="s">
        <v>405</v>
      </c>
      <c r="P49" s="1419" t="s">
        <v>825</v>
      </c>
      <c r="Q49" s="1420">
        <f ca="1">C29</f>
        <v>8488602</v>
      </c>
      <c r="R49" s="1420" t="s">
        <v>818</v>
      </c>
    </row>
    <row r="50" spans="1:18" s="1384" customFormat="1" ht="13.5" thickBot="1">
      <c r="A50" s="976"/>
      <c r="B50" s="979"/>
      <c r="C50" s="980"/>
      <c r="D50" s="953"/>
      <c r="E50" s="1056" t="s">
        <v>697</v>
      </c>
      <c r="F50" s="1057">
        <f ca="1">F7</f>
        <v>1139.1300000000001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49484114</v>
      </c>
      <c r="M51" s="1436"/>
      <c r="O51" s="1428" t="s">
        <v>407</v>
      </c>
      <c r="P51" s="1419" t="s">
        <v>831</v>
      </c>
      <c r="Q51" s="1431">
        <f>J52</f>
        <v>7.5000000000000011E-2</v>
      </c>
      <c r="R51" s="1420"/>
    </row>
    <row r="52" spans="1:18" s="1384" customFormat="1" ht="13.5" thickBot="1">
      <c r="A52" s="977"/>
      <c r="B52" s="979"/>
      <c r="C52" s="980"/>
      <c r="D52" s="953"/>
      <c r="E52" s="981" t="s">
        <v>699</v>
      </c>
      <c r="F52" s="1054">
        <v>0.05</v>
      </c>
      <c r="I52" s="1437" t="s">
        <v>832</v>
      </c>
      <c r="J52" s="1438">
        <f>'数据-取费表'!J6+0.005</f>
        <v>7.5000000000000011E-2</v>
      </c>
      <c r="K52" s="1437" t="s">
        <v>833</v>
      </c>
      <c r="L52" s="1438"/>
      <c r="O52" s="1428" t="s">
        <v>408</v>
      </c>
      <c r="P52" s="1419" t="s">
        <v>834</v>
      </c>
      <c r="Q52" s="1420">
        <f ca="1">J53</f>
        <v>18.3</v>
      </c>
      <c r="R52" s="1420" t="s">
        <v>835</v>
      </c>
    </row>
    <row r="53" spans="1:18" s="1384" customFormat="1" ht="30.75" customHeight="1" thickBot="1">
      <c r="A53" s="1111" t="s">
        <v>440</v>
      </c>
      <c r="B53" s="323" t="s">
        <v>700</v>
      </c>
      <c r="C53" s="316">
        <f ca="1">ROUND(IF(F53="押一",C49/12*F11,IF(F53="押二",C49/12*2*F11,IF(F53="押三",C49/12*3*F11,C54*F11))),0)</f>
        <v>11850</v>
      </c>
      <c r="D53" s="1366" t="s">
        <v>2118</v>
      </c>
      <c r="E53" s="313" t="s">
        <v>701</v>
      </c>
      <c r="F53" s="1116" t="s">
        <v>3507</v>
      </c>
      <c r="I53" s="1439" t="s">
        <v>836</v>
      </c>
      <c r="J53" s="2168">
        <f ca="1">IF(M47="住宅",IF(D1="——",MAX(J51,L48),MAX(J51,L48-'数据-取费表'!B24)),IF(D1="——",MIN(J51,L48),MIN(J51,L48-'数据-取费表'!B24)))</f>
        <v>18.3</v>
      </c>
      <c r="K53" s="3727" t="s">
        <v>837</v>
      </c>
      <c r="L53" s="3728"/>
      <c r="O53" s="1418" t="s">
        <v>409</v>
      </c>
      <c r="P53" s="1419" t="s">
        <v>838</v>
      </c>
      <c r="Q53" s="1420">
        <f ca="1">Q47+Q48</f>
        <v>51552886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7215312</v>
      </c>
      <c r="D56" s="1447"/>
      <c r="E56" s="1448"/>
      <c r="F56" s="1440"/>
      <c r="I56" s="1449" t="s">
        <v>842</v>
      </c>
      <c r="J56" s="1450" t="s">
        <v>3433</v>
      </c>
      <c r="K56" s="1421" t="s">
        <v>843</v>
      </c>
      <c r="L56" s="1424" t="str">
        <f ca="1">IF(L48&lt;J51,"——",L48-J51)</f>
        <v>——</v>
      </c>
      <c r="O56" s="1418" t="s">
        <v>403</v>
      </c>
      <c r="P56" s="1419" t="s">
        <v>817</v>
      </c>
      <c r="Q56" s="1420">
        <f ca="1">C40+J29</f>
        <v>50648984</v>
      </c>
      <c r="R56" s="1420" t="s">
        <v>818</v>
      </c>
    </row>
    <row r="57" spans="1:18" s="1384" customFormat="1" ht="24.75" thickBot="1">
      <c r="A57" s="1451"/>
      <c r="B57" s="950" t="s">
        <v>767</v>
      </c>
      <c r="C57" s="238">
        <f ca="1">C29</f>
        <v>8488602</v>
      </c>
      <c r="D57" s="1452"/>
      <c r="E57" s="1453"/>
      <c r="F57" s="1454"/>
      <c r="I57" s="1455" t="s">
        <v>844</v>
      </c>
      <c r="J57" s="1456">
        <f ca="1">IF(OR(M47="住宅",J51&lt;L48,J56="是"),"——",J51-L48)</f>
        <v>21.7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941437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801818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3395441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253428</v>
      </c>
      <c r="D60" s="964" t="s">
        <v>724</v>
      </c>
      <c r="E60" s="950" t="s">
        <v>712</v>
      </c>
      <c r="F60" s="331">
        <f t="shared" ref="F60:F66" si="0">F32</f>
        <v>5.6000000000000001E-2</v>
      </c>
      <c r="I60" s="1458" t="s">
        <v>853</v>
      </c>
      <c r="J60" s="1459">
        <f ca="1">IF(OR(M47="住宅",J51&lt;L48,J56="是"),"0",ROUND(J59/(1+J52)^J53,0))</f>
        <v>903902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541705</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6685</v>
      </c>
      <c r="D62" s="965" t="s">
        <v>786</v>
      </c>
      <c r="E62" s="950" t="s">
        <v>787</v>
      </c>
      <c r="F62" s="325">
        <f t="shared" si="0"/>
        <v>24</v>
      </c>
      <c r="I62" s="1462" t="s">
        <v>858</v>
      </c>
      <c r="J62" s="1463" t="s">
        <v>859</v>
      </c>
      <c r="K62" s="1463" t="s">
        <v>860</v>
      </c>
      <c r="L62" s="1463" t="s">
        <v>861</v>
      </c>
      <c r="M62" s="1464" t="s">
        <v>862</v>
      </c>
      <c r="O62" s="1418" t="s">
        <v>409</v>
      </c>
      <c r="P62" s="1419" t="s">
        <v>863</v>
      </c>
      <c r="Q62" s="1420">
        <f ca="1">Q56+Q57</f>
        <v>50648984</v>
      </c>
      <c r="R62" s="1420" t="s">
        <v>410</v>
      </c>
    </row>
    <row r="63" spans="1:18" s="1384" customFormat="1" ht="13.5" thickBot="1">
      <c r="A63" s="326"/>
      <c r="B63" s="956"/>
      <c r="C63" s="26"/>
      <c r="D63" s="966"/>
      <c r="E63" s="950" t="s">
        <v>788</v>
      </c>
      <c r="F63" s="303">
        <f t="shared" ca="1" si="0"/>
        <v>278.54000000000002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84886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7215</v>
      </c>
      <c r="D65" s="964" t="s">
        <v>743</v>
      </c>
      <c r="E65" s="950" t="s">
        <v>744</v>
      </c>
      <c r="F65" s="330">
        <f t="shared" ca="1" si="0"/>
        <v>1E-3</v>
      </c>
      <c r="I65" s="1462" t="s">
        <v>867</v>
      </c>
      <c r="J65" s="1463">
        <v>40</v>
      </c>
      <c r="K65" s="1463">
        <v>30</v>
      </c>
      <c r="L65" s="1463">
        <v>50</v>
      </c>
      <c r="M65" s="1465">
        <v>0.02</v>
      </c>
      <c r="O65" s="1418" t="s">
        <v>403</v>
      </c>
      <c r="P65" s="1419" t="s">
        <v>868</v>
      </c>
      <c r="Q65" s="1420">
        <f ca="1">C40+J29</f>
        <v>50648984</v>
      </c>
      <c r="R65" s="1420" t="s">
        <v>818</v>
      </c>
    </row>
    <row r="66" spans="1:18" s="1384" customFormat="1" ht="16.5" thickBot="1">
      <c r="A66" s="982" t="s">
        <v>793</v>
      </c>
      <c r="B66" s="950" t="s">
        <v>728</v>
      </c>
      <c r="C66" s="21">
        <f ca="1">ROUND(C48*F66,0)</f>
        <v>47518</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3810333</v>
      </c>
      <c r="D67" s="963" t="s">
        <v>753</v>
      </c>
      <c r="E67" s="968"/>
      <c r="F67" s="969"/>
      <c r="O67" s="1428" t="s">
        <v>405</v>
      </c>
      <c r="P67" s="1419" t="s">
        <v>850</v>
      </c>
      <c r="Q67" s="1466">
        <f ca="1">L51</f>
        <v>49484114</v>
      </c>
      <c r="R67" s="1420" t="s">
        <v>870</v>
      </c>
    </row>
    <row r="68" spans="1:18" s="1384" customFormat="1" ht="16.5" thickBot="1">
      <c r="A68" s="947" t="s">
        <v>395</v>
      </c>
      <c r="B68" s="948" t="s">
        <v>774</v>
      </c>
      <c r="C68" s="301">
        <f ca="1">ROUND(C67*(1-((1+F70)/(1+F68))^F69)/(F68-F70),0)</f>
        <v>19861686</v>
      </c>
      <c r="D68" s="965" t="s">
        <v>758</v>
      </c>
      <c r="E68" s="950" t="s">
        <v>759</v>
      </c>
      <c r="F68" s="312">
        <f ca="1">F40</f>
        <v>5.5E-2</v>
      </c>
      <c r="O68" s="1428" t="s">
        <v>406</v>
      </c>
      <c r="P68" s="1467" t="s">
        <v>871</v>
      </c>
      <c r="Q68" s="1420">
        <f ca="1">ROUND(Q69-Q70*Q71,0)</f>
        <v>2883843</v>
      </c>
      <c r="R68" s="1420" t="s">
        <v>414</v>
      </c>
    </row>
    <row r="69" spans="1:18" s="1384" customFormat="1" ht="13.5" thickBot="1">
      <c r="A69" s="951"/>
      <c r="B69" s="952"/>
      <c r="C69" s="306"/>
      <c r="D69" s="970" t="s">
        <v>762</v>
      </c>
      <c r="E69" s="950" t="s">
        <v>763</v>
      </c>
      <c r="F69" s="333">
        <f ca="1">F41</f>
        <v>6.31</v>
      </c>
      <c r="O69" s="1428" t="s">
        <v>411</v>
      </c>
      <c r="P69" s="1467" t="s">
        <v>872</v>
      </c>
      <c r="Q69" s="1420">
        <f ca="1">C39</f>
        <v>3388915</v>
      </c>
      <c r="R69" s="1420" t="s">
        <v>818</v>
      </c>
    </row>
    <row r="70" spans="1:18" s="1384" customFormat="1" ht="13.5" thickBot="1">
      <c r="A70" s="954"/>
      <c r="B70" s="955"/>
      <c r="C70" s="310"/>
      <c r="D70" s="966"/>
      <c r="E70" s="950" t="s">
        <v>766</v>
      </c>
      <c r="F70" s="1054"/>
      <c r="O70" s="1428" t="s">
        <v>412</v>
      </c>
      <c r="P70" s="1467" t="s">
        <v>873</v>
      </c>
      <c r="Q70" s="1420">
        <f ca="1">C13</f>
        <v>7215312</v>
      </c>
      <c r="R70" s="1420" t="s">
        <v>818</v>
      </c>
    </row>
    <row r="71" spans="1:18" s="1384" customFormat="1" ht="13.5" thickBot="1">
      <c r="A71" s="971" t="s">
        <v>396</v>
      </c>
      <c r="B71" s="972" t="s">
        <v>776</v>
      </c>
      <c r="C71" s="336">
        <f ca="1">ROUND(C68/F71,0)</f>
        <v>17436</v>
      </c>
      <c r="D71" s="973" t="s">
        <v>777</v>
      </c>
      <c r="E71" s="974" t="s">
        <v>778</v>
      </c>
      <c r="F71" s="339">
        <f ca="1">F43</f>
        <v>1139.1300000000001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505072</v>
      </c>
      <c r="D75" s="1384"/>
      <c r="E75" s="1384"/>
      <c r="F75" s="1384"/>
      <c r="K75" s="1402"/>
      <c r="L75" s="1384"/>
      <c r="O75" s="1418" t="s">
        <v>409</v>
      </c>
      <c r="P75" s="1419" t="s">
        <v>838</v>
      </c>
      <c r="Q75" s="1420">
        <f ca="1">Q65+Q66</f>
        <v>50648984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0.85099999999999998</v>
      </c>
    </row>
    <row r="80" spans="1:18">
      <c r="B80" s="340" t="s">
        <v>800</v>
      </c>
      <c r="C80" s="274">
        <f ca="1">ROUND(C75/C39,3)</f>
        <v>0.14899999999999999</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3489</v>
      </c>
      <c r="D1" s="1362" t="s">
        <v>43</v>
      </c>
      <c r="E1" s="1363" t="s">
        <v>678</v>
      </c>
      <c r="F1" s="1062" t="e">
        <f ca="1">J53</f>
        <v>#N/A</v>
      </c>
      <c r="G1" s="1378"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0" t="e">
        <f ca="1">ROUND(D2/10000,4)</f>
        <v>#N/A</v>
      </c>
      <c r="C2" s="1387" t="s">
        <v>879</v>
      </c>
      <c r="D2" s="1471" t="e">
        <f ca="1">C40+J29+L46</f>
        <v>#N/A</v>
      </c>
      <c r="E2" s="1388" t="s">
        <v>880</v>
      </c>
      <c r="F2" s="1389"/>
      <c r="G2" s="2701"/>
      <c r="H2" s="2690"/>
      <c r="I2" s="2690"/>
      <c r="J2" s="2690"/>
      <c r="K2" s="2691"/>
      <c r="L2" s="2690"/>
      <c r="M2" s="2690"/>
    </row>
    <row r="3" spans="1:37" ht="18" customHeight="1" thickBot="1">
      <c r="A3" s="1390" t="s">
        <v>881</v>
      </c>
      <c r="B3" s="1391">
        <f ca="1">IF(ISERROR(D2/F43),0,ROUND(D2/F43,0))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729" t="s">
        <v>694</v>
      </c>
      <c r="C6" s="1074" t="e">
        <f ca="1">ROUND(F6*F8*F7*(1-F9),0)</f>
        <v>#N/A</v>
      </c>
      <c r="D6" s="155" t="s">
        <v>2105</v>
      </c>
      <c r="E6" s="302" t="s">
        <v>696</v>
      </c>
      <c r="F6" s="303" t="e">
        <f ca="1">INDIRECT("'数据-取费表'!u"&amp;$G$1)</f>
        <v>#N/A</v>
      </c>
      <c r="G6" s="1384"/>
      <c r="H6" s="1069" t="s">
        <v>398</v>
      </c>
      <c r="I6" s="3729" t="s">
        <v>694</v>
      </c>
      <c r="J6" s="301" t="e">
        <f ca="1">ROUND(M6*M8*M7*(1-M9),0)</f>
        <v>#N/A</v>
      </c>
      <c r="K6" s="1376" t="s">
        <v>2106</v>
      </c>
      <c r="L6" s="302" t="s">
        <v>696</v>
      </c>
      <c r="M6" s="303" t="e">
        <f ca="1">INDIRECT("'数据-取费表'!z"&amp;$G$1)</f>
        <v>#N/A</v>
      </c>
    </row>
    <row r="7" spans="1:37" ht="18" customHeight="1">
      <c r="A7" s="1073"/>
      <c r="B7" s="3730"/>
      <c r="C7" s="1075"/>
      <c r="D7" s="307"/>
      <c r="E7" s="3478" t="s">
        <v>697</v>
      </c>
      <c r="F7" s="303" t="e">
        <f ca="1">IF(INDIRECT("'数据-取费表'!ah"&amp;$G$1)="",INDIRECT("'数据-取费表'!k"&amp;$G$1),INDIRECT("'数据-取费表'!ah"&amp;$G$1))</f>
        <v>#N/A</v>
      </c>
      <c r="G7" s="1384"/>
      <c r="H7" s="304"/>
      <c r="I7" s="3730"/>
      <c r="J7" s="306"/>
      <c r="K7" s="307"/>
      <c r="L7" s="302" t="s">
        <v>697</v>
      </c>
      <c r="M7" s="303" t="e">
        <f ca="1">F7</f>
        <v>#N/A</v>
      </c>
    </row>
    <row r="8" spans="1:37" ht="18" customHeight="1">
      <c r="A8" s="304"/>
      <c r="B8" s="3730"/>
      <c r="C8" s="306"/>
      <c r="D8" s="307"/>
      <c r="E8" s="302" t="s">
        <v>698</v>
      </c>
      <c r="F8" s="303" t="e">
        <f ca="1">INDIRECT("'数据-取费表'!ai"&amp;$G$1)</f>
        <v>#N/A</v>
      </c>
      <c r="G8" s="1384"/>
      <c r="H8" s="304"/>
      <c r="I8" s="3730"/>
      <c r="J8" s="306"/>
      <c r="K8" s="307"/>
      <c r="L8" s="302" t="s">
        <v>698</v>
      </c>
      <c r="M8" s="303" t="e">
        <f ca="1">INDIRECT("'数据-取费表'!ai"&amp;$G$1)</f>
        <v>#N/A</v>
      </c>
    </row>
    <row r="9" spans="1:37" ht="18" customHeight="1">
      <c r="A9" s="304"/>
      <c r="B9" s="3731"/>
      <c r="C9" s="306"/>
      <c r="D9" s="307"/>
      <c r="E9" s="302" t="s">
        <v>699</v>
      </c>
      <c r="F9" s="312" t="e">
        <f ca="1">INDIRECT("'数据-取费表'!w"&amp;$G$1)</f>
        <v>#N/A</v>
      </c>
      <c r="G9" s="1384"/>
      <c r="H9" s="304"/>
      <c r="I9" s="3731"/>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3507</v>
      </c>
      <c r="G10" s="1384"/>
      <c r="H10" s="1069" t="s">
        <v>402</v>
      </c>
      <c r="I10" s="1365" t="s">
        <v>700</v>
      </c>
      <c r="J10" s="301" t="e">
        <f ca="1">ROUND(IF(M10="押一",J6/12*M11,IF(M10="押二",J6/12*2*M11,IF(M10="押三",J6/12*3*M11,J11*M11))),0)</f>
        <v>#N/A</v>
      </c>
      <c r="K10" s="1377" t="s">
        <v>2117</v>
      </c>
      <c r="L10" s="313" t="s">
        <v>701</v>
      </c>
      <c r="M10" s="1116" t="s">
        <v>3391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75" t="s">
        <v>705</v>
      </c>
      <c r="E13" s="3475"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3481" t="s">
        <v>708</v>
      </c>
      <c r="E14" s="3480"/>
      <c r="F14" s="319"/>
      <c r="G14" s="1384"/>
      <c r="H14" s="982" t="s">
        <v>398</v>
      </c>
      <c r="I14" s="302" t="s">
        <v>709</v>
      </c>
      <c r="J14" s="21" t="e">
        <f ca="1">C29</f>
        <v>#N/A</v>
      </c>
      <c r="K14" s="3477"/>
      <c r="L14" s="807"/>
      <c r="M14" s="808"/>
    </row>
    <row r="15" spans="1:37" s="1397" customFormat="1" ht="18" customHeight="1" thickBot="1">
      <c r="A15" s="982" t="s">
        <v>399</v>
      </c>
      <c r="B15" s="302" t="s">
        <v>710</v>
      </c>
      <c r="C15" s="21" t="e">
        <f ca="1">ROUND(C14*F15,0)</f>
        <v>#N/A</v>
      </c>
      <c r="D15" s="3476" t="s">
        <v>711</v>
      </c>
      <c r="E15" s="3476"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83"/>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3481" t="s">
        <v>720</v>
      </c>
      <c r="L17" s="348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348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85"/>
      <c r="F19" s="23"/>
      <c r="G19" s="1384"/>
      <c r="H19" s="982" t="s">
        <v>399</v>
      </c>
      <c r="I19" s="302" t="s">
        <v>727</v>
      </c>
      <c r="J19" s="21" t="e">
        <f ca="1">IF(K19="按租金收入计税",ROUND(J6*M19/(1+'数据-取费表'!C42),0),ROUND(C29*M19*0.7,0))</f>
        <v>#N/A</v>
      </c>
      <c r="K19" s="1370" t="s">
        <v>3335</v>
      </c>
      <c r="L19" s="302" t="s">
        <v>712</v>
      </c>
      <c r="M19" s="322">
        <f>IF(K19="按租金收入计税",'数据-取费表'!B51,'数据-取费表'!B50)</f>
        <v>0.12</v>
      </c>
    </row>
    <row r="20" spans="1:37" s="1397" customFormat="1" ht="18" customHeight="1">
      <c r="A20" s="982" t="s">
        <v>402</v>
      </c>
      <c r="B20" s="302" t="s">
        <v>728</v>
      </c>
      <c r="C20" s="21" t="e">
        <f ca="1">ROUND(C19*F20,0)</f>
        <v>#N/A</v>
      </c>
      <c r="D20" s="2424" t="s">
        <v>729</v>
      </c>
      <c r="E20" s="302" t="s">
        <v>712</v>
      </c>
      <c r="F20" s="322">
        <f>'数据-取费表'!B37</f>
        <v>0.02</v>
      </c>
      <c r="G20" s="1396"/>
      <c r="H20" s="982" t="s">
        <v>680</v>
      </c>
      <c r="I20" s="155" t="s">
        <v>730</v>
      </c>
      <c r="J20" s="22" t="e">
        <f ca="1">ROUND(M20*M21,0)</f>
        <v>#N/A</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4"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4"/>
      <c r="H22" s="982" t="s">
        <v>402</v>
      </c>
      <c r="I22" s="302" t="s">
        <v>738</v>
      </c>
      <c r="J22" s="21" t="e">
        <f ca="1">ROUND(J14*M22,0)</f>
        <v>#N/A</v>
      </c>
      <c r="K22" s="3482"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ROUND(J13*M23,0)</f>
        <v>#N/A</v>
      </c>
      <c r="K23" s="3482"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ROUND(J5*M24,0)</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5"/>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2424"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4" t="s">
        <v>761</v>
      </c>
      <c r="E27" s="3476"/>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83"/>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ROUND(IF(AND(项目基本情况!B11="自然人",项目基本情况!B10="北京市"),C6*F31/(1+'数据-取费表'!C42),C32+C33+C34),0)</f>
        <v>#N/A</v>
      </c>
      <c r="D31" s="3481" t="s">
        <v>720</v>
      </c>
      <c r="E31" s="3482"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t="e">
        <f ca="1">IF(项目基本情况!B11="自然人","——",ROUND(C6*F32/(1+'数据-取费表'!C42),0))</f>
        <v>#N/A</v>
      </c>
      <c r="D32" s="3482"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IF(项目基本情况!B11="自然人","——",ROUND(F34*F35,0))</f>
        <v>#N/A</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ROUND(C29*F36,0)</f>
        <v>#N/A</v>
      </c>
      <c r="D36" s="3482"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ROUND(C13*F37,0)</f>
        <v>#N/A</v>
      </c>
      <c r="D37" s="3482" t="s">
        <v>743</v>
      </c>
      <c r="E37" s="302" t="s">
        <v>712</v>
      </c>
      <c r="F37" s="330" t="e">
        <f ca="1">INDIRECT("'数据-取费表'!Al"&amp;$G$1)</f>
        <v>#N/A</v>
      </c>
      <c r="G37" s="1384"/>
      <c r="H37" s="2695"/>
      <c r="I37" s="1398"/>
      <c r="J37" s="1399"/>
      <c r="K37" s="2539"/>
      <c r="L37" s="2695"/>
      <c r="M37" s="2695"/>
    </row>
    <row r="38" spans="1:18" ht="18" customHeight="1" thickBot="1">
      <c r="A38" s="1089" t="s">
        <v>683</v>
      </c>
      <c r="B38" s="1090" t="s">
        <v>728</v>
      </c>
      <c r="C38" s="1091" t="e">
        <f ca="1">ROUND(C5*F38,0)</f>
        <v>#N/A</v>
      </c>
      <c r="D38" s="1092" t="s">
        <v>748</v>
      </c>
      <c r="E38" s="1090" t="s">
        <v>712</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#N/A</v>
      </c>
      <c r="D45" s="3427" t="s">
        <v>3352</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84" t="e">
        <f ca="1">C49+C53+C55</f>
        <v>#N/A</v>
      </c>
      <c r="D48" s="1112"/>
      <c r="E48" s="1113"/>
      <c r="F48" s="962"/>
      <c r="G48" s="722"/>
      <c r="H48" s="723"/>
      <c r="I48" s="1421" t="s">
        <v>819</v>
      </c>
      <c r="J48" s="1422" t="s">
        <v>3393</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f>'数据-取费表'!N19</f>
        <v>2003</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t="e">
        <f ca="1">J53</f>
        <v>#N/A</v>
      </c>
      <c r="R52" s="1420" t="s">
        <v>835</v>
      </c>
    </row>
    <row r="53" spans="1:18" s="1384" customFormat="1" ht="30.75" customHeight="1" thickBot="1">
      <c r="A53" s="1111" t="s">
        <v>440</v>
      </c>
      <c r="B53" s="2424"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727" t="s">
        <v>837</v>
      </c>
      <c r="L53" s="3728"/>
      <c r="O53" s="1418" t="s">
        <v>409</v>
      </c>
      <c r="P53" s="1419" t="s">
        <v>838</v>
      </c>
      <c r="Q53" s="1420" t="e">
        <f ca="1">Q47+Q48</f>
        <v>#N/A</v>
      </c>
      <c r="R53" s="1420" t="s">
        <v>410</v>
      </c>
    </row>
    <row r="54" spans="1:18" s="1384" customFormat="1" ht="13.5" thickBot="1">
      <c r="A54" s="975"/>
      <c r="B54" s="1473" t="s">
        <v>891</v>
      </c>
      <c r="C54" s="959"/>
      <c r="D54" s="1366"/>
      <c r="E54" s="3479"/>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79"/>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3433</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IF(项目基本情况!B11="自然人","——",IF(D61="按租金收入计税",ROUND(C49*F61/(1+'数据-取费表'!C42),0),IF(D61="按房产原值计税",ROUND(C57*F61*0.7,0),INDIRECT("'数据-取费表'!Aj"&amp;$G$1))))</f>
        <v>#N/A</v>
      </c>
      <c r="D61" s="1370" t="s">
        <v>3335</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IF(项目基本情况!B11="自然人","——",ROUND(F62*F63,0))</f>
        <v>#N/A</v>
      </c>
      <c r="D62" s="965" t="s">
        <v>786</v>
      </c>
      <c r="E62" s="950" t="s">
        <v>732</v>
      </c>
      <c r="F62" s="325">
        <f t="shared" si="0"/>
        <v>24</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t="e">
        <f ca="1">ROUND(C57*F64,0)</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5853</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51381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3612</v>
      </c>
      <c r="D5" s="211" t="s">
        <v>1468</v>
      </c>
      <c r="E5" s="212" t="s">
        <v>1469</v>
      </c>
      <c r="F5" s="212" t="s">
        <v>1470</v>
      </c>
      <c r="G5" s="213"/>
    </row>
    <row r="6" spans="1:9" s="214" customFormat="1" ht="13.5" customHeight="1">
      <c r="A6" s="778" t="s">
        <v>1471</v>
      </c>
      <c r="B6" s="215" t="s">
        <v>1472</v>
      </c>
      <c r="C6" s="216">
        <f>基准地价修正!E33</f>
        <v>3483</v>
      </c>
      <c r="D6" s="217"/>
      <c r="E6" s="218"/>
      <c r="F6" s="218"/>
      <c r="G6" s="219"/>
    </row>
    <row r="7" spans="1:9" s="214" customFormat="1" ht="13.5" customHeight="1">
      <c r="A7" s="778" t="s">
        <v>1473</v>
      </c>
      <c r="B7" s="215" t="s">
        <v>1474</v>
      </c>
      <c r="C7" s="220">
        <f>ROUND(C6*F7,0)</f>
        <v>106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3395</v>
      </c>
    </row>
    <row r="20" spans="1:7" s="214" customFormat="1" ht="13.5" customHeight="1">
      <c r="A20" s="255" t="s">
        <v>1492</v>
      </c>
      <c r="B20" s="210" t="s">
        <v>1493</v>
      </c>
      <c r="C20" s="232">
        <f ca="1">ROUND((C5+C19)*F20,0)</f>
        <v>72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309</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306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737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737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5131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619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570</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9</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26</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26</v>
      </c>
      <c r="D42" s="238"/>
      <c r="E42" s="238"/>
      <c r="F42" s="239"/>
      <c r="G42" s="3732" t="s">
        <v>1543</v>
      </c>
    </row>
    <row r="43" spans="1:7" ht="13.5" customHeight="1">
      <c r="A43" s="780" t="s">
        <v>347</v>
      </c>
      <c r="B43" s="215" t="s">
        <v>1544</v>
      </c>
      <c r="C43" s="238">
        <f ca="1">ROUND(IF('数据-取费表'!B22&lt;=1,C39*F22*'数据-取费表'!B21/2,C39*(POWER((1+F22),'数据-取费表'!B21/2)-1)),0)</f>
        <v>0</v>
      </c>
      <c r="D43" s="238"/>
      <c r="E43" s="238"/>
      <c r="F43" s="239"/>
      <c r="G43" s="3733"/>
    </row>
    <row r="44" spans="1:7" ht="13.5" customHeight="1">
      <c r="A44" s="780" t="s">
        <v>348</v>
      </c>
      <c r="B44" s="215" t="s">
        <v>1545</v>
      </c>
      <c r="C44" s="238">
        <f ca="1">ROUND(IF('数据-取费表'!B22&lt;=1,C40*F22*'数据-取费表'!B21/2,C40*(POWER((1+F22),'数据-取费表'!B21/2)-1)),4)</f>
        <v>8.0000000000000004E-4</v>
      </c>
      <c r="D44" s="238"/>
      <c r="E44" s="238"/>
      <c r="F44" s="239"/>
      <c r="G44" s="3734"/>
    </row>
    <row r="45" spans="1:7" s="214" customFormat="1" ht="13.5" customHeight="1">
      <c r="A45" s="255" t="s">
        <v>1546</v>
      </c>
      <c r="B45" s="244" t="s">
        <v>1512</v>
      </c>
      <c r="C45" s="245">
        <f ca="1">C46</f>
        <v>126</v>
      </c>
      <c r="D45" s="235">
        <f ca="1">C47</f>
        <v>4.0000000000000001E-3</v>
      </c>
      <c r="E45" s="236" t="s">
        <v>1538</v>
      </c>
      <c r="F45" s="246">
        <f ca="1">F27</f>
        <v>0.2</v>
      </c>
      <c r="G45" s="247" t="s">
        <v>1547</v>
      </c>
    </row>
    <row r="46" spans="1:7" s="214" customFormat="1" ht="13.5" customHeight="1">
      <c r="A46" s="780" t="s">
        <v>346</v>
      </c>
      <c r="B46" s="248" t="s">
        <v>1548</v>
      </c>
      <c r="C46" s="249">
        <f ca="1">ROUND((C33+C39)*F27,0)</f>
        <v>126</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849</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722</v>
      </c>
      <c r="D51" s="232"/>
      <c r="E51" s="232"/>
      <c r="F51" s="264"/>
      <c r="G51" s="234" t="s">
        <v>1559</v>
      </c>
    </row>
    <row r="52" spans="1:7" s="208" customFormat="1" ht="16.5" thickBot="1">
      <c r="A52" s="265" t="s">
        <v>1560</v>
      </c>
      <c r="B52" s="266"/>
      <c r="C52" s="267">
        <f ca="1">C31+C51</f>
        <v>5853</v>
      </c>
      <c r="D52" s="266"/>
      <c r="E52" s="266"/>
      <c r="F52" s="266"/>
      <c r="G52" s="268"/>
    </row>
    <row r="55" spans="1:7" ht="15">
      <c r="B55" s="270" t="s">
        <v>1561</v>
      </c>
      <c r="C55" s="271"/>
    </row>
    <row r="56" spans="1:7">
      <c r="B56" s="273" t="s">
        <v>802</v>
      </c>
      <c r="C56" s="275">
        <f ca="1">1-C57</f>
        <v>0.877</v>
      </c>
    </row>
    <row r="57" spans="1:7">
      <c r="B57" s="273" t="s">
        <v>803</v>
      </c>
      <c r="C57" s="274">
        <f ca="1">ROUND(C51/C52,3)</f>
        <v>0.123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M29" sqref="M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1139.1300000000001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30577</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5" t="s">
        <v>2435</v>
      </c>
      <c r="F3" s="2004" t="s">
        <v>3396</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24275</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42"/>
      <c r="B4" s="3743"/>
      <c r="C4" s="3743"/>
      <c r="D4" s="3744"/>
      <c r="E4" s="3744"/>
      <c r="F4" s="3744"/>
      <c r="G4" s="3744"/>
      <c r="H4" s="3744"/>
      <c r="I4" s="3744"/>
      <c r="J4" s="374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20975</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18980</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18089</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5.5">
      <c r="A8" s="3294"/>
      <c r="B8" s="170" t="s">
        <v>1956</v>
      </c>
      <c r="C8" s="2026" t="s">
        <v>3397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9" t="s">
        <v>1959</v>
      </c>
      <c r="X8" s="374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41"/>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4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46" t="s">
        <v>3254</v>
      </c>
      <c r="B20" s="167" t="s">
        <v>1993</v>
      </c>
      <c r="C20" s="3320">
        <f>ROUND(IF(F21="与级别开发程度一致",0,(G21-E21)/C21),0)</f>
        <v>-31</v>
      </c>
      <c r="D20" s="3336" t="s">
        <v>1997</v>
      </c>
      <c r="E20" s="3337"/>
      <c r="F20" s="3752" t="s">
        <v>1994</v>
      </c>
      <c r="G20" s="3753"/>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47"/>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3398</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3399</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1.0339</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30577</v>
      </c>
      <c r="D33" s="2098">
        <f>'数据-汇总表'!F27</f>
        <v>1139.1300000000001</v>
      </c>
      <c r="E33" s="773">
        <f>ROUND(C33*D33/10000,0)</f>
        <v>3483</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0"/>
      <c r="B37" s="2113" t="s">
        <v>2035</v>
      </c>
      <c r="C37" s="175">
        <f>ROUND(D5*C22*C23*C24*C28*F37,0)</f>
        <v>14076</v>
      </c>
      <c r="D37" s="2098"/>
      <c r="E37" s="171">
        <f>ROUND(C37*D37/10000,0)</f>
        <v>0</v>
      </c>
      <c r="F37" s="171">
        <f>SUMIF(修正!A57:A68,G2,修正!B57:B68)</f>
        <v>0.7</v>
      </c>
      <c r="G37" s="171">
        <f>ROUND(IF(E2="工业",C37*$M$42,C37*$M$41),0)</f>
        <v>3519</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1"/>
      <c r="B38" s="2041" t="s">
        <v>2036</v>
      </c>
      <c r="C38" s="175">
        <f>ROUND(D5*C22*C23*C24*C28*F38,0)</f>
        <v>8043</v>
      </c>
      <c r="D38" s="2098"/>
      <c r="E38" s="171">
        <f t="shared" ref="E38:E42" si="4">ROUND(C38*D38/10000,0)</f>
        <v>0</v>
      </c>
      <c r="F38" s="171">
        <f>SUMIF(修正!A57:A68,G2,修正!C57:C68)</f>
        <v>0.4</v>
      </c>
      <c r="G38" s="171">
        <f>ROUND(IF(E2="工业",C38*$M$42,C38*$M$41),0)</f>
        <v>2011</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1"/>
      <c r="B39" s="2041" t="s">
        <v>3259</v>
      </c>
      <c r="C39" s="175">
        <f>ROUND(D5*C22*C23*C24*C28*F39,0)</f>
        <v>6032</v>
      </c>
      <c r="D39" s="2098"/>
      <c r="E39" s="171">
        <f t="shared" si="4"/>
        <v>0</v>
      </c>
      <c r="F39" s="171">
        <f>SUMIF(修正!A57:A68,G2,修正!D57:D68)</f>
        <v>0.3</v>
      </c>
      <c r="G39" s="171">
        <f>ROUND(IF(E2="工业",C39*$M$42,C39*$M$41),0)</f>
        <v>1508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6032</v>
      </c>
      <c r="D40" s="2098"/>
      <c r="E40" s="171">
        <f t="shared" si="4"/>
        <v>0</v>
      </c>
      <c r="F40" s="175">
        <f>SUMIF(修正!A57:A68,G2,修正!E57:E68)</f>
        <v>0.3</v>
      </c>
      <c r="G40" s="171">
        <f>ROUND(IF(E2="工业",C40*$M$42,C40*$M$41),0)</f>
        <v>1508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1.0339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一般</v>
      </c>
      <c r="C50" s="2044" t="s">
        <v>3418</v>
      </c>
      <c r="D50" s="1065">
        <f t="shared" ref="D50:D58" si="7">SUMIF($J$49:$N$49,C50,J50:N50)</f>
        <v>0</v>
      </c>
      <c r="E50" s="744">
        <f>ROUND(SUM(D50:D58),4)</f>
        <v>3.39E-2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3417</v>
      </c>
      <c r="D51" s="1065">
        <f t="shared" si="7"/>
        <v>1.0699999999999999E-2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4" t="s">
        <v>3269</v>
      </c>
      <c r="B52" s="2134">
        <f>估价对象房地状况!C19</f>
        <v>0</v>
      </c>
      <c r="C52" s="2044" t="s">
        <v>3417</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3417</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3418</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2056</v>
      </c>
      <c r="B55" s="2136" t="s">
        <v>2057</v>
      </c>
      <c r="C55" s="2044" t="s">
        <v>3417</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3417</v>
      </c>
      <c r="D56" s="1065">
        <f t="shared" si="7"/>
        <v>2.3999999999999998E-3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3419</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3417</v>
      </c>
      <c r="D58" s="1065">
        <f t="shared" si="7"/>
        <v>2.3999999999999998E-3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8" t="s">
        <v>3294</v>
      </c>
      <c r="B103" s="3748"/>
      <c r="C103" s="3748"/>
      <c r="D103" s="3748"/>
      <c r="E103" s="3748"/>
      <c r="F103" s="3748"/>
      <c r="G103" s="3748"/>
      <c r="H103" s="3748"/>
      <c r="I103" s="3748"/>
      <c r="J103" s="3748"/>
      <c r="K103" s="3385"/>
      <c r="L103" s="3385"/>
      <c r="M103" s="3385"/>
      <c r="N103" s="3385"/>
    </row>
    <row r="104" spans="1:14">
      <c r="A104" s="3749" t="s">
        <v>3295</v>
      </c>
      <c r="B104" s="3749" t="s">
        <v>3296</v>
      </c>
      <c r="C104" s="3386" t="s">
        <v>3297</v>
      </c>
      <c r="D104" s="3387"/>
      <c r="E104" s="3387"/>
      <c r="F104" s="3387"/>
      <c r="G104" s="3387"/>
      <c r="H104" s="3387"/>
      <c r="I104" s="3387"/>
      <c r="J104" s="3388"/>
      <c r="K104" s="3389"/>
      <c r="L104" s="3389"/>
      <c r="M104" s="3389"/>
      <c r="N104" s="3389"/>
    </row>
    <row r="105" spans="1:14">
      <c r="A105" s="3749"/>
      <c r="B105" s="3749"/>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35"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6"/>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37"/>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8" t="s">
        <v>3311</v>
      </c>
      <c r="B113" s="3738"/>
      <c r="C113" s="3738"/>
      <c r="D113" s="3738"/>
      <c r="E113" s="3738"/>
      <c r="F113" s="3738"/>
      <c r="G113" s="3738"/>
      <c r="H113" s="3738"/>
      <c r="I113" s="3738"/>
      <c r="J113" s="373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5"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786.25620000000004</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6902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6179781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5695650</v>
      </c>
      <c r="D34" s="217"/>
      <c r="E34" s="220"/>
      <c r="F34" s="257"/>
      <c r="G34" s="219"/>
    </row>
    <row r="35" spans="1:7" ht="13.5" customHeight="1">
      <c r="A35" s="780" t="s">
        <v>351</v>
      </c>
      <c r="B35" s="215" t="s">
        <v>1526</v>
      </c>
      <c r="C35" s="220">
        <f ca="1">ROUND(C34*F35,0)</f>
        <v>170870</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85435</v>
      </c>
      <c r="D38" s="220"/>
      <c r="E38" s="220"/>
      <c r="F38" s="259">
        <f>'数据-取费表'!B36</f>
        <v>1.4999999999999999E-2</v>
      </c>
      <c r="G38" s="219" t="s">
        <v>1527</v>
      </c>
    </row>
    <row r="39" spans="1:7" s="214" customFormat="1" ht="13.5" customHeight="1">
      <c r="A39" s="255" t="s">
        <v>1533</v>
      </c>
      <c r="B39" s="210" t="s">
        <v>1534</v>
      </c>
      <c r="C39" s="232">
        <f ca="1">ROUND(C33*F20,0)</f>
        <v>123596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261590</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256461</v>
      </c>
      <c r="D42" s="238"/>
      <c r="E42" s="238"/>
      <c r="F42" s="239"/>
      <c r="G42" s="3732" t="s">
        <v>1590</v>
      </c>
    </row>
    <row r="43" spans="1:7" ht="13.5" customHeight="1">
      <c r="A43" s="780" t="s">
        <v>347</v>
      </c>
      <c r="B43" s="215" t="s">
        <v>1544</v>
      </c>
      <c r="C43" s="238">
        <f ca="1">ROUND(IF('数据-取费表'!B22&lt;=1,C39*F22*'数据-取费表'!B20/2,C39*(POWER((1+F22),'数据-取费表'!B20/2)-1)),0)</f>
        <v>5129</v>
      </c>
      <c r="D43" s="238"/>
      <c r="E43" s="238"/>
      <c r="F43" s="239"/>
      <c r="G43" s="3733"/>
    </row>
    <row r="44" spans="1:7" ht="13.5" customHeight="1">
      <c r="A44" s="780" t="s">
        <v>348</v>
      </c>
      <c r="B44" s="215" t="s">
        <v>1545</v>
      </c>
      <c r="C44" s="238">
        <f ca="1">ROUND(IF('数据-取费表'!B22&lt;=1,C40*F22*'数据-取费表'!B20/2,C40*(POWER((1+F22),'数据-取费表'!B20/2)-1)),4)</f>
        <v>8.0000000000000004E-4</v>
      </c>
      <c r="D44" s="238"/>
      <c r="E44" s="238"/>
      <c r="F44" s="239"/>
      <c r="G44" s="3734"/>
    </row>
    <row r="45" spans="1:7" s="214" customFormat="1" ht="13.5" customHeight="1">
      <c r="A45" s="255" t="s">
        <v>1546</v>
      </c>
      <c r="B45" s="244" t="s">
        <v>1512</v>
      </c>
      <c r="C45" s="245">
        <f ca="1">C46</f>
        <v>1260675</v>
      </c>
      <c r="D45" s="235">
        <f ca="1">C47</f>
        <v>4.0000000000000001E-3</v>
      </c>
      <c r="E45" s="236" t="s">
        <v>1538</v>
      </c>
      <c r="F45" s="246">
        <f ca="1">F27</f>
        <v>0.2</v>
      </c>
      <c r="G45" s="247" t="s">
        <v>1547</v>
      </c>
    </row>
    <row r="46" spans="1:7" s="214" customFormat="1" ht="13.5" customHeight="1">
      <c r="A46" s="780" t="s">
        <v>346</v>
      </c>
      <c r="B46" s="248" t="s">
        <v>1548</v>
      </c>
      <c r="C46" s="249">
        <f ca="1">ROUND((C33+C39)*F27,0)</f>
        <v>1260675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8488602</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7215312</v>
      </c>
      <c r="D51" s="232"/>
      <c r="E51" s="232"/>
      <c r="F51" s="264"/>
      <c r="G51" s="234" t="s">
        <v>1559</v>
      </c>
    </row>
    <row r="52" spans="1:7" s="208" customFormat="1" ht="16.5" thickBot="1">
      <c r="A52" s="265" t="s">
        <v>1560</v>
      </c>
      <c r="B52" s="266"/>
      <c r="C52" s="267">
        <f ca="1">C31+C51</f>
        <v>7862562</v>
      </c>
      <c r="D52" s="266"/>
      <c r="E52" s="266"/>
      <c r="F52" s="266"/>
      <c r="G52" s="268"/>
    </row>
    <row r="55" spans="1:7" ht="15">
      <c r="B55" s="270" t="s">
        <v>1561</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7</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3358</v>
      </c>
      <c r="E2" s="3439"/>
      <c r="F2" s="2841"/>
      <c r="G2" s="2842"/>
      <c r="H2" s="2843"/>
      <c r="I2" s="2844"/>
      <c r="J2" s="3754" t="s">
        <v>2313</v>
      </c>
      <c r="K2" s="3755"/>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56" t="s">
        <v>2323</v>
      </c>
      <c r="K3" s="3757"/>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56" t="s">
        <v>2325</v>
      </c>
      <c r="K4" s="3757"/>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58" t="s">
        <v>2329</v>
      </c>
      <c r="B6" s="3759"/>
      <c r="C6" s="3760"/>
      <c r="D6" s="2865"/>
      <c r="E6" s="2866"/>
      <c r="F6" s="2867"/>
      <c r="G6" s="2868"/>
      <c r="H6" s="2843"/>
      <c r="I6" s="2844"/>
      <c r="J6" s="3761">
        <v>1</v>
      </c>
      <c r="K6" s="3762"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61"/>
      <c r="K7" s="3763"/>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65" t="s">
        <v>2343</v>
      </c>
      <c r="C8" s="3766"/>
      <c r="D8" s="2884" t="s">
        <v>2344</v>
      </c>
      <c r="E8" s="2885" t="s">
        <v>2345</v>
      </c>
      <c r="F8" s="2886" t="s">
        <v>2346</v>
      </c>
      <c r="G8" s="2887"/>
      <c r="H8" s="2843"/>
      <c r="I8" s="2844"/>
      <c r="J8" s="3761"/>
      <c r="K8" s="3763"/>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65" t="s">
        <v>2349</v>
      </c>
      <c r="C9" s="3766"/>
      <c r="D9" s="2884">
        <f>ROUND(D6*E9,0)</f>
        <v>0</v>
      </c>
      <c r="E9" s="2888"/>
      <c r="F9" s="2889" t="s">
        <v>2350</v>
      </c>
      <c r="G9" s="2868"/>
      <c r="H9" s="2843"/>
      <c r="I9" s="2844"/>
      <c r="J9" s="3761"/>
      <c r="K9" s="3763"/>
      <c r="L9" s="2878" t="s">
        <v>2351</v>
      </c>
      <c r="M9" s="2879"/>
      <c r="N9" s="2855"/>
      <c r="O9" s="2880"/>
      <c r="P9" s="2880"/>
      <c r="Q9" s="2881">
        <v>365</v>
      </c>
      <c r="R9" s="2882">
        <f t="shared" si="0"/>
        <v>0</v>
      </c>
      <c r="S9" s="2836"/>
      <c r="T9" s="2836"/>
      <c r="U9" s="2836"/>
      <c r="V9" s="2844"/>
    </row>
    <row r="10" spans="1:22" s="2848" customFormat="1" ht="13.15" customHeight="1">
      <c r="A10" s="2883">
        <v>2</v>
      </c>
      <c r="B10" s="3765" t="s">
        <v>2352</v>
      </c>
      <c r="C10" s="3766"/>
      <c r="D10" s="2884">
        <f>ROUND(D6*E10,0)</f>
        <v>0</v>
      </c>
      <c r="E10" s="2888"/>
      <c r="F10" s="2889" t="s">
        <v>2353</v>
      </c>
      <c r="G10" s="2868"/>
      <c r="H10" s="2843"/>
      <c r="I10" s="2844"/>
      <c r="J10" s="3761"/>
      <c r="K10" s="3763"/>
      <c r="L10" s="2878" t="s">
        <v>2354</v>
      </c>
      <c r="M10" s="2879"/>
      <c r="N10" s="2855"/>
      <c r="O10" s="2880"/>
      <c r="P10" s="2880"/>
      <c r="Q10" s="2881">
        <v>365</v>
      </c>
      <c r="R10" s="2882">
        <f t="shared" si="0"/>
        <v>0</v>
      </c>
      <c r="S10" s="2836"/>
      <c r="T10" s="2836"/>
      <c r="U10" s="2836"/>
      <c r="V10" s="2844"/>
    </row>
    <row r="11" spans="1:22" s="2848" customFormat="1" ht="13.15" customHeight="1">
      <c r="A11" s="2883">
        <v>3</v>
      </c>
      <c r="B11" s="3765" t="s">
        <v>2355</v>
      </c>
      <c r="C11" s="3766"/>
      <c r="D11" s="2884">
        <f>D12+D14+D15+D16</f>
        <v>0</v>
      </c>
      <c r="E11" s="2890" t="e">
        <f>D11/D6</f>
        <v>#DIV/0!</v>
      </c>
      <c r="F11" s="2886"/>
      <c r="G11" s="2887"/>
      <c r="H11" s="2843"/>
      <c r="I11" s="2844"/>
      <c r="J11" s="3761"/>
      <c r="K11" s="3763"/>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67" t="s">
        <v>2358</v>
      </c>
      <c r="C12" s="3768"/>
      <c r="D12" s="2892">
        <f>ROUND(D13*1.2%*(1-30%),0)</f>
        <v>0</v>
      </c>
      <c r="E12" s="2893">
        <v>1.2E-2</v>
      </c>
      <c r="F12" s="2886" t="s">
        <v>2359</v>
      </c>
      <c r="G12" s="2887"/>
      <c r="H12" s="2843"/>
      <c r="I12" s="2844"/>
      <c r="J12" s="3761"/>
      <c r="K12" s="3763"/>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61"/>
      <c r="K13" s="3763"/>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67" t="s">
        <v>2364</v>
      </c>
      <c r="C14" s="3768"/>
      <c r="D14" s="2892">
        <f>ROUND(E14*B5/10000,0)</f>
        <v>0</v>
      </c>
      <c r="E14" s="2881"/>
      <c r="F14" s="2886" t="s">
        <v>2365</v>
      </c>
      <c r="G14" s="2887"/>
      <c r="H14" s="2843"/>
      <c r="I14" s="2844"/>
      <c r="J14" s="3761"/>
      <c r="K14" s="3764"/>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67" t="s">
        <v>2368</v>
      </c>
      <c r="C15" s="3768"/>
      <c r="D15" s="2892">
        <f>ROUND(D6*E15,0)</f>
        <v>0</v>
      </c>
      <c r="E15" s="2893">
        <v>5.5E-2</v>
      </c>
      <c r="F15" s="2886" t="s">
        <v>2369</v>
      </c>
      <c r="G15" s="2868"/>
      <c r="H15" s="2843"/>
      <c r="I15" s="2844"/>
      <c r="J15" s="3761">
        <v>2</v>
      </c>
      <c r="K15" s="3762"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67" t="s">
        <v>2377</v>
      </c>
      <c r="C16" s="3768"/>
      <c r="D16" s="2903">
        <f>D6*E16</f>
        <v>0</v>
      </c>
      <c r="E16" s="2904"/>
      <c r="F16" s="2889" t="s">
        <v>2378</v>
      </c>
      <c r="G16" s="2868"/>
      <c r="H16" s="2843"/>
      <c r="I16" s="2844"/>
      <c r="J16" s="3761"/>
      <c r="K16" s="3763"/>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69" t="s">
        <v>2380</v>
      </c>
      <c r="C17" s="3770"/>
      <c r="D17" s="2906">
        <f>ROUND(D6*E17,0)</f>
        <v>0</v>
      </c>
      <c r="E17" s="2907"/>
      <c r="F17" s="2908" t="s">
        <v>2381</v>
      </c>
      <c r="G17" s="2868"/>
      <c r="H17" s="2843"/>
      <c r="I17" s="2844"/>
      <c r="J17" s="3761"/>
      <c r="K17" s="3763"/>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61"/>
      <c r="K18" s="3763"/>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61"/>
      <c r="K19" s="3764"/>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1">
        <v>3</v>
      </c>
      <c r="K20" s="3762"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61"/>
      <c r="K21" s="3763"/>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61"/>
      <c r="K22" s="3763"/>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61"/>
      <c r="K23" s="3763"/>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61"/>
      <c r="K24" s="3764"/>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71">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7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54" t="s">
        <v>2313</v>
      </c>
      <c r="K32" s="3755"/>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56" t="s">
        <v>2323</v>
      </c>
      <c r="K33" s="3757"/>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56" t="s">
        <v>2325</v>
      </c>
      <c r="K34" s="375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61">
        <v>1</v>
      </c>
      <c r="K36" s="3762"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61"/>
      <c r="K37" s="3763"/>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1"/>
      <c r="K38" s="3763"/>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61"/>
      <c r="K39" s="3763"/>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61"/>
      <c r="K40" s="3764"/>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1">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7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受贵公司委托，我公司对北京市崇文区珠市口东大街14号1-C房地产抵押价值进行了预评估。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98" t="s">
        <v>1666</v>
      </c>
      <c r="D4" s="3699"/>
      <c r="E4" s="3700" t="s">
        <v>1667</v>
      </c>
      <c r="F4" s="3701"/>
      <c r="G4" s="3698" t="s">
        <v>1668</v>
      </c>
      <c r="H4" s="3699"/>
      <c r="I4" s="3698" t="s">
        <v>1669</v>
      </c>
      <c r="J4" s="3699"/>
      <c r="K4" s="1889" t="s">
        <v>1670</v>
      </c>
      <c r="L4" s="2710"/>
      <c r="M4" s="2711"/>
      <c r="N4" s="2711"/>
      <c r="O4" s="2711"/>
      <c r="P4" s="3702" t="s">
        <v>1671</v>
      </c>
      <c r="Q4" s="3703"/>
      <c r="R4" s="3684" t="s">
        <v>1667</v>
      </c>
      <c r="S4" s="3685"/>
      <c r="T4" s="3684" t="s">
        <v>1668</v>
      </c>
      <c r="U4" s="3685"/>
      <c r="V4" s="3681" t="s">
        <v>1669</v>
      </c>
      <c r="W4" s="3681"/>
      <c r="X4" s="1355"/>
      <c r="Y4" s="3684" t="s">
        <v>1671</v>
      </c>
      <c r="Z4" s="3685"/>
      <c r="AA4" s="3678" t="s">
        <v>1667</v>
      </c>
      <c r="AB4" s="3678" t="s">
        <v>1668</v>
      </c>
      <c r="AC4" s="3678" t="s">
        <v>1669</v>
      </c>
    </row>
    <row r="5" spans="1:29" ht="15">
      <c r="A5" s="358"/>
      <c r="B5" s="359"/>
      <c r="C5" s="3694" t="s">
        <v>1672</v>
      </c>
      <c r="D5" s="3691"/>
      <c r="E5" s="3688" t="s">
        <v>1673</v>
      </c>
      <c r="F5" s="3689"/>
      <c r="G5" s="3694" t="s">
        <v>1674</v>
      </c>
      <c r="H5" s="3691"/>
      <c r="I5" s="3694" t="s">
        <v>1675</v>
      </c>
      <c r="J5" s="3691"/>
      <c r="K5" s="1890"/>
      <c r="L5" s="2710"/>
      <c r="M5" s="2711"/>
      <c r="N5" s="2711"/>
      <c r="O5" s="2711"/>
      <c r="P5" s="3704"/>
      <c r="Q5" s="3705"/>
      <c r="R5" s="3686"/>
      <c r="S5" s="3687"/>
      <c r="T5" s="3686"/>
      <c r="U5" s="3687"/>
      <c r="V5" s="3681"/>
      <c r="W5" s="3681"/>
      <c r="X5" s="1355"/>
      <c r="Y5" s="3686"/>
      <c r="Z5" s="3687"/>
      <c r="AA5" s="3679"/>
      <c r="AB5" s="3679"/>
      <c r="AC5" s="3679"/>
    </row>
    <row r="6" spans="1:29" ht="15.75" thickBot="1">
      <c r="A6" s="360"/>
      <c r="B6" s="361"/>
      <c r="C6" s="3692" t="s">
        <v>1676</v>
      </c>
      <c r="D6" s="3693"/>
      <c r="E6" s="3695" t="s">
        <v>1676</v>
      </c>
      <c r="F6" s="3696"/>
      <c r="G6" s="3692" t="s">
        <v>1676</v>
      </c>
      <c r="H6" s="3693"/>
      <c r="I6" s="3692" t="s">
        <v>1676</v>
      </c>
      <c r="J6" s="3693"/>
      <c r="K6" s="1890" t="s">
        <v>1677</v>
      </c>
      <c r="L6" s="2710"/>
      <c r="M6" s="2711"/>
      <c r="N6" s="2711"/>
      <c r="O6" s="2711"/>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82" t="s">
        <v>1679</v>
      </c>
      <c r="Q7" s="3710"/>
      <c r="R7" s="701" t="s">
        <v>20</v>
      </c>
      <c r="S7" s="702">
        <f t="shared" ref="S7:S15" si="0">F7</f>
        <v>0</v>
      </c>
      <c r="T7" s="701" t="s">
        <v>20</v>
      </c>
      <c r="U7" s="702">
        <f t="shared" ref="U7:U15" si="1">H7</f>
        <v>0</v>
      </c>
      <c r="V7" s="701" t="s">
        <v>20</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82" t="s">
        <v>1682</v>
      </c>
      <c r="Q8" s="3683"/>
      <c r="R8" s="701" t="s">
        <v>20</v>
      </c>
      <c r="S8" s="702">
        <f t="shared" si="0"/>
        <v>100</v>
      </c>
      <c r="T8" s="701" t="s">
        <v>20</v>
      </c>
      <c r="U8" s="702">
        <f t="shared" si="1"/>
        <v>100</v>
      </c>
      <c r="V8" s="701" t="s">
        <v>20</v>
      </c>
      <c r="W8" s="702">
        <f t="shared" si="2"/>
        <v>100</v>
      </c>
      <c r="X8" s="703"/>
      <c r="Y8" s="3682" t="s">
        <v>1682</v>
      </c>
      <c r="Z8" s="368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97"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97"/>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7"/>
      <c r="Q11" s="1343" t="str">
        <f t="shared" si="6"/>
        <v>容积率</v>
      </c>
      <c r="R11" s="701" t="s">
        <v>18</v>
      </c>
      <c r="S11" s="702" t="e">
        <f t="shared" si="0"/>
        <v>#N/A</v>
      </c>
      <c r="T11" s="701" t="s">
        <v>18</v>
      </c>
      <c r="U11" s="702" t="e">
        <f t="shared" si="1"/>
        <v>#N/A</v>
      </c>
      <c r="V11" s="701" t="s">
        <v>18</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97"/>
      <c r="Q12" s="1343">
        <f t="shared" si="6"/>
        <v>111</v>
      </c>
      <c r="R12" s="701" t="s">
        <v>18</v>
      </c>
      <c r="S12" s="702">
        <f t="shared" si="0"/>
        <v>100</v>
      </c>
      <c r="T12" s="701" t="s">
        <v>18</v>
      </c>
      <c r="U12" s="702">
        <f t="shared" si="1"/>
        <v>100</v>
      </c>
      <c r="V12" s="701" t="s">
        <v>18</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97"/>
      <c r="Q13" s="1343">
        <f t="shared" si="6"/>
        <v>111</v>
      </c>
      <c r="R13" s="701" t="s">
        <v>18</v>
      </c>
      <c r="S13" s="702">
        <f t="shared" si="0"/>
        <v>100</v>
      </c>
      <c r="T13" s="701" t="s">
        <v>18</v>
      </c>
      <c r="U13" s="702">
        <f t="shared" si="1"/>
        <v>100</v>
      </c>
      <c r="V13" s="701" t="s">
        <v>18</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97"/>
      <c r="Q14" s="1343">
        <f t="shared" si="6"/>
        <v>111</v>
      </c>
      <c r="R14" s="701" t="s">
        <v>18</v>
      </c>
      <c r="S14" s="702">
        <f t="shared" si="0"/>
        <v>100</v>
      </c>
      <c r="T14" s="701" t="s">
        <v>18</v>
      </c>
      <c r="U14" s="702">
        <f t="shared" si="1"/>
        <v>100</v>
      </c>
      <c r="V14" s="701" t="s">
        <v>18</v>
      </c>
      <c r="W14" s="702">
        <f t="shared" si="2"/>
        <v>100</v>
      </c>
      <c r="X14" s="703"/>
      <c r="Y14" s="3654"/>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1" t="s">
        <v>1690</v>
      </c>
      <c r="Q15" s="1352" t="str">
        <f t="shared" si="6"/>
        <v>居住社区成熟度</v>
      </c>
      <c r="R15" s="705" t="s">
        <v>18</v>
      </c>
      <c r="S15" s="706">
        <f t="shared" si="0"/>
        <v>100</v>
      </c>
      <c r="T15" s="705" t="s">
        <v>18</v>
      </c>
      <c r="U15" s="706">
        <f t="shared" si="1"/>
        <v>100</v>
      </c>
      <c r="V15" s="705" t="s">
        <v>18</v>
      </c>
      <c r="W15" s="706">
        <f t="shared" si="2"/>
        <v>100</v>
      </c>
      <c r="X15" s="1355"/>
      <c r="Y15" s="371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12"/>
      <c r="Q16" s="1352"/>
      <c r="R16" s="705"/>
      <c r="S16" s="706"/>
      <c r="T16" s="705"/>
      <c r="U16" s="706"/>
      <c r="V16" s="705"/>
      <c r="W16" s="706"/>
      <c r="X16" s="1355"/>
      <c r="Y16" s="3714"/>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2"/>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12"/>
      <c r="Q18" s="1352"/>
      <c r="R18" s="705"/>
      <c r="S18" s="706"/>
      <c r="T18" s="705"/>
      <c r="U18" s="706"/>
      <c r="V18" s="705"/>
      <c r="W18" s="706"/>
      <c r="X18" s="1355"/>
      <c r="Y18" s="3714"/>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2"/>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12"/>
      <c r="Q20" s="1352"/>
      <c r="R20" s="705"/>
      <c r="S20" s="706"/>
      <c r="T20" s="705"/>
      <c r="U20" s="706"/>
      <c r="V20" s="705"/>
      <c r="W20" s="706"/>
      <c r="X20" s="1355"/>
      <c r="Y20" s="3714"/>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12"/>
      <c r="Q22" s="1352"/>
      <c r="R22" s="705"/>
      <c r="S22" s="706"/>
      <c r="T22" s="705"/>
      <c r="U22" s="706"/>
      <c r="V22" s="705"/>
      <c r="W22" s="706"/>
      <c r="X22" s="1355"/>
      <c r="Y22" s="3714"/>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2"/>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12"/>
      <c r="Q24" s="1352"/>
      <c r="R24" s="705"/>
      <c r="S24" s="706"/>
      <c r="T24" s="705"/>
      <c r="U24" s="706"/>
      <c r="V24" s="705"/>
      <c r="W24" s="706"/>
      <c r="X24" s="1355"/>
      <c r="Y24" s="371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12"/>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12"/>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12"/>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12"/>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12"/>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12"/>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15" t="s">
        <v>1695</v>
      </c>
      <c r="Q32" s="1352" t="str">
        <f t="shared" si="11"/>
        <v>建筑类型</v>
      </c>
      <c r="R32" s="705" t="s">
        <v>18</v>
      </c>
      <c r="S32" s="706">
        <f t="shared" si="12"/>
        <v>100</v>
      </c>
      <c r="T32" s="705" t="s">
        <v>18</v>
      </c>
      <c r="U32" s="706">
        <f t="shared" si="13"/>
        <v>100</v>
      </c>
      <c r="V32" s="705" t="s">
        <v>18</v>
      </c>
      <c r="W32" s="706">
        <f t="shared" si="14"/>
        <v>100</v>
      </c>
      <c r="X32" s="1355"/>
      <c r="Y32" s="371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16" t="s">
        <v>1695</v>
      </c>
      <c r="Q38" s="1352" t="str">
        <f t="shared" si="11"/>
        <v>物业管理</v>
      </c>
      <c r="R38" s="705" t="s">
        <v>18</v>
      </c>
      <c r="S38" s="706">
        <f t="shared" si="12"/>
        <v>100</v>
      </c>
      <c r="T38" s="705" t="s">
        <v>18</v>
      </c>
      <c r="U38" s="706">
        <f t="shared" si="13"/>
        <v>100</v>
      </c>
      <c r="V38" s="705" t="s">
        <v>18</v>
      </c>
      <c r="W38" s="706">
        <f t="shared" si="14"/>
        <v>100</v>
      </c>
      <c r="X38" s="1355"/>
      <c r="Y38" s="3718"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720" t="str">
        <f>A47</f>
        <v>成交单价（元/平方米）</v>
      </c>
      <c r="Q47" s="3720"/>
      <c r="R47" s="3721">
        <f>E47</f>
        <v>0</v>
      </c>
      <c r="S47" s="3721"/>
      <c r="T47" s="3721">
        <f>G47</f>
        <v>0</v>
      </c>
      <c r="U47" s="3721"/>
      <c r="V47" s="3721">
        <f>I47</f>
        <v>0</v>
      </c>
      <c r="W47" s="3721"/>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79" t="s">
        <v>1774</v>
      </c>
      <c r="Q4" s="3780"/>
      <c r="R4" s="3774" t="s">
        <v>1770</v>
      </c>
      <c r="S4" s="3775"/>
      <c r="T4" s="3774" t="s">
        <v>1771</v>
      </c>
      <c r="U4" s="3775"/>
      <c r="V4" s="3783" t="s">
        <v>1772</v>
      </c>
      <c r="W4" s="3783"/>
      <c r="X4" s="1958"/>
      <c r="Y4" s="3774" t="s">
        <v>1774</v>
      </c>
      <c r="Z4" s="3775"/>
      <c r="AA4" s="3773" t="s">
        <v>1770</v>
      </c>
      <c r="AB4" s="3773" t="s">
        <v>1771</v>
      </c>
      <c r="AC4" s="3776" t="s">
        <v>1772</v>
      </c>
    </row>
    <row r="5" spans="1:29" ht="15">
      <c r="A5" s="358"/>
      <c r="B5" s="359"/>
      <c r="C5" s="3694" t="s">
        <v>1672</v>
      </c>
      <c r="D5" s="3691"/>
      <c r="E5" s="3688" t="s">
        <v>1673</v>
      </c>
      <c r="F5" s="3689"/>
      <c r="G5" s="3694" t="s">
        <v>1674</v>
      </c>
      <c r="H5" s="3691"/>
      <c r="I5" s="3694" t="s">
        <v>1675</v>
      </c>
      <c r="J5" s="3691"/>
      <c r="K5" s="559"/>
      <c r="L5" s="2710"/>
      <c r="M5" s="2711"/>
      <c r="N5" s="2711"/>
      <c r="O5" s="2711"/>
      <c r="P5" s="3781"/>
      <c r="Q5" s="3705"/>
      <c r="R5" s="3686"/>
      <c r="S5" s="3687"/>
      <c r="T5" s="3686"/>
      <c r="U5" s="3687"/>
      <c r="V5" s="3681"/>
      <c r="W5" s="3681"/>
      <c r="X5" s="1355"/>
      <c r="Y5" s="3686"/>
      <c r="Z5" s="3687"/>
      <c r="AA5" s="3679"/>
      <c r="AB5" s="3679"/>
      <c r="AC5" s="3777"/>
    </row>
    <row r="6" spans="1:29" ht="15.75" thickBot="1">
      <c r="A6" s="360"/>
      <c r="B6" s="361"/>
      <c r="C6" s="3692" t="s">
        <v>1676</v>
      </c>
      <c r="D6" s="3693"/>
      <c r="E6" s="3695" t="s">
        <v>1676</v>
      </c>
      <c r="F6" s="3696"/>
      <c r="G6" s="3692" t="s">
        <v>1676</v>
      </c>
      <c r="H6" s="3693"/>
      <c r="I6" s="3692" t="s">
        <v>1676</v>
      </c>
      <c r="J6" s="3693"/>
      <c r="K6" s="559" t="s">
        <v>1677</v>
      </c>
      <c r="L6" s="2710"/>
      <c r="M6" s="2711"/>
      <c r="N6" s="2711"/>
      <c r="O6" s="2711"/>
      <c r="P6" s="3782"/>
      <c r="Q6" s="3707"/>
      <c r="R6" s="3686"/>
      <c r="S6" s="3687"/>
      <c r="T6" s="3708"/>
      <c r="U6" s="3709"/>
      <c r="V6" s="3681"/>
      <c r="W6" s="3681"/>
      <c r="X6" s="1355"/>
      <c r="Y6" s="3708"/>
      <c r="Z6" s="3709"/>
      <c r="AA6" s="3680"/>
      <c r="AB6" s="3680"/>
      <c r="AC6" s="3778"/>
    </row>
    <row r="7" spans="1:29" s="108" customFormat="1" ht="15.7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4"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4" t="s">
        <v>1682</v>
      </c>
      <c r="Q8" s="3683"/>
      <c r="R8" s="701" t="s">
        <v>14</v>
      </c>
      <c r="S8" s="702">
        <f t="shared" si="0"/>
        <v>100</v>
      </c>
      <c r="T8" s="701" t="s">
        <v>14</v>
      </c>
      <c r="U8" s="702">
        <f t="shared" si="1"/>
        <v>100</v>
      </c>
      <c r="V8" s="701" t="s">
        <v>14</v>
      </c>
      <c r="W8" s="702">
        <f t="shared" si="2"/>
        <v>100</v>
      </c>
      <c r="X8" s="703"/>
      <c r="Y8" s="3682" t="s">
        <v>1682</v>
      </c>
      <c r="Z8" s="368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7"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7"/>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7"/>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97"/>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97"/>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97"/>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1" t="s">
        <v>1690</v>
      </c>
      <c r="Q15" s="1352" t="str">
        <f t="shared" si="6"/>
        <v>办公集聚程度</v>
      </c>
      <c r="R15" s="705" t="s">
        <v>14</v>
      </c>
      <c r="S15" s="706">
        <f t="shared" si="0"/>
        <v>100</v>
      </c>
      <c r="T15" s="705" t="s">
        <v>14</v>
      </c>
      <c r="U15" s="706">
        <f t="shared" si="1"/>
        <v>100</v>
      </c>
      <c r="V15" s="705" t="s">
        <v>14</v>
      </c>
      <c r="W15" s="706">
        <f t="shared" si="2"/>
        <v>100</v>
      </c>
      <c r="X15" s="1355"/>
      <c r="Y15" s="3713"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12"/>
      <c r="Q16" s="1352"/>
      <c r="R16" s="705"/>
      <c r="S16" s="706"/>
      <c r="T16" s="705"/>
      <c r="U16" s="706"/>
      <c r="V16" s="705"/>
      <c r="W16" s="706"/>
      <c r="X16" s="1355"/>
      <c r="Y16" s="3714"/>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2"/>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12"/>
      <c r="Q18" s="1352"/>
      <c r="R18" s="705"/>
      <c r="S18" s="706"/>
      <c r="T18" s="705"/>
      <c r="U18" s="706"/>
      <c r="V18" s="705"/>
      <c r="W18" s="706"/>
      <c r="X18" s="1355"/>
      <c r="Y18" s="3714"/>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2"/>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12"/>
      <c r="Q20" s="1352"/>
      <c r="R20" s="705"/>
      <c r="S20" s="706"/>
      <c r="T20" s="705"/>
      <c r="U20" s="706"/>
      <c r="V20" s="705"/>
      <c r="W20" s="706"/>
      <c r="X20" s="1355"/>
      <c r="Y20" s="3714"/>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12"/>
      <c r="Q22" s="1352"/>
      <c r="R22" s="705"/>
      <c r="S22" s="706"/>
      <c r="T22" s="705"/>
      <c r="U22" s="706"/>
      <c r="V22" s="705"/>
      <c r="W22" s="706"/>
      <c r="X22" s="1355"/>
      <c r="Y22" s="3714"/>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2"/>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12"/>
      <c r="Q24" s="1352"/>
      <c r="R24" s="705"/>
      <c r="S24" s="706"/>
      <c r="T24" s="705"/>
      <c r="U24" s="706"/>
      <c r="V24" s="705"/>
      <c r="W24" s="706"/>
      <c r="X24" s="1355"/>
      <c r="Y24" s="3714"/>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12"/>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12"/>
      <c r="Q26" s="1352"/>
      <c r="R26" s="705"/>
      <c r="S26" s="706"/>
      <c r="T26" s="705"/>
      <c r="U26" s="706"/>
      <c r="V26" s="705"/>
      <c r="W26" s="706"/>
      <c r="X26" s="1355"/>
      <c r="Y26" s="371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2"/>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12"/>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12"/>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12"/>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12"/>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15" t="s">
        <v>1695</v>
      </c>
      <c r="Q33" s="1352" t="str">
        <f t="shared" si="11"/>
        <v>建筑类型</v>
      </c>
      <c r="R33" s="705" t="s">
        <v>14</v>
      </c>
      <c r="S33" s="706">
        <f t="shared" si="12"/>
        <v>100</v>
      </c>
      <c r="T33" s="705" t="s">
        <v>14</v>
      </c>
      <c r="U33" s="706">
        <f t="shared" si="13"/>
        <v>100</v>
      </c>
      <c r="V33" s="705" t="s">
        <v>14</v>
      </c>
      <c r="W33" s="706">
        <f t="shared" si="14"/>
        <v>100</v>
      </c>
      <c r="X33" s="1355"/>
      <c r="Y33" s="371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6" t="s">
        <v>1695</v>
      </c>
      <c r="Q39" s="1352" t="str">
        <f t="shared" si="11"/>
        <v>物业管理</v>
      </c>
      <c r="R39" s="705" t="s">
        <v>14</v>
      </c>
      <c r="S39" s="706">
        <f t="shared" si="12"/>
        <v>100</v>
      </c>
      <c r="T39" s="705" t="s">
        <v>14</v>
      </c>
      <c r="U39" s="706">
        <f t="shared" si="13"/>
        <v>100</v>
      </c>
      <c r="V39" s="705" t="s">
        <v>14</v>
      </c>
      <c r="W39" s="706">
        <f t="shared" si="14"/>
        <v>100</v>
      </c>
      <c r="X39" s="1355"/>
      <c r="Y39" s="3718"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97"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97"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85" t="str">
        <f>A50</f>
        <v>估价对象XX用房的比较价值（楼面单价，元/平方米）</v>
      </c>
      <c r="Q50" s="3786"/>
      <c r="R50" s="3787" t="e">
        <f>IF(F1="售价",ROUND(IF(D49="简单平均",AVERAGE(R49:V49),R49*F49+T49*H49+V49*J49),0),ROUND(IF(D49="简单平均",AVERAGE(R49:V49),R49*F49+T49*H49+V49*J49),1))</f>
        <v>#DIV/0!</v>
      </c>
      <c r="S50" s="3787"/>
      <c r="T50" s="3787"/>
      <c r="U50" s="3787"/>
      <c r="V50" s="3787"/>
      <c r="W50" s="3787"/>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913"/>
      <c r="M4" s="914"/>
      <c r="N4" s="914"/>
      <c r="O4" s="914"/>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29" ht="15">
      <c r="A5" s="358"/>
      <c r="B5" s="359"/>
      <c r="C5" s="3694" t="s">
        <v>1672</v>
      </c>
      <c r="D5" s="3691"/>
      <c r="E5" s="3688" t="s">
        <v>1673</v>
      </c>
      <c r="F5" s="3689"/>
      <c r="G5" s="3694" t="s">
        <v>1674</v>
      </c>
      <c r="H5" s="3691"/>
      <c r="I5" s="3694" t="s">
        <v>1675</v>
      </c>
      <c r="J5" s="3691"/>
      <c r="K5" s="559"/>
      <c r="L5" s="913"/>
      <c r="M5" s="914"/>
      <c r="N5" s="914"/>
      <c r="O5" s="914"/>
      <c r="P5" s="3704"/>
      <c r="Q5" s="3705"/>
      <c r="R5" s="3686"/>
      <c r="S5" s="3687"/>
      <c r="T5" s="3686"/>
      <c r="U5" s="3687"/>
      <c r="V5" s="3681"/>
      <c r="W5" s="3681"/>
      <c r="X5" s="1355"/>
      <c r="Y5" s="3686"/>
      <c r="Z5" s="3687"/>
      <c r="AA5" s="3679"/>
      <c r="AB5" s="3679"/>
      <c r="AC5" s="3679"/>
    </row>
    <row r="6" spans="1:29" ht="15.75" thickBot="1">
      <c r="A6" s="360"/>
      <c r="B6" s="361"/>
      <c r="C6" s="3692" t="s">
        <v>1676</v>
      </c>
      <c r="D6" s="3693"/>
      <c r="E6" s="3695" t="s">
        <v>1676</v>
      </c>
      <c r="F6" s="3696"/>
      <c r="G6" s="3692" t="s">
        <v>1676</v>
      </c>
      <c r="H6" s="3693"/>
      <c r="I6" s="3692" t="s">
        <v>1676</v>
      </c>
      <c r="J6" s="3693"/>
      <c r="K6" s="559" t="s">
        <v>1677</v>
      </c>
      <c r="L6" s="913"/>
      <c r="M6" s="914"/>
      <c r="N6" s="914"/>
      <c r="O6" s="914"/>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1682</v>
      </c>
      <c r="Q8" s="3683"/>
      <c r="R8" s="701" t="s">
        <v>14</v>
      </c>
      <c r="S8" s="702">
        <f t="shared" si="0"/>
        <v>100</v>
      </c>
      <c r="T8" s="701" t="s">
        <v>14</v>
      </c>
      <c r="U8" s="702">
        <f t="shared" si="1"/>
        <v>100</v>
      </c>
      <c r="V8" s="701" t="s">
        <v>14</v>
      </c>
      <c r="W8" s="702">
        <f t="shared" si="2"/>
        <v>100</v>
      </c>
      <c r="X8" s="703"/>
      <c r="Y8" s="3682" t="s">
        <v>1682</v>
      </c>
      <c r="Z8" s="368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1690</v>
      </c>
      <c r="Q15" s="1352" t="str">
        <f t="shared" si="6"/>
        <v>产业集聚程度</v>
      </c>
      <c r="R15" s="705" t="s">
        <v>14</v>
      </c>
      <c r="S15" s="706">
        <f t="shared" si="0"/>
        <v>100</v>
      </c>
      <c r="T15" s="705" t="s">
        <v>14</v>
      </c>
      <c r="U15" s="706">
        <f t="shared" si="1"/>
        <v>100</v>
      </c>
      <c r="V15" s="705" t="s">
        <v>14</v>
      </c>
      <c r="W15" s="706">
        <f t="shared" si="2"/>
        <v>100</v>
      </c>
      <c r="X15" s="1355"/>
      <c r="Y15" s="371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7.7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8" t="s">
        <v>1695</v>
      </c>
      <c r="Q29" s="1352" t="str">
        <f t="shared" si="11"/>
        <v>建筑类型</v>
      </c>
      <c r="R29" s="705" t="s">
        <v>14</v>
      </c>
      <c r="S29" s="706">
        <f t="shared" si="12"/>
        <v>100</v>
      </c>
      <c r="T29" s="705" t="s">
        <v>14</v>
      </c>
      <c r="U29" s="706">
        <f t="shared" si="13"/>
        <v>100</v>
      </c>
      <c r="V29" s="705" t="s">
        <v>14</v>
      </c>
      <c r="W29" s="706">
        <f t="shared" si="14"/>
        <v>100</v>
      </c>
      <c r="X29" s="1355"/>
      <c r="Y29" s="371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1695</v>
      </c>
      <c r="Q35" s="1352" t="str">
        <f t="shared" si="11"/>
        <v>市政基础设施</v>
      </c>
      <c r="R35" s="705" t="s">
        <v>14</v>
      </c>
      <c r="S35" s="706">
        <f t="shared" si="12"/>
        <v>100</v>
      </c>
      <c r="T35" s="705" t="s">
        <v>14</v>
      </c>
      <c r="U35" s="706">
        <f t="shared" si="13"/>
        <v>100</v>
      </c>
      <c r="V35" s="705" t="s">
        <v>14</v>
      </c>
      <c r="W35" s="706">
        <f t="shared" si="14"/>
        <v>100</v>
      </c>
      <c r="X35" s="1355"/>
      <c r="Y35" s="371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29" ht="15">
      <c r="A5" s="358"/>
      <c r="B5" s="359"/>
      <c r="C5" s="3694" t="s">
        <v>1672</v>
      </c>
      <c r="D5" s="3691"/>
      <c r="E5" s="3688" t="s">
        <v>1673</v>
      </c>
      <c r="F5" s="3689"/>
      <c r="G5" s="3694" t="s">
        <v>1674</v>
      </c>
      <c r="H5" s="3691"/>
      <c r="I5" s="3694" t="s">
        <v>1675</v>
      </c>
      <c r="J5" s="3691"/>
      <c r="K5" s="559"/>
      <c r="L5" s="2710"/>
      <c r="M5" s="2711"/>
      <c r="N5" s="2711"/>
      <c r="O5" s="2711"/>
      <c r="P5" s="3704"/>
      <c r="Q5" s="3705"/>
      <c r="R5" s="3686"/>
      <c r="S5" s="3687"/>
      <c r="T5" s="3686"/>
      <c r="U5" s="3687"/>
      <c r="V5" s="3681"/>
      <c r="W5" s="3681"/>
      <c r="X5" s="1355"/>
      <c r="Y5" s="3686"/>
      <c r="Z5" s="3687"/>
      <c r="AA5" s="3679"/>
      <c r="AB5" s="3679"/>
      <c r="AC5" s="3679"/>
    </row>
    <row r="6" spans="1:29" ht="15.75" thickBot="1">
      <c r="A6" s="360"/>
      <c r="B6" s="361"/>
      <c r="C6" s="3692" t="s">
        <v>1676</v>
      </c>
      <c r="D6" s="3693"/>
      <c r="E6" s="3695" t="s">
        <v>1676</v>
      </c>
      <c r="F6" s="3696"/>
      <c r="G6" s="3692" t="s">
        <v>1676</v>
      </c>
      <c r="H6" s="3693"/>
      <c r="I6" s="3692" t="s">
        <v>1676</v>
      </c>
      <c r="J6" s="3693"/>
      <c r="K6" s="559" t="s">
        <v>1677</v>
      </c>
      <c r="L6" s="2710"/>
      <c r="M6" s="2711"/>
      <c r="N6" s="2711"/>
      <c r="O6" s="2711"/>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2" t="s">
        <v>1679</v>
      </c>
      <c r="Q7" s="3710"/>
      <c r="R7" s="701" t="s">
        <v>14</v>
      </c>
      <c r="S7" s="702">
        <f t="shared" ref="S7:S14" si="0">F7</f>
        <v>0</v>
      </c>
      <c r="T7" s="701" t="s">
        <v>14</v>
      </c>
      <c r="U7" s="702">
        <f t="shared" ref="U7:U14" si="1">H7</f>
        <v>0</v>
      </c>
      <c r="V7" s="701" t="s">
        <v>14</v>
      </c>
      <c r="W7" s="702">
        <f t="shared" ref="W7:W14"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2" t="s">
        <v>1682</v>
      </c>
      <c r="Q8" s="3683"/>
      <c r="R8" s="701" t="s">
        <v>14</v>
      </c>
      <c r="S8" s="702">
        <f t="shared" si="0"/>
        <v>100</v>
      </c>
      <c r="T8" s="701" t="s">
        <v>14</v>
      </c>
      <c r="U8" s="702">
        <f t="shared" si="1"/>
        <v>100</v>
      </c>
      <c r="V8" s="701" t="s">
        <v>14</v>
      </c>
      <c r="W8" s="702">
        <f t="shared" si="2"/>
        <v>100</v>
      </c>
      <c r="X8" s="703"/>
      <c r="Y8" s="3682" t="s">
        <v>1682</v>
      </c>
      <c r="Z8" s="368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20" t="s">
        <v>1685</v>
      </c>
      <c r="Q9" s="1343" t="str">
        <f t="shared" ref="Q9:Q14" si="6">B9</f>
        <v>用途</v>
      </c>
      <c r="R9" s="701" t="s">
        <v>14</v>
      </c>
      <c r="S9" s="702">
        <f t="shared" si="0"/>
        <v>100</v>
      </c>
      <c r="T9" s="701" t="s">
        <v>14</v>
      </c>
      <c r="U9" s="702">
        <f t="shared" si="1"/>
        <v>100</v>
      </c>
      <c r="V9" s="701" t="s">
        <v>14</v>
      </c>
      <c r="W9" s="702">
        <f t="shared" si="2"/>
        <v>100</v>
      </c>
      <c r="X9" s="703"/>
      <c r="Y9" s="3654"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20"/>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20"/>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20"/>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13" t="s">
        <v>1690</v>
      </c>
      <c r="Q14" s="1352" t="str">
        <f t="shared" si="6"/>
        <v>交通便捷度</v>
      </c>
      <c r="R14" s="705" t="s">
        <v>14</v>
      </c>
      <c r="S14" s="706">
        <f t="shared" si="0"/>
        <v>100</v>
      </c>
      <c r="T14" s="705" t="s">
        <v>14</v>
      </c>
      <c r="U14" s="706">
        <f t="shared" si="1"/>
        <v>100</v>
      </c>
      <c r="V14" s="705" t="s">
        <v>14</v>
      </c>
      <c r="W14" s="706">
        <f t="shared" si="2"/>
        <v>100</v>
      </c>
      <c r="X14" s="1355"/>
      <c r="Y14" s="371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14"/>
      <c r="Q15" s="1352"/>
      <c r="R15" s="705"/>
      <c r="S15" s="706"/>
      <c r="T15" s="705"/>
      <c r="U15" s="706"/>
      <c r="V15" s="705"/>
      <c r="W15" s="706"/>
      <c r="X15" s="1355"/>
      <c r="Y15" s="3714"/>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14"/>
      <c r="Q17" s="1352"/>
      <c r="R17" s="705"/>
      <c r="S17" s="706"/>
      <c r="T17" s="705"/>
      <c r="U17" s="706"/>
      <c r="V17" s="705"/>
      <c r="W17" s="706"/>
      <c r="X17" s="1355"/>
      <c r="Y17" s="3714"/>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14"/>
      <c r="Q19" s="1352"/>
      <c r="R19" s="705"/>
      <c r="S19" s="706"/>
      <c r="T19" s="705"/>
      <c r="U19" s="706"/>
      <c r="V19" s="705"/>
      <c r="W19" s="706"/>
      <c r="X19" s="1355"/>
      <c r="Y19" s="3714"/>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14"/>
      <c r="Q21" s="1352"/>
      <c r="R21" s="705"/>
      <c r="S21" s="706"/>
      <c r="T21" s="705"/>
      <c r="U21" s="706"/>
      <c r="V21" s="705"/>
      <c r="W21" s="706"/>
      <c r="X21" s="1355"/>
      <c r="Y21" s="371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7.7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8" t="s">
        <v>1695</v>
      </c>
      <c r="Q32" s="1352" t="str">
        <f t="shared" si="11"/>
        <v>车位类型</v>
      </c>
      <c r="R32" s="705" t="s">
        <v>14</v>
      </c>
      <c r="S32" s="706">
        <f t="shared" si="12"/>
        <v>100</v>
      </c>
      <c r="T32" s="705" t="s">
        <v>14</v>
      </c>
      <c r="U32" s="706">
        <f t="shared" si="13"/>
        <v>100</v>
      </c>
      <c r="V32" s="705" t="s">
        <v>14</v>
      </c>
      <c r="W32" s="706">
        <f t="shared" si="14"/>
        <v>100</v>
      </c>
      <c r="X32" s="1355"/>
      <c r="Y32" s="371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22" t="str">
        <f>A39</f>
        <v>估价对象XX用房的比较价值（楼面单价，元/平方米）</v>
      </c>
      <c r="Q39" s="3723"/>
      <c r="R39" s="3789" t="e">
        <f>IF(F1="售价",ROUND(IF(D38="简单平均",AVERAGE(R38:W38),R38*F38+T38*H38+V38*J38),0),ROUND(IF(D38="简单平均",AVERAGE(R38:V38),R38*F38+T38*H38+V38*J38),1))</f>
        <v>#DIV/0!</v>
      </c>
      <c r="S39" s="3789"/>
      <c r="T39" s="3789"/>
      <c r="U39" s="3789"/>
      <c r="V39" s="3789"/>
      <c r="W39" s="3789"/>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29" ht="15">
      <c r="A5" s="358"/>
      <c r="B5" s="359"/>
      <c r="C5" s="3694" t="s">
        <v>1672</v>
      </c>
      <c r="D5" s="3691"/>
      <c r="E5" s="3688" t="s">
        <v>1673</v>
      </c>
      <c r="F5" s="3689"/>
      <c r="G5" s="3694" t="s">
        <v>1674</v>
      </c>
      <c r="H5" s="3691"/>
      <c r="I5" s="3694" t="s">
        <v>1675</v>
      </c>
      <c r="J5" s="3691"/>
      <c r="K5" s="559"/>
      <c r="L5" s="2710"/>
      <c r="M5" s="2711"/>
      <c r="N5" s="2711"/>
      <c r="O5" s="2711"/>
      <c r="P5" s="3704"/>
      <c r="Q5" s="3705"/>
      <c r="R5" s="3686"/>
      <c r="S5" s="3687"/>
      <c r="T5" s="3686"/>
      <c r="U5" s="3687"/>
      <c r="V5" s="3681"/>
      <c r="W5" s="3681"/>
      <c r="X5" s="1355"/>
      <c r="Y5" s="3686"/>
      <c r="Z5" s="3687"/>
      <c r="AA5" s="3679"/>
      <c r="AB5" s="3679"/>
      <c r="AC5" s="3679"/>
    </row>
    <row r="6" spans="1:29" ht="15.75" thickBot="1">
      <c r="A6" s="360"/>
      <c r="B6" s="361"/>
      <c r="C6" s="3692" t="s">
        <v>1676</v>
      </c>
      <c r="D6" s="3693"/>
      <c r="E6" s="3695" t="s">
        <v>1676</v>
      </c>
      <c r="F6" s="3696"/>
      <c r="G6" s="3692" t="s">
        <v>1676</v>
      </c>
      <c r="H6" s="3693"/>
      <c r="I6" s="3692" t="s">
        <v>1676</v>
      </c>
      <c r="J6" s="3693"/>
      <c r="K6" s="559" t="s">
        <v>1677</v>
      </c>
      <c r="L6" s="2710"/>
      <c r="M6" s="2711"/>
      <c r="N6" s="2711"/>
      <c r="O6" s="2711"/>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82" t="s">
        <v>1679</v>
      </c>
      <c r="Q7" s="3710"/>
      <c r="R7" s="701" t="s">
        <v>14</v>
      </c>
      <c r="S7" s="702">
        <f t="shared" ref="S7:S14" si="0">F7</f>
        <v>0</v>
      </c>
      <c r="T7" s="701" t="s">
        <v>14</v>
      </c>
      <c r="U7" s="702">
        <f t="shared" ref="U7:U14" si="1">H7</f>
        <v>0</v>
      </c>
      <c r="V7" s="701" t="s">
        <v>14</v>
      </c>
      <c r="W7" s="702">
        <f t="shared" ref="W7:W14"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2" t="s">
        <v>1682</v>
      </c>
      <c r="Q8" s="3683"/>
      <c r="R8" s="701" t="s">
        <v>14</v>
      </c>
      <c r="S8" s="702">
        <f t="shared" si="0"/>
        <v>100</v>
      </c>
      <c r="T8" s="701" t="s">
        <v>14</v>
      </c>
      <c r="U8" s="702">
        <f t="shared" si="1"/>
        <v>100</v>
      </c>
      <c r="V8" s="701" t="s">
        <v>14</v>
      </c>
      <c r="W8" s="702">
        <f t="shared" si="2"/>
        <v>100</v>
      </c>
      <c r="X8" s="703"/>
      <c r="Y8" s="3682" t="s">
        <v>1682</v>
      </c>
      <c r="Z8" s="368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20" t="s">
        <v>1685</v>
      </c>
      <c r="Q9" s="1343" t="str">
        <f t="shared" ref="Q9:Q14" si="6">B9</f>
        <v>用途</v>
      </c>
      <c r="R9" s="701" t="s">
        <v>14</v>
      </c>
      <c r="S9" s="702">
        <f t="shared" si="0"/>
        <v>100</v>
      </c>
      <c r="T9" s="701" t="s">
        <v>14</v>
      </c>
      <c r="U9" s="702">
        <f t="shared" si="1"/>
        <v>100</v>
      </c>
      <c r="V9" s="701" t="s">
        <v>14</v>
      </c>
      <c r="W9" s="702">
        <f t="shared" si="2"/>
        <v>100</v>
      </c>
      <c r="X9" s="703"/>
      <c r="Y9" s="3654"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20"/>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20"/>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20"/>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3" t="s">
        <v>1690</v>
      </c>
      <c r="Q14" s="1352" t="str">
        <f t="shared" si="6"/>
        <v>交通便捷度</v>
      </c>
      <c r="R14" s="705" t="s">
        <v>14</v>
      </c>
      <c r="S14" s="706">
        <f t="shared" si="0"/>
        <v>100</v>
      </c>
      <c r="T14" s="705" t="s">
        <v>14</v>
      </c>
      <c r="U14" s="706">
        <f t="shared" si="1"/>
        <v>100</v>
      </c>
      <c r="V14" s="705" t="s">
        <v>14</v>
      </c>
      <c r="W14" s="706">
        <f t="shared" si="2"/>
        <v>100</v>
      </c>
      <c r="X14" s="1355"/>
      <c r="Y14" s="371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14"/>
      <c r="Q15" s="1352"/>
      <c r="R15" s="705"/>
      <c r="S15" s="706"/>
      <c r="T15" s="705"/>
      <c r="U15" s="706"/>
      <c r="V15" s="705"/>
      <c r="W15" s="706"/>
      <c r="X15" s="1355"/>
      <c r="Y15" s="3714"/>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14"/>
      <c r="Q17" s="1352"/>
      <c r="R17" s="705"/>
      <c r="S17" s="706"/>
      <c r="T17" s="705"/>
      <c r="U17" s="706"/>
      <c r="V17" s="705"/>
      <c r="W17" s="706"/>
      <c r="X17" s="1355"/>
      <c r="Y17" s="3714"/>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14"/>
      <c r="Q19" s="1352"/>
      <c r="R19" s="705"/>
      <c r="S19" s="706"/>
      <c r="T19" s="705"/>
      <c r="U19" s="706"/>
      <c r="V19" s="705"/>
      <c r="W19" s="706"/>
      <c r="X19" s="1355"/>
      <c r="Y19" s="3714"/>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14"/>
      <c r="Q21" s="1352"/>
      <c r="R21" s="705"/>
      <c r="S21" s="706"/>
      <c r="T21" s="705"/>
      <c r="U21" s="706"/>
      <c r="V21" s="705"/>
      <c r="W21" s="706"/>
      <c r="X21" s="1355"/>
      <c r="Y21" s="371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7.7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8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8" t="s">
        <v>1695</v>
      </c>
      <c r="Q32" s="1352">
        <f t="shared" si="11"/>
        <v>111</v>
      </c>
      <c r="R32" s="705" t="s">
        <v>14</v>
      </c>
      <c r="S32" s="706">
        <f t="shared" si="12"/>
        <v>100</v>
      </c>
      <c r="T32" s="705" t="s">
        <v>14</v>
      </c>
      <c r="U32" s="706">
        <f t="shared" si="13"/>
        <v>100</v>
      </c>
      <c r="V32" s="705" t="s">
        <v>14</v>
      </c>
      <c r="W32" s="706">
        <f t="shared" si="14"/>
        <v>100</v>
      </c>
      <c r="X32" s="1355"/>
      <c r="Y32" s="371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22" t="str">
        <f>A37</f>
        <v>估价对象XX用房的比较价值（楼面单价，元/平方米）</v>
      </c>
      <c r="Q37" s="3723"/>
      <c r="R37" s="3789" t="e">
        <f>IF(F1="售价",ROUND(IF(D36="简单平均",AVERAGE(R36:W36),R36*F36+T36*H36+V36*J36),0),ROUND(IF(D36="简单平均",AVERAGE(R36:V36),R36*F36+T36*H36+V36*J36),1))</f>
        <v>#DIV/0!</v>
      </c>
      <c r="S37" s="3789"/>
      <c r="T37" s="3789"/>
      <c r="U37" s="3789"/>
      <c r="V37" s="3789"/>
      <c r="W37" s="3789"/>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30" ht="15">
      <c r="A5" s="358"/>
      <c r="B5" s="359"/>
      <c r="C5" s="3694" t="s">
        <v>1672</v>
      </c>
      <c r="D5" s="3691"/>
      <c r="E5" s="3688" t="s">
        <v>1673</v>
      </c>
      <c r="F5" s="3689"/>
      <c r="G5" s="3694" t="s">
        <v>1674</v>
      </c>
      <c r="H5" s="3691"/>
      <c r="I5" s="3694" t="s">
        <v>1675</v>
      </c>
      <c r="J5" s="3691"/>
      <c r="K5" s="559"/>
      <c r="L5" s="2710"/>
      <c r="M5" s="2711"/>
      <c r="N5" s="2711"/>
      <c r="O5" s="2711"/>
      <c r="P5" s="3704"/>
      <c r="Q5" s="3705"/>
      <c r="R5" s="3686"/>
      <c r="S5" s="3687"/>
      <c r="T5" s="3686"/>
      <c r="U5" s="3687"/>
      <c r="V5" s="3681"/>
      <c r="W5" s="3681"/>
      <c r="X5" s="1355"/>
      <c r="Y5" s="3686"/>
      <c r="Z5" s="3687"/>
      <c r="AA5" s="3679"/>
      <c r="AB5" s="3679"/>
      <c r="AC5" s="3679"/>
    </row>
    <row r="6" spans="1:30" ht="15.75" thickBot="1">
      <c r="A6" s="360"/>
      <c r="B6" s="361"/>
      <c r="C6" s="3692" t="s">
        <v>1676</v>
      </c>
      <c r="D6" s="3693"/>
      <c r="E6" s="3695" t="s">
        <v>1676</v>
      </c>
      <c r="F6" s="3696"/>
      <c r="G6" s="3692" t="s">
        <v>1676</v>
      </c>
      <c r="H6" s="3693"/>
      <c r="I6" s="3692" t="s">
        <v>1676</v>
      </c>
      <c r="J6" s="3693"/>
      <c r="K6" s="559" t="s">
        <v>1677</v>
      </c>
      <c r="L6" s="2710"/>
      <c r="M6" s="2711"/>
      <c r="N6" s="2711"/>
      <c r="O6" s="2711"/>
      <c r="P6" s="3706"/>
      <c r="Q6" s="3707"/>
      <c r="R6" s="3686"/>
      <c r="S6" s="3687"/>
      <c r="T6" s="3708"/>
      <c r="U6" s="3709"/>
      <c r="V6" s="3681"/>
      <c r="W6" s="3681"/>
      <c r="X6" s="1355"/>
      <c r="Y6" s="3708"/>
      <c r="Z6" s="3709"/>
      <c r="AA6" s="3680"/>
      <c r="AB6" s="3680"/>
      <c r="AC6" s="3680"/>
    </row>
    <row r="7" spans="1:30" s="108" customFormat="1" ht="15.7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2" t="s">
        <v>1682</v>
      </c>
      <c r="Q8" s="3683"/>
      <c r="R8" s="701" t="s">
        <v>14</v>
      </c>
      <c r="S8" s="702">
        <f t="shared" si="0"/>
        <v>0</v>
      </c>
      <c r="T8" s="701" t="s">
        <v>14</v>
      </c>
      <c r="U8" s="702">
        <f t="shared" si="1"/>
        <v>0</v>
      </c>
      <c r="V8" s="701" t="s">
        <v>14</v>
      </c>
      <c r="W8" s="702">
        <f t="shared" si="2"/>
        <v>0</v>
      </c>
      <c r="X8" s="703"/>
      <c r="Y8" s="3682" t="s">
        <v>1682</v>
      </c>
      <c r="Z8" s="368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20"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720"/>
      <c r="Q10" s="1343" t="str">
        <f t="shared" si="6"/>
        <v>土地使用年限（年）</v>
      </c>
      <c r="R10" s="701" t="s">
        <v>14</v>
      </c>
      <c r="S10" s="702">
        <f t="shared" si="0"/>
        <v>145</v>
      </c>
      <c r="T10" s="701" t="s">
        <v>14</v>
      </c>
      <c r="U10" s="702">
        <f t="shared" si="1"/>
        <v>145</v>
      </c>
      <c r="V10" s="701" t="s">
        <v>14</v>
      </c>
      <c r="W10" s="702">
        <f t="shared" si="2"/>
        <v>145</v>
      </c>
      <c r="X10" s="703"/>
      <c r="Y10" s="3654"/>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20"/>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20"/>
      <c r="Q12" s="1343" t="str">
        <f t="shared" si="6"/>
        <v>配建</v>
      </c>
      <c r="R12" s="701" t="s">
        <v>14</v>
      </c>
      <c r="S12" s="702">
        <f t="shared" si="0"/>
        <v>100</v>
      </c>
      <c r="T12" s="701" t="s">
        <v>14</v>
      </c>
      <c r="U12" s="702">
        <f t="shared" si="1"/>
        <v>100</v>
      </c>
      <c r="V12" s="701" t="s">
        <v>14</v>
      </c>
      <c r="W12" s="702">
        <f t="shared" si="2"/>
        <v>100</v>
      </c>
      <c r="X12" s="703"/>
      <c r="Y12" s="36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20"/>
      <c r="Q14" s="1343">
        <f t="shared" si="6"/>
        <v>111</v>
      </c>
      <c r="R14" s="701" t="s">
        <v>14</v>
      </c>
      <c r="S14" s="702">
        <f t="shared" si="0"/>
        <v>100</v>
      </c>
      <c r="T14" s="701" t="s">
        <v>14</v>
      </c>
      <c r="U14" s="702">
        <f t="shared" si="1"/>
        <v>100</v>
      </c>
      <c r="V14" s="701" t="s">
        <v>14</v>
      </c>
      <c r="W14" s="702">
        <f t="shared" si="2"/>
        <v>100</v>
      </c>
      <c r="X14" s="703"/>
      <c r="Y14" s="3654"/>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13" t="s">
        <v>1690</v>
      </c>
      <c r="Q15" s="1352" t="str">
        <f t="shared" si="6"/>
        <v>居住社区成熟度</v>
      </c>
      <c r="R15" s="705" t="s">
        <v>14</v>
      </c>
      <c r="S15" s="706">
        <f t="shared" si="0"/>
        <v>100</v>
      </c>
      <c r="T15" s="705" t="s">
        <v>14</v>
      </c>
      <c r="U15" s="706">
        <f t="shared" si="1"/>
        <v>100</v>
      </c>
      <c r="V15" s="705" t="s">
        <v>14</v>
      </c>
      <c r="W15" s="706">
        <f t="shared" si="2"/>
        <v>100</v>
      </c>
      <c r="X15" s="1355"/>
      <c r="Y15" s="371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14"/>
      <c r="Q16" s="1352"/>
      <c r="R16" s="705"/>
      <c r="S16" s="706"/>
      <c r="T16" s="705"/>
      <c r="U16" s="706"/>
      <c r="V16" s="705"/>
      <c r="W16" s="706"/>
      <c r="X16" s="1355"/>
      <c r="Y16" s="3714"/>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14"/>
      <c r="Q18" s="1352"/>
      <c r="R18" s="705"/>
      <c r="S18" s="706"/>
      <c r="T18" s="705"/>
      <c r="U18" s="706"/>
      <c r="V18" s="705"/>
      <c r="W18" s="706"/>
      <c r="X18" s="1355"/>
      <c r="Y18" s="3714"/>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14"/>
      <c r="Q20" s="1352"/>
      <c r="R20" s="705"/>
      <c r="S20" s="706"/>
      <c r="T20" s="705"/>
      <c r="U20" s="706"/>
      <c r="V20" s="705"/>
      <c r="W20" s="706"/>
      <c r="X20" s="1355"/>
      <c r="Y20" s="3714"/>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14"/>
      <c r="Q22" s="1352"/>
      <c r="R22" s="705"/>
      <c r="S22" s="706"/>
      <c r="T22" s="705"/>
      <c r="U22" s="706"/>
      <c r="V22" s="705"/>
      <c r="W22" s="706"/>
      <c r="X22" s="1355"/>
      <c r="Y22" s="371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14"/>
      <c r="Q24" s="1352"/>
      <c r="R24" s="705"/>
      <c r="S24" s="706"/>
      <c r="T24" s="705"/>
      <c r="U24" s="706"/>
      <c r="V24" s="705"/>
      <c r="W24" s="706"/>
      <c r="X24" s="1355"/>
      <c r="Y24" s="3714"/>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14"/>
      <c r="Q26" s="1352"/>
      <c r="R26" s="705"/>
      <c r="S26" s="706"/>
      <c r="T26" s="705"/>
      <c r="U26" s="706"/>
      <c r="V26" s="705"/>
      <c r="W26" s="706"/>
      <c r="X26" s="1355"/>
      <c r="Y26" s="3714"/>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14"/>
      <c r="Q28" s="1343"/>
      <c r="R28" s="701"/>
      <c r="S28" s="702"/>
      <c r="T28" s="701"/>
      <c r="U28" s="702"/>
      <c r="V28" s="701"/>
      <c r="W28" s="702"/>
      <c r="X28" s="703"/>
      <c r="Y28" s="3714"/>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14"/>
      <c r="Q30" s="1343"/>
      <c r="R30" s="701"/>
      <c r="S30" s="702"/>
      <c r="T30" s="701"/>
      <c r="U30" s="702"/>
      <c r="V30" s="701"/>
      <c r="W30" s="702"/>
      <c r="X30" s="703"/>
      <c r="Y30" s="371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14"/>
      <c r="Q33" s="1352"/>
      <c r="R33" s="705"/>
      <c r="S33" s="706"/>
      <c r="T33" s="705"/>
      <c r="U33" s="706"/>
      <c r="V33" s="705"/>
      <c r="W33" s="706"/>
      <c r="X33" s="1355"/>
      <c r="Y33" s="371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88" t="s">
        <v>1695</v>
      </c>
      <c r="Q36" s="1352">
        <f t="shared" si="8"/>
        <v>111</v>
      </c>
      <c r="R36" s="705" t="s">
        <v>14</v>
      </c>
      <c r="S36" s="706">
        <f t="shared" si="10"/>
        <v>100</v>
      </c>
      <c r="T36" s="705" t="s">
        <v>14</v>
      </c>
      <c r="U36" s="706">
        <f t="shared" si="11"/>
        <v>100</v>
      </c>
      <c r="V36" s="705" t="s">
        <v>14</v>
      </c>
      <c r="W36" s="706">
        <f t="shared" si="12"/>
        <v>100</v>
      </c>
      <c r="X36" s="1355"/>
      <c r="Y36" s="371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18" t="s">
        <v>1695</v>
      </c>
      <c r="Q42" s="1352" t="str">
        <f t="shared" si="14"/>
        <v>工程地质条件</v>
      </c>
      <c r="R42" s="705" t="s">
        <v>14</v>
      </c>
      <c r="S42" s="706">
        <f t="shared" si="10"/>
        <v>100</v>
      </c>
      <c r="T42" s="705" t="s">
        <v>14</v>
      </c>
      <c r="U42" s="706">
        <f t="shared" si="11"/>
        <v>100</v>
      </c>
      <c r="V42" s="705" t="s">
        <v>14</v>
      </c>
      <c r="W42" s="706">
        <f t="shared" si="12"/>
        <v>100</v>
      </c>
      <c r="X42" s="1355"/>
      <c r="Y42" s="371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720" t="str">
        <f>A46</f>
        <v>成交单价</v>
      </c>
      <c r="Q46" s="3720"/>
      <c r="R46" s="3681">
        <f>E46</f>
        <v>0</v>
      </c>
      <c r="S46" s="3681"/>
      <c r="T46" s="3681">
        <f>G46</f>
        <v>0</v>
      </c>
      <c r="U46" s="3681"/>
      <c r="V46" s="3681">
        <f>I46</f>
        <v>0</v>
      </c>
      <c r="W46" s="368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720" t="str">
        <f>A47</f>
        <v>比较价值（元/平方米）</v>
      </c>
      <c r="Q47" s="3720"/>
      <c r="R47" s="3790" t="e">
        <f>ROUND(PRODUCT(R46,AA7:AA45),0)</f>
        <v>#DIV/0!</v>
      </c>
      <c r="S47" s="3790"/>
      <c r="T47" s="3790" t="e">
        <f>ROUND(PRODUCT(T46,AB7:AB45),0)</f>
        <v>#DIV/0!</v>
      </c>
      <c r="U47" s="3790"/>
      <c r="V47" s="3790" t="e">
        <f>ROUND(PRODUCT(V46,AC7:AC45),0)</f>
        <v>#DIV/0!</v>
      </c>
      <c r="W47" s="379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22" t="str">
        <f>A48</f>
        <v>估价对象XX用房的比较价值（楼面单价，元/平方米）</v>
      </c>
      <c r="Q48" s="3723"/>
      <c r="R48" s="3791" t="e">
        <f>ROUND(IF(D47="简单平均",AVERAGE(R47:W47),R47*F47+T47*H47+V47*J47),0)</f>
        <v>#DIV/0!</v>
      </c>
      <c r="S48" s="3791"/>
      <c r="T48" s="3791"/>
      <c r="U48" s="3791"/>
      <c r="V48" s="3791"/>
      <c r="W48" s="3791"/>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98" t="s">
        <v>1886</v>
      </c>
      <c r="H55" s="3792"/>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97"/>
      <c r="H56" s="372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29" ht="15">
      <c r="A5" s="358"/>
      <c r="B5" s="359"/>
      <c r="C5" s="3694" t="s">
        <v>1672</v>
      </c>
      <c r="D5" s="3691"/>
      <c r="E5" s="3688" t="s">
        <v>1673</v>
      </c>
      <c r="F5" s="3689"/>
      <c r="G5" s="3694" t="s">
        <v>1674</v>
      </c>
      <c r="H5" s="3691"/>
      <c r="I5" s="3694" t="s">
        <v>1675</v>
      </c>
      <c r="J5" s="3691"/>
      <c r="K5" s="559"/>
      <c r="L5" s="2710"/>
      <c r="M5" s="2711"/>
      <c r="N5" s="2711"/>
      <c r="O5" s="2711"/>
      <c r="P5" s="3704"/>
      <c r="Q5" s="3705"/>
      <c r="R5" s="3686"/>
      <c r="S5" s="3687"/>
      <c r="T5" s="3686"/>
      <c r="U5" s="3687"/>
      <c r="V5" s="3681"/>
      <c r="W5" s="3681"/>
      <c r="X5" s="1355"/>
      <c r="Y5" s="3686"/>
      <c r="Z5" s="3687"/>
      <c r="AA5" s="3679"/>
      <c r="AB5" s="3679"/>
      <c r="AC5" s="3679"/>
    </row>
    <row r="6" spans="1:29" ht="15.75" thickBot="1">
      <c r="A6" s="360"/>
      <c r="B6" s="361"/>
      <c r="C6" s="3793" t="s">
        <v>1918</v>
      </c>
      <c r="D6" s="3794"/>
      <c r="E6" s="3795" t="s">
        <v>1918</v>
      </c>
      <c r="F6" s="3796"/>
      <c r="G6" s="3793" t="s">
        <v>1918</v>
      </c>
      <c r="H6" s="3794"/>
      <c r="I6" s="3793" t="s">
        <v>1918</v>
      </c>
      <c r="J6" s="3794"/>
      <c r="K6" s="559" t="s">
        <v>1677</v>
      </c>
      <c r="L6" s="2710"/>
      <c r="M6" s="2711"/>
      <c r="N6" s="2711"/>
      <c r="O6" s="2711"/>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2" t="s">
        <v>1682</v>
      </c>
      <c r="Q8" s="3683"/>
      <c r="R8" s="701" t="s">
        <v>14</v>
      </c>
      <c r="S8" s="702">
        <f t="shared" si="0"/>
        <v>0</v>
      </c>
      <c r="T8" s="701" t="s">
        <v>14</v>
      </c>
      <c r="U8" s="702">
        <f t="shared" si="1"/>
        <v>0</v>
      </c>
      <c r="V8" s="701" t="s">
        <v>14</v>
      </c>
      <c r="W8" s="702">
        <f t="shared" si="2"/>
        <v>0</v>
      </c>
      <c r="X8" s="703"/>
      <c r="Y8" s="3682" t="s">
        <v>1682</v>
      </c>
      <c r="Z8" s="368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20"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720"/>
      <c r="Q10" s="1343" t="str">
        <f t="shared" si="6"/>
        <v>土地使用年限（年）</v>
      </c>
      <c r="R10" s="701" t="s">
        <v>14</v>
      </c>
      <c r="S10" s="702">
        <f t="shared" si="0"/>
        <v>145</v>
      </c>
      <c r="T10" s="701" t="s">
        <v>14</v>
      </c>
      <c r="U10" s="702">
        <f t="shared" si="1"/>
        <v>145</v>
      </c>
      <c r="V10" s="701" t="s">
        <v>14</v>
      </c>
      <c r="W10" s="702">
        <f t="shared" si="2"/>
        <v>145</v>
      </c>
      <c r="X10" s="703"/>
      <c r="Y10" s="3654"/>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20"/>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20"/>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20"/>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3" t="s">
        <v>1690</v>
      </c>
      <c r="Q15" s="1352" t="str">
        <f t="shared" si="6"/>
        <v>产业集聚程度</v>
      </c>
      <c r="R15" s="705" t="s">
        <v>14</v>
      </c>
      <c r="S15" s="706">
        <f t="shared" si="0"/>
        <v>100</v>
      </c>
      <c r="T15" s="705" t="s">
        <v>14</v>
      </c>
      <c r="U15" s="706">
        <f t="shared" si="1"/>
        <v>100</v>
      </c>
      <c r="V15" s="705" t="s">
        <v>14</v>
      </c>
      <c r="W15" s="706">
        <f t="shared" si="2"/>
        <v>100</v>
      </c>
      <c r="X15" s="1355"/>
      <c r="Y15" s="371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14"/>
      <c r="Q16" s="1352"/>
      <c r="R16" s="705"/>
      <c r="S16" s="706"/>
      <c r="T16" s="705"/>
      <c r="U16" s="706"/>
      <c r="V16" s="705"/>
      <c r="W16" s="706"/>
      <c r="X16" s="1355"/>
      <c r="Y16" s="371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14"/>
      <c r="Q18" s="1352"/>
      <c r="R18" s="705"/>
      <c r="S18" s="706"/>
      <c r="T18" s="705"/>
      <c r="U18" s="706"/>
      <c r="V18" s="705"/>
      <c r="W18" s="706"/>
      <c r="X18" s="1355"/>
      <c r="Y18" s="371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14"/>
      <c r="Q20" s="1352"/>
      <c r="R20" s="705"/>
      <c r="S20" s="706"/>
      <c r="T20" s="705"/>
      <c r="U20" s="706"/>
      <c r="V20" s="705"/>
      <c r="W20" s="706"/>
      <c r="X20" s="1355"/>
      <c r="Y20" s="371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14"/>
      <c r="Q22" s="1352"/>
      <c r="R22" s="705"/>
      <c r="S22" s="706"/>
      <c r="T22" s="705"/>
      <c r="U22" s="706"/>
      <c r="V22" s="705"/>
      <c r="W22" s="706"/>
      <c r="X22" s="1355"/>
      <c r="Y22" s="371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14"/>
      <c r="Q24" s="1343"/>
      <c r="R24" s="701"/>
      <c r="S24" s="702"/>
      <c r="T24" s="701"/>
      <c r="U24" s="702"/>
      <c r="V24" s="701"/>
      <c r="W24" s="702"/>
      <c r="X24" s="703"/>
      <c r="Y24" s="371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14"/>
      <c r="Q26" s="1343"/>
      <c r="R26" s="701"/>
      <c r="S26" s="702"/>
      <c r="T26" s="701"/>
      <c r="U26" s="702"/>
      <c r="V26" s="701"/>
      <c r="W26" s="702"/>
      <c r="X26" s="703"/>
      <c r="Y26" s="371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14"/>
      <c r="Q29" s="1352"/>
      <c r="R29" s="705"/>
      <c r="S29" s="706"/>
      <c r="T29" s="705"/>
      <c r="U29" s="706"/>
      <c r="V29" s="705"/>
      <c r="W29" s="706"/>
      <c r="X29" s="1355"/>
      <c r="Y29" s="371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88" t="s">
        <v>1695</v>
      </c>
      <c r="Q32" s="1352">
        <f t="shared" si="8"/>
        <v>111</v>
      </c>
      <c r="R32" s="705" t="s">
        <v>14</v>
      </c>
      <c r="S32" s="706">
        <f t="shared" si="10"/>
        <v>100</v>
      </c>
      <c r="T32" s="705" t="s">
        <v>14</v>
      </c>
      <c r="U32" s="706">
        <f t="shared" si="11"/>
        <v>100</v>
      </c>
      <c r="V32" s="705" t="s">
        <v>14</v>
      </c>
      <c r="W32" s="706">
        <f t="shared" si="12"/>
        <v>100</v>
      </c>
      <c r="X32" s="1355"/>
      <c r="Y32" s="3718"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18" t="s">
        <v>1695</v>
      </c>
      <c r="Q37" s="1352" t="str">
        <f t="shared" si="14"/>
        <v>工程地质条件</v>
      </c>
      <c r="R37" s="705" t="s">
        <v>14</v>
      </c>
      <c r="S37" s="706">
        <f t="shared" si="10"/>
        <v>100</v>
      </c>
      <c r="T37" s="705" t="s">
        <v>14</v>
      </c>
      <c r="U37" s="706">
        <f t="shared" si="11"/>
        <v>100</v>
      </c>
      <c r="V37" s="705" t="s">
        <v>14</v>
      </c>
      <c r="W37" s="706">
        <f t="shared" si="12"/>
        <v>100</v>
      </c>
      <c r="X37" s="1355"/>
      <c r="Y37" s="371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720" t="str">
        <f>A41</f>
        <v>成交单价</v>
      </c>
      <c r="Q41" s="3720"/>
      <c r="R41" s="3681">
        <f>E41</f>
        <v>0</v>
      </c>
      <c r="S41" s="3681"/>
      <c r="T41" s="3681">
        <f>G41</f>
        <v>0</v>
      </c>
      <c r="U41" s="3681"/>
      <c r="V41" s="3681">
        <f>I41</f>
        <v>0</v>
      </c>
      <c r="W41" s="368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720" t="str">
        <f>A42</f>
        <v>比较价值（元/平方米）</v>
      </c>
      <c r="Q42" s="3720"/>
      <c r="R42" s="3790" t="e">
        <f>ROUND(PRODUCT(R41,AA7:AA40),0)</f>
        <v>#DIV/0!</v>
      </c>
      <c r="S42" s="3790"/>
      <c r="T42" s="3790" t="e">
        <f>ROUND(PRODUCT(T41,AB7:AB40),0)</f>
        <v>#DIV/0!</v>
      </c>
      <c r="U42" s="3790"/>
      <c r="V42" s="3790" t="e">
        <f>ROUND(PRODUCT(V41,AC7:AC40),0)</f>
        <v>#DIV/0!</v>
      </c>
      <c r="W42" s="379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22" t="str">
        <f>A43</f>
        <v>估价对象XX用房的比较价值（楼面单价，元/平方米）</v>
      </c>
      <c r="Q43" s="3723"/>
      <c r="R43" s="3791" t="e">
        <f>ROUND(IF(D42="简单平均",AVERAGE(R42:W42),R42*F42+T42*H42+V42*J42),0)</f>
        <v>#DIV/0!</v>
      </c>
      <c r="S43" s="3791"/>
      <c r="T43" s="3791"/>
      <c r="U43" s="3791"/>
      <c r="V43" s="3791"/>
      <c r="W43" s="3791"/>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98" t="s">
        <v>1886</v>
      </c>
      <c r="H50" s="3792"/>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97"/>
      <c r="H51" s="372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0" t="s">
        <v>2083</v>
      </c>
      <c r="D1" s="3801"/>
      <c r="E1" s="3801"/>
      <c r="F1" s="3801"/>
      <c r="G1" s="3801"/>
      <c r="H1" s="3801"/>
      <c r="I1" s="3801"/>
      <c r="J1" s="3801"/>
      <c r="K1" s="3801"/>
      <c r="L1" s="3801"/>
      <c r="M1" s="3801"/>
      <c r="N1" s="3801"/>
      <c r="O1" s="3801"/>
      <c r="P1" s="3801"/>
      <c r="Q1" s="3801"/>
      <c r="R1" s="3801"/>
      <c r="S1" s="380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7" t="s">
        <v>27</v>
      </c>
      <c r="D22" s="3798"/>
      <c r="E22" s="3798"/>
      <c r="F22" s="3798"/>
      <c r="G22" s="3798"/>
      <c r="H22" s="3798"/>
      <c r="I22" s="3798"/>
      <c r="J22" s="3798"/>
      <c r="K22" s="3798"/>
      <c r="L22" s="3798"/>
      <c r="M22" s="3798"/>
      <c r="N22" s="3798"/>
      <c r="O22" s="3798"/>
      <c r="P22" s="3798"/>
      <c r="Q22" s="379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f ca="1">SUMIF(B6:B13,"&lt;&gt;#ref!",B6:B13)</f>
        <v>0</v>
      </c>
      <c r="C2" s="2145" t="s">
        <v>2073</v>
      </c>
      <c r="D2" s="2145" t="s">
        <v>2074</v>
      </c>
      <c r="E2" s="2607">
        <f ca="1">SUMIF(E6:E13,"&lt;&gt;#ref!",E6:E13)</f>
        <v>1139.1300000000001</v>
      </c>
      <c r="F2" s="2788"/>
      <c r="G2" s="2788"/>
      <c r="H2" s="2788"/>
      <c r="I2" s="2788"/>
      <c r="J2" s="2788"/>
      <c r="K2" s="2788"/>
      <c r="L2" s="2788"/>
      <c r="M2" s="2788"/>
      <c r="N2" s="2788"/>
      <c r="O2" s="2788"/>
      <c r="P2" s="2788"/>
    </row>
    <row r="3" spans="1:16" ht="15.75">
      <c r="A3" s="2145" t="s">
        <v>2075</v>
      </c>
      <c r="B3" s="2597">
        <f ca="1">ROUND(B2*10000/E2,0)</f>
        <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0</v>
      </c>
      <c r="C6" s="2145" t="s">
        <v>2073</v>
      </c>
      <c r="D6" s="2788"/>
      <c r="E6" s="2607">
        <f ca="1">SUMIF(INDIRECT("'"&amp;A6&amp;"'"&amp;"!C:C"),"建筑面积",INDIRECT("'"&amp;A6&amp;"'"&amp;"!D:D"))</f>
        <v>1139.1300000000001</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810" t="s">
        <v>2603</v>
      </c>
      <c r="B20" s="3803" t="s">
        <v>2624</v>
      </c>
      <c r="C20" s="3098" t="s">
        <v>2435</v>
      </c>
      <c r="D20" s="3099"/>
      <c r="E20" s="3100">
        <v>1</v>
      </c>
      <c r="F20" s="3101" t="s">
        <v>2436</v>
      </c>
      <c r="G20" s="3101"/>
    </row>
    <row r="21" spans="1:13" ht="19.5" customHeight="1">
      <c r="A21" s="3811"/>
      <c r="B21" s="3804"/>
      <c r="C21" s="3102" t="s">
        <v>2437</v>
      </c>
      <c r="D21" s="3103"/>
      <c r="E21" s="3104">
        <v>1</v>
      </c>
      <c r="F21" s="3101" t="s">
        <v>2438</v>
      </c>
      <c r="G21" s="3101"/>
    </row>
    <row r="22" spans="1:13" ht="19.5" customHeight="1">
      <c r="A22" s="3811"/>
      <c r="B22" s="3804"/>
      <c r="C22" s="3102" t="s">
        <v>2439</v>
      </c>
      <c r="D22" s="3103"/>
      <c r="E22" s="3104">
        <v>0.9</v>
      </c>
      <c r="F22" s="3101" t="s">
        <v>2440</v>
      </c>
      <c r="G22" s="3101"/>
    </row>
    <row r="23" spans="1:13" ht="19.5" customHeight="1">
      <c r="A23" s="3811"/>
      <c r="B23" s="3804"/>
      <c r="C23" s="3102" t="s">
        <v>2441</v>
      </c>
      <c r="D23" s="3103"/>
      <c r="E23" s="3104">
        <v>0.9</v>
      </c>
      <c r="F23" s="3101" t="s">
        <v>2442</v>
      </c>
      <c r="G23" s="3101"/>
    </row>
    <row r="24" spans="1:13" ht="19.5" customHeight="1">
      <c r="A24" s="3811"/>
      <c r="B24" s="3804"/>
      <c r="C24" s="3102" t="s">
        <v>2443</v>
      </c>
      <c r="D24" s="3103"/>
      <c r="E24" s="3104">
        <v>0.8</v>
      </c>
      <c r="F24" s="3101" t="s">
        <v>2444</v>
      </c>
      <c r="G24" s="3101"/>
    </row>
    <row r="25" spans="1:13" ht="19.5" customHeight="1" thickBot="1">
      <c r="A25" s="3812"/>
      <c r="B25" s="3805"/>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806" t="s">
        <v>2627</v>
      </c>
      <c r="B27" s="3803" t="s">
        <v>2608</v>
      </c>
      <c r="C27" s="3098" t="s">
        <v>2448</v>
      </c>
      <c r="D27" s="3099"/>
      <c r="E27" s="3100">
        <v>1</v>
      </c>
      <c r="F27" s="3101" t="s">
        <v>2449</v>
      </c>
      <c r="G27" s="3101"/>
    </row>
    <row r="28" spans="1:13" ht="19.5" customHeight="1">
      <c r="A28" s="3807"/>
      <c r="B28" s="3804"/>
      <c r="C28" s="3102" t="s">
        <v>2450</v>
      </c>
      <c r="D28" s="3103"/>
      <c r="E28" s="3104">
        <v>1</v>
      </c>
      <c r="F28" s="3101" t="s">
        <v>2451</v>
      </c>
      <c r="G28" s="3101"/>
    </row>
    <row r="29" spans="1:13" ht="19.5" customHeight="1">
      <c r="A29" s="3807"/>
      <c r="B29" s="3804"/>
      <c r="C29" s="3102" t="s">
        <v>2452</v>
      </c>
      <c r="D29" s="3103"/>
      <c r="E29" s="3104">
        <v>0.8</v>
      </c>
      <c r="F29" s="3101" t="s">
        <v>2453</v>
      </c>
      <c r="G29" s="3101"/>
    </row>
    <row r="30" spans="1:13" ht="19.5" customHeight="1">
      <c r="A30" s="3807"/>
      <c r="B30" s="3804"/>
      <c r="C30" s="3102" t="s">
        <v>2454</v>
      </c>
      <c r="D30" s="3103"/>
      <c r="E30" s="3104">
        <v>0.8</v>
      </c>
      <c r="F30" s="3101" t="s">
        <v>2455</v>
      </c>
      <c r="G30" s="3101"/>
    </row>
    <row r="31" spans="1:13" ht="19.5" customHeight="1">
      <c r="A31" s="3807"/>
      <c r="B31" s="3804"/>
      <c r="C31" s="3102" t="s">
        <v>2456</v>
      </c>
      <c r="D31" s="3103"/>
      <c r="E31" s="3104">
        <v>0.8</v>
      </c>
      <c r="F31" s="3101" t="s">
        <v>2457</v>
      </c>
      <c r="G31" s="3101"/>
    </row>
    <row r="32" spans="1:13" ht="19.5" customHeight="1">
      <c r="A32" s="3807"/>
      <c r="B32" s="3804"/>
      <c r="C32" s="3102" t="s">
        <v>2458</v>
      </c>
      <c r="D32" s="3103"/>
      <c r="E32" s="3104">
        <v>0.7</v>
      </c>
      <c r="F32" s="3101" t="s">
        <v>2459</v>
      </c>
      <c r="G32" s="3101"/>
    </row>
    <row r="33" spans="1:7" ht="19.5" customHeight="1">
      <c r="A33" s="3807"/>
      <c r="B33" s="3804"/>
      <c r="C33" s="3102" t="s">
        <v>2460</v>
      </c>
      <c r="D33" s="3103"/>
      <c r="E33" s="3104">
        <v>0.8</v>
      </c>
      <c r="F33" s="3101" t="s">
        <v>2461</v>
      </c>
      <c r="G33" s="3101"/>
    </row>
    <row r="34" spans="1:7" ht="19.5" customHeight="1">
      <c r="A34" s="3807"/>
      <c r="B34" s="3804"/>
      <c r="C34" s="3102" t="s">
        <v>2462</v>
      </c>
      <c r="D34" s="3103"/>
      <c r="E34" s="3104">
        <v>0.6</v>
      </c>
      <c r="F34" s="3101" t="s">
        <v>2463</v>
      </c>
      <c r="G34" s="3101"/>
    </row>
    <row r="35" spans="1:7" ht="19.5" customHeight="1">
      <c r="A35" s="3807"/>
      <c r="B35" s="3804"/>
      <c r="C35" s="3102" t="s">
        <v>2464</v>
      </c>
      <c r="D35" s="3103"/>
      <c r="E35" s="3104">
        <v>0.2</v>
      </c>
      <c r="F35" s="3101" t="s">
        <v>2465</v>
      </c>
      <c r="G35" s="3101"/>
    </row>
    <row r="36" spans="1:7" ht="19.5" customHeight="1">
      <c r="A36" s="3807"/>
      <c r="B36" s="3804"/>
      <c r="C36" s="3102" t="s">
        <v>2466</v>
      </c>
      <c r="D36" s="3103"/>
      <c r="E36" s="3104">
        <v>0.2</v>
      </c>
      <c r="F36" s="3101" t="s">
        <v>2467</v>
      </c>
      <c r="G36" s="3101"/>
    </row>
    <row r="37" spans="1:7" ht="19.5" customHeight="1">
      <c r="A37" s="3807"/>
      <c r="B37" s="3809" t="s">
        <v>2628</v>
      </c>
      <c r="C37" s="3102" t="s">
        <v>2468</v>
      </c>
      <c r="D37" s="3103"/>
      <c r="E37" s="3104">
        <v>0.6</v>
      </c>
      <c r="F37" s="3101" t="s">
        <v>2469</v>
      </c>
      <c r="G37" s="3101"/>
    </row>
    <row r="38" spans="1:7" ht="19.5" customHeight="1">
      <c r="A38" s="3807"/>
      <c r="B38" s="3804"/>
      <c r="C38" s="3102" t="s">
        <v>2470</v>
      </c>
      <c r="D38" s="3103"/>
      <c r="E38" s="3104">
        <v>0.6</v>
      </c>
      <c r="F38" s="3101" t="s">
        <v>2471</v>
      </c>
      <c r="G38" s="3101"/>
    </row>
    <row r="39" spans="1:7" ht="19.5" customHeight="1" thickBot="1">
      <c r="A39" s="3808"/>
      <c r="B39" s="3805"/>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810" t="s">
        <v>2606</v>
      </c>
      <c r="B41" s="3803" t="s">
        <v>2630</v>
      </c>
      <c r="C41" s="3098" t="s">
        <v>2475</v>
      </c>
      <c r="D41" s="3099"/>
      <c r="E41" s="3100">
        <v>1</v>
      </c>
      <c r="F41" s="3101" t="s">
        <v>2476</v>
      </c>
      <c r="G41" s="3101"/>
    </row>
    <row r="42" spans="1:7" ht="19.5" customHeight="1">
      <c r="A42" s="3811"/>
      <c r="B42" s="3804"/>
      <c r="C42" s="3102" t="s">
        <v>2477</v>
      </c>
      <c r="D42" s="3103"/>
      <c r="E42" s="3104">
        <v>1</v>
      </c>
      <c r="F42" s="3101" t="s">
        <v>2478</v>
      </c>
      <c r="G42" s="3101"/>
    </row>
    <row r="43" spans="1:7" ht="19.5" customHeight="1">
      <c r="A43" s="3811"/>
      <c r="B43" s="3813"/>
      <c r="C43" s="3102" t="s">
        <v>2479</v>
      </c>
      <c r="D43" s="3103"/>
      <c r="E43" s="3104">
        <v>1.5</v>
      </c>
      <c r="F43" s="3101" t="s">
        <v>2480</v>
      </c>
      <c r="G43" s="3101"/>
    </row>
    <row r="44" spans="1:7" ht="19.5" customHeight="1">
      <c r="A44" s="3811"/>
      <c r="B44" s="3113" t="s">
        <v>2631</v>
      </c>
      <c r="C44" s="3102" t="s">
        <v>2632</v>
      </c>
      <c r="D44" s="3103"/>
      <c r="E44" s="3104">
        <v>2</v>
      </c>
      <c r="F44" s="3101" t="s">
        <v>2481</v>
      </c>
      <c r="G44" s="3101"/>
    </row>
    <row r="45" spans="1:7" ht="19.5" customHeight="1">
      <c r="A45" s="3811"/>
      <c r="B45" s="3809" t="s">
        <v>2633</v>
      </c>
      <c r="C45" s="3102" t="s">
        <v>2482</v>
      </c>
      <c r="D45" s="3103"/>
      <c r="E45" s="3104">
        <v>1</v>
      </c>
      <c r="F45" s="3101" t="s">
        <v>2483</v>
      </c>
      <c r="G45" s="3101"/>
    </row>
    <row r="46" spans="1:7" ht="19.5" customHeight="1">
      <c r="A46" s="3811"/>
      <c r="B46" s="3804"/>
      <c r="C46" s="3102" t="s">
        <v>2484</v>
      </c>
      <c r="D46" s="3103"/>
      <c r="E46" s="3104">
        <v>1</v>
      </c>
      <c r="F46" s="3101" t="s">
        <v>2485</v>
      </c>
      <c r="G46" s="3101"/>
    </row>
    <row r="47" spans="1:7" ht="19.5" customHeight="1">
      <c r="A47" s="3811"/>
      <c r="B47" s="3804"/>
      <c r="C47" s="3102" t="s">
        <v>2486</v>
      </c>
      <c r="D47" s="3103"/>
      <c r="E47" s="3104">
        <v>1</v>
      </c>
      <c r="F47" s="3101" t="s">
        <v>2487</v>
      </c>
      <c r="G47" s="3101"/>
    </row>
    <row r="48" spans="1:7" ht="19.5" customHeight="1">
      <c r="A48" s="3811"/>
      <c r="B48" s="3804"/>
      <c r="C48" s="3102" t="s">
        <v>2488</v>
      </c>
      <c r="D48" s="3103"/>
      <c r="E48" s="3104">
        <v>1</v>
      </c>
      <c r="F48" s="3101" t="s">
        <v>2489</v>
      </c>
      <c r="G48" s="3101"/>
    </row>
    <row r="49" spans="1:7" ht="19.5" customHeight="1">
      <c r="A49" s="3811"/>
      <c r="B49" s="3804"/>
      <c r="C49" s="3102" t="s">
        <v>2490</v>
      </c>
      <c r="D49" s="3103"/>
      <c r="E49" s="3104">
        <v>1</v>
      </c>
      <c r="F49" s="3101" t="s">
        <v>2491</v>
      </c>
      <c r="G49" s="3101"/>
    </row>
    <row r="50" spans="1:7" ht="19.5" customHeight="1">
      <c r="A50" s="3811"/>
      <c r="B50" s="3804"/>
      <c r="C50" s="3102" t="s">
        <v>2492</v>
      </c>
      <c r="D50" s="3103"/>
      <c r="E50" s="3104">
        <v>1</v>
      </c>
      <c r="F50" s="3101" t="s">
        <v>2493</v>
      </c>
      <c r="G50" s="3101"/>
    </row>
    <row r="51" spans="1:7" ht="19.5" customHeight="1" thickBot="1">
      <c r="A51" s="3812"/>
      <c r="B51" s="3805"/>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809" t="s">
        <v>2647</v>
      </c>
      <c r="C73" s="3087" t="s">
        <v>2648</v>
      </c>
      <c r="D73" s="3087" t="s">
        <v>2649</v>
      </c>
      <c r="E73" s="3113">
        <v>0.2</v>
      </c>
      <c r="F73" s="3113">
        <v>25</v>
      </c>
    </row>
    <row r="74" spans="1:7" ht="24">
      <c r="A74" s="3113">
        <v>2</v>
      </c>
      <c r="B74" s="3804"/>
      <c r="C74" s="3087" t="s">
        <v>2650</v>
      </c>
      <c r="D74" s="3087" t="s">
        <v>2651</v>
      </c>
      <c r="E74" s="3113">
        <v>0.2</v>
      </c>
      <c r="F74" s="3113">
        <v>25</v>
      </c>
    </row>
    <row r="75" spans="1:7" ht="24">
      <c r="A75" s="3113">
        <v>3</v>
      </c>
      <c r="B75" s="3804"/>
      <c r="C75" s="3087" t="s">
        <v>2652</v>
      </c>
      <c r="D75" s="3087" t="s">
        <v>2653</v>
      </c>
      <c r="E75" s="3113">
        <v>0.2</v>
      </c>
      <c r="F75" s="3113">
        <v>25</v>
      </c>
    </row>
    <row r="76" spans="1:7" ht="13.5">
      <c r="A76" s="3113">
        <v>4</v>
      </c>
      <c r="B76" s="3804"/>
      <c r="C76" s="3087" t="s">
        <v>2654</v>
      </c>
      <c r="D76" s="3087" t="s">
        <v>2655</v>
      </c>
      <c r="E76" s="3113">
        <v>0.15</v>
      </c>
      <c r="F76" s="3113">
        <v>20</v>
      </c>
    </row>
    <row r="77" spans="1:7" ht="24">
      <c r="A77" s="3113">
        <v>5</v>
      </c>
      <c r="B77" s="3804"/>
      <c r="C77" s="3087" t="s">
        <v>2656</v>
      </c>
      <c r="D77" s="3087" t="s">
        <v>2657</v>
      </c>
      <c r="E77" s="3113">
        <v>0.15</v>
      </c>
      <c r="F77" s="3113">
        <v>20</v>
      </c>
    </row>
    <row r="78" spans="1:7" ht="24">
      <c r="A78" s="3113">
        <v>6</v>
      </c>
      <c r="B78" s="3804"/>
      <c r="C78" s="3087" t="s">
        <v>2658</v>
      </c>
      <c r="D78" s="3087" t="s">
        <v>2659</v>
      </c>
      <c r="E78" s="3113">
        <v>0.15</v>
      </c>
      <c r="F78" s="3113">
        <v>20</v>
      </c>
    </row>
    <row r="79" spans="1:7" ht="24">
      <c r="A79" s="3113">
        <v>7</v>
      </c>
      <c r="B79" s="3804"/>
      <c r="C79" s="3087" t="s">
        <v>2660</v>
      </c>
      <c r="D79" s="3087" t="s">
        <v>2661</v>
      </c>
      <c r="E79" s="3113">
        <v>0.15</v>
      </c>
      <c r="F79" s="3113">
        <v>20</v>
      </c>
    </row>
    <row r="80" spans="1:7" ht="24">
      <c r="A80" s="3113">
        <v>8</v>
      </c>
      <c r="B80" s="3804"/>
      <c r="C80" s="3087" t="s">
        <v>2662</v>
      </c>
      <c r="D80" s="3087" t="s">
        <v>2663</v>
      </c>
      <c r="E80" s="3113">
        <v>0.1</v>
      </c>
      <c r="F80" s="3113">
        <v>15</v>
      </c>
    </row>
    <row r="81" spans="1:6" ht="24">
      <c r="A81" s="3113">
        <v>9</v>
      </c>
      <c r="B81" s="3804"/>
      <c r="C81" s="3087" t="s">
        <v>2664</v>
      </c>
      <c r="D81" s="3087" t="s">
        <v>2665</v>
      </c>
      <c r="E81" s="3113">
        <v>0.1</v>
      </c>
      <c r="F81" s="3113">
        <v>15</v>
      </c>
    </row>
    <row r="82" spans="1:6" ht="24">
      <c r="A82" s="3113">
        <v>10</v>
      </c>
      <c r="B82" s="3804"/>
      <c r="C82" s="3087" t="s">
        <v>2666</v>
      </c>
      <c r="D82" s="3087" t="s">
        <v>2667</v>
      </c>
      <c r="E82" s="3113">
        <v>0.1</v>
      </c>
      <c r="F82" s="3113">
        <v>15</v>
      </c>
    </row>
    <row r="83" spans="1:6" ht="24">
      <c r="A83" s="3113">
        <v>11</v>
      </c>
      <c r="B83" s="3804"/>
      <c r="C83" s="3087" t="s">
        <v>2668</v>
      </c>
      <c r="D83" s="3087" t="s">
        <v>2669</v>
      </c>
      <c r="E83" s="3113">
        <v>0.1</v>
      </c>
      <c r="F83" s="3113">
        <v>15</v>
      </c>
    </row>
    <row r="84" spans="1:6" ht="24">
      <c r="A84" s="3113">
        <v>12</v>
      </c>
      <c r="B84" s="3804"/>
      <c r="C84" s="3087" t="s">
        <v>2670</v>
      </c>
      <c r="D84" s="3087" t="s">
        <v>2671</v>
      </c>
      <c r="E84" s="3113">
        <v>0.1</v>
      </c>
      <c r="F84" s="3113">
        <v>15</v>
      </c>
    </row>
    <row r="85" spans="1:6" ht="13.5">
      <c r="A85" s="3113">
        <v>13</v>
      </c>
      <c r="B85" s="3804"/>
      <c r="C85" s="3087" t="s">
        <v>2672</v>
      </c>
      <c r="D85" s="3087" t="s">
        <v>2673</v>
      </c>
      <c r="E85" s="3113">
        <v>0.1</v>
      </c>
      <c r="F85" s="3113">
        <v>15</v>
      </c>
    </row>
    <row r="86" spans="1:6" ht="13.5">
      <c r="A86" s="3113">
        <v>14</v>
      </c>
      <c r="B86" s="3804"/>
      <c r="C86" s="3087" t="s">
        <v>2674</v>
      </c>
      <c r="D86" s="3087" t="s">
        <v>2675</v>
      </c>
      <c r="E86" s="3113">
        <v>0.1</v>
      </c>
      <c r="F86" s="3113">
        <v>15</v>
      </c>
    </row>
    <row r="87" spans="1:6" ht="13.5">
      <c r="A87" s="3113">
        <v>15</v>
      </c>
      <c r="B87" s="3804"/>
      <c r="C87" s="3087" t="s">
        <v>2676</v>
      </c>
      <c r="D87" s="3087" t="s">
        <v>2677</v>
      </c>
      <c r="E87" s="3113">
        <v>0.1</v>
      </c>
      <c r="F87" s="3113">
        <v>15</v>
      </c>
    </row>
    <row r="88" spans="1:6" ht="24">
      <c r="A88" s="3113">
        <v>16</v>
      </c>
      <c r="B88" s="3804"/>
      <c r="C88" s="3087" t="s">
        <v>2678</v>
      </c>
      <c r="D88" s="3087" t="s">
        <v>2679</v>
      </c>
      <c r="E88" s="3113">
        <v>0.1</v>
      </c>
      <c r="F88" s="3113">
        <v>15</v>
      </c>
    </row>
    <row r="89" spans="1:6" ht="24">
      <c r="A89" s="3113">
        <v>17</v>
      </c>
      <c r="B89" s="3813"/>
      <c r="C89" s="3087" t="s">
        <v>2680</v>
      </c>
      <c r="D89" s="3087" t="s">
        <v>2681</v>
      </c>
      <c r="E89" s="3113">
        <v>0.1</v>
      </c>
      <c r="F89" s="3113">
        <v>15</v>
      </c>
    </row>
    <row r="90" spans="1:6" ht="13.5">
      <c r="A90" s="3113">
        <v>18</v>
      </c>
      <c r="B90" s="3809" t="s">
        <v>2682</v>
      </c>
      <c r="C90" s="3087" t="s">
        <v>2683</v>
      </c>
      <c r="D90" s="3087" t="s">
        <v>2684</v>
      </c>
      <c r="E90" s="3113">
        <v>0.2</v>
      </c>
      <c r="F90" s="3113">
        <v>25</v>
      </c>
    </row>
    <row r="91" spans="1:6" ht="24">
      <c r="A91" s="3113">
        <v>19</v>
      </c>
      <c r="B91" s="3804"/>
      <c r="C91" s="3087" t="s">
        <v>2685</v>
      </c>
      <c r="D91" s="3087" t="s">
        <v>2686</v>
      </c>
      <c r="E91" s="3113">
        <v>0.2</v>
      </c>
      <c r="F91" s="3113">
        <v>25</v>
      </c>
    </row>
    <row r="92" spans="1:6" ht="13.5">
      <c r="A92" s="3113">
        <v>20</v>
      </c>
      <c r="B92" s="3804"/>
      <c r="C92" s="3087" t="s">
        <v>2687</v>
      </c>
      <c r="D92" s="3087" t="s">
        <v>2688</v>
      </c>
      <c r="E92" s="3113">
        <v>0.15</v>
      </c>
      <c r="F92" s="3113">
        <v>20</v>
      </c>
    </row>
    <row r="93" spans="1:6" ht="13.5">
      <c r="A93" s="3113">
        <v>21</v>
      </c>
      <c r="B93" s="3804"/>
      <c r="C93" s="3087" t="s">
        <v>2689</v>
      </c>
      <c r="D93" s="3087" t="s">
        <v>2690</v>
      </c>
      <c r="E93" s="3113">
        <v>0.15</v>
      </c>
      <c r="F93" s="3113">
        <v>20</v>
      </c>
    </row>
    <row r="94" spans="1:6" ht="13.5">
      <c r="A94" s="3113">
        <v>22</v>
      </c>
      <c r="B94" s="3804"/>
      <c r="C94" s="3087" t="s">
        <v>2691</v>
      </c>
      <c r="D94" s="3087" t="s">
        <v>2692</v>
      </c>
      <c r="E94" s="3113">
        <v>0.15</v>
      </c>
      <c r="F94" s="3113">
        <v>20</v>
      </c>
    </row>
    <row r="95" spans="1:6" ht="36">
      <c r="A95" s="3113">
        <v>23</v>
      </c>
      <c r="B95" s="3804"/>
      <c r="C95" s="3087" t="s">
        <v>2693</v>
      </c>
      <c r="D95" s="3087" t="s">
        <v>2694</v>
      </c>
      <c r="E95" s="3113">
        <v>0.15</v>
      </c>
      <c r="F95" s="3113">
        <v>20</v>
      </c>
    </row>
    <row r="96" spans="1:6" ht="13.5">
      <c r="A96" s="3113">
        <v>24</v>
      </c>
      <c r="B96" s="3804"/>
      <c r="C96" s="3087" t="s">
        <v>2695</v>
      </c>
      <c r="D96" s="3087" t="s">
        <v>2696</v>
      </c>
      <c r="E96" s="3113">
        <v>0.1</v>
      </c>
      <c r="F96" s="3113">
        <v>15</v>
      </c>
    </row>
    <row r="97" spans="1:6" ht="13.5">
      <c r="A97" s="3113">
        <v>25</v>
      </c>
      <c r="B97" s="3804"/>
      <c r="C97" s="3087" t="s">
        <v>2697</v>
      </c>
      <c r="D97" s="3087" t="s">
        <v>2698</v>
      </c>
      <c r="E97" s="3113">
        <v>0.1</v>
      </c>
      <c r="F97" s="3113">
        <v>15</v>
      </c>
    </row>
    <row r="98" spans="1:6" ht="24">
      <c r="A98" s="3113">
        <v>26</v>
      </c>
      <c r="B98" s="3804"/>
      <c r="C98" s="3087" t="s">
        <v>2699</v>
      </c>
      <c r="D98" s="3087" t="s">
        <v>2700</v>
      </c>
      <c r="E98" s="3113">
        <v>0.1</v>
      </c>
      <c r="F98" s="3113">
        <v>15</v>
      </c>
    </row>
    <row r="99" spans="1:6" ht="24">
      <c r="A99" s="3113">
        <v>27</v>
      </c>
      <c r="B99" s="3804"/>
      <c r="C99" s="3087" t="s">
        <v>2701</v>
      </c>
      <c r="D99" s="3087" t="s">
        <v>2702</v>
      </c>
      <c r="E99" s="3113">
        <v>0.1</v>
      </c>
      <c r="F99" s="3113">
        <v>15</v>
      </c>
    </row>
    <row r="100" spans="1:6" ht="13.5">
      <c r="A100" s="3113">
        <v>28</v>
      </c>
      <c r="B100" s="3804"/>
      <c r="C100" s="3087" t="s">
        <v>2703</v>
      </c>
      <c r="D100" s="3087" t="s">
        <v>2704</v>
      </c>
      <c r="E100" s="3113">
        <v>0.1</v>
      </c>
      <c r="F100" s="3113">
        <v>15</v>
      </c>
    </row>
    <row r="101" spans="1:6" ht="13.5">
      <c r="A101" s="3113">
        <v>29</v>
      </c>
      <c r="B101" s="3804"/>
      <c r="C101" s="3087" t="s">
        <v>2705</v>
      </c>
      <c r="D101" s="3087" t="s">
        <v>2706</v>
      </c>
      <c r="E101" s="3113">
        <v>0.1</v>
      </c>
      <c r="F101" s="3113">
        <v>15</v>
      </c>
    </row>
    <row r="102" spans="1:6" ht="13.5">
      <c r="A102" s="3113">
        <v>30</v>
      </c>
      <c r="B102" s="3804"/>
      <c r="C102" s="3087" t="s">
        <v>2707</v>
      </c>
      <c r="D102" s="3087" t="s">
        <v>2708</v>
      </c>
      <c r="E102" s="3113">
        <v>0.1</v>
      </c>
      <c r="F102" s="3113">
        <v>15</v>
      </c>
    </row>
    <row r="103" spans="1:6" ht="24">
      <c r="A103" s="3113">
        <v>31</v>
      </c>
      <c r="B103" s="3804"/>
      <c r="C103" s="3087" t="s">
        <v>2709</v>
      </c>
      <c r="D103" s="3087" t="s">
        <v>2710</v>
      </c>
      <c r="E103" s="3113">
        <v>0.1</v>
      </c>
      <c r="F103" s="3113">
        <v>15</v>
      </c>
    </row>
    <row r="104" spans="1:6" ht="24">
      <c r="A104" s="3113">
        <v>32</v>
      </c>
      <c r="B104" s="3804"/>
      <c r="C104" s="3087" t="s">
        <v>2711</v>
      </c>
      <c r="D104" s="3087" t="s">
        <v>2712</v>
      </c>
      <c r="E104" s="3113">
        <v>0.1</v>
      </c>
      <c r="F104" s="3113">
        <v>15</v>
      </c>
    </row>
    <row r="105" spans="1:6" ht="24">
      <c r="A105" s="3113">
        <v>33</v>
      </c>
      <c r="B105" s="3804"/>
      <c r="C105" s="3087" t="s">
        <v>2713</v>
      </c>
      <c r="D105" s="3087" t="s">
        <v>2714</v>
      </c>
      <c r="E105" s="3113">
        <v>0.1</v>
      </c>
      <c r="F105" s="3113">
        <v>15</v>
      </c>
    </row>
    <row r="106" spans="1:6" ht="24">
      <c r="A106" s="3113">
        <v>34</v>
      </c>
      <c r="B106" s="3813"/>
      <c r="C106" s="3087" t="s">
        <v>2715</v>
      </c>
      <c r="D106" s="3087" t="s">
        <v>2716</v>
      </c>
      <c r="E106" s="3113">
        <v>0.1</v>
      </c>
      <c r="F106" s="3113">
        <v>15</v>
      </c>
    </row>
    <row r="107" spans="1:6" ht="24">
      <c r="A107" s="3113">
        <v>35</v>
      </c>
      <c r="B107" s="3809" t="s">
        <v>2717</v>
      </c>
      <c r="C107" s="3113" t="s">
        <v>2718</v>
      </c>
      <c r="D107" s="3087" t="s">
        <v>2719</v>
      </c>
      <c r="E107" s="3113">
        <v>0.15</v>
      </c>
      <c r="F107" s="3113">
        <v>20</v>
      </c>
    </row>
    <row r="108" spans="1:6" ht="13.5">
      <c r="A108" s="3113">
        <v>36</v>
      </c>
      <c r="B108" s="3804"/>
      <c r="C108" s="3113" t="s">
        <v>2720</v>
      </c>
      <c r="D108" s="3087" t="s">
        <v>2721</v>
      </c>
      <c r="E108" s="3113">
        <v>0.15</v>
      </c>
      <c r="F108" s="3113">
        <v>20</v>
      </c>
    </row>
    <row r="109" spans="1:6" ht="13.5">
      <c r="A109" s="3113">
        <v>37</v>
      </c>
      <c r="B109" s="3804"/>
      <c r="C109" s="3113" t="s">
        <v>2722</v>
      </c>
      <c r="D109" s="3087" t="s">
        <v>2723</v>
      </c>
      <c r="E109" s="3113">
        <v>0.15</v>
      </c>
      <c r="F109" s="3113">
        <v>20</v>
      </c>
    </row>
    <row r="110" spans="1:6" ht="13.5">
      <c r="A110" s="3113">
        <v>38</v>
      </c>
      <c r="B110" s="3804"/>
      <c r="C110" s="3113" t="s">
        <v>2724</v>
      </c>
      <c r="D110" s="3087" t="s">
        <v>2725</v>
      </c>
      <c r="E110" s="3113">
        <v>0.1</v>
      </c>
      <c r="F110" s="3113">
        <v>15</v>
      </c>
    </row>
    <row r="111" spans="1:6" ht="24">
      <c r="A111" s="3113">
        <v>39</v>
      </c>
      <c r="B111" s="3804"/>
      <c r="C111" s="3113" t="s">
        <v>2726</v>
      </c>
      <c r="D111" s="3087" t="s">
        <v>2727</v>
      </c>
      <c r="E111" s="3113">
        <v>0.1</v>
      </c>
      <c r="F111" s="3113">
        <v>15</v>
      </c>
    </row>
    <row r="112" spans="1:6" ht="24">
      <c r="A112" s="3113">
        <v>40</v>
      </c>
      <c r="B112" s="3813"/>
      <c r="C112" s="3113" t="s">
        <v>2728</v>
      </c>
      <c r="D112" s="3087" t="s">
        <v>2729</v>
      </c>
      <c r="E112" s="3113">
        <v>0.1</v>
      </c>
      <c r="F112" s="3113">
        <v>15</v>
      </c>
    </row>
    <row r="113" spans="1:6" ht="13.5">
      <c r="A113" s="3113">
        <v>41</v>
      </c>
      <c r="B113" s="3814" t="s">
        <v>2730</v>
      </c>
      <c r="C113" s="3113" t="s">
        <v>2731</v>
      </c>
      <c r="D113" s="3087" t="s">
        <v>2732</v>
      </c>
      <c r="E113" s="3113">
        <v>0.1</v>
      </c>
      <c r="F113" s="3113">
        <v>15</v>
      </c>
    </row>
    <row r="114" spans="1:6" ht="13.5">
      <c r="A114" s="3113">
        <v>42</v>
      </c>
      <c r="B114" s="3814"/>
      <c r="C114" s="3113" t="s">
        <v>2733</v>
      </c>
      <c r="D114" s="3087" t="s">
        <v>2734</v>
      </c>
      <c r="E114" s="3113">
        <v>0.1</v>
      </c>
      <c r="F114" s="3113">
        <v>15</v>
      </c>
    </row>
    <row r="115" spans="1:6" ht="24">
      <c r="A115" s="3113">
        <v>43</v>
      </c>
      <c r="B115" s="3814"/>
      <c r="C115" s="3113" t="s">
        <v>2735</v>
      </c>
      <c r="D115" s="3087" t="s">
        <v>2736</v>
      </c>
      <c r="E115" s="3113">
        <v>0.1</v>
      </c>
      <c r="F115" s="3113">
        <v>15</v>
      </c>
    </row>
    <row r="116" spans="1:6" ht="13.5">
      <c r="A116" s="3113">
        <v>44</v>
      </c>
      <c r="B116" s="3809" t="s">
        <v>2737</v>
      </c>
      <c r="C116" s="3113" t="s">
        <v>2738</v>
      </c>
      <c r="D116" s="3087" t="s">
        <v>2739</v>
      </c>
      <c r="E116" s="3113">
        <v>0.1</v>
      </c>
      <c r="F116" s="3113">
        <v>15</v>
      </c>
    </row>
    <row r="117" spans="1:6" ht="24">
      <c r="A117" s="3113">
        <v>45</v>
      </c>
      <c r="B117" s="3813"/>
      <c r="C117" s="3087" t="s">
        <v>2740</v>
      </c>
      <c r="D117" s="3087" t="s">
        <v>2741</v>
      </c>
      <c r="E117" s="3113">
        <v>0.1</v>
      </c>
      <c r="F117" s="3113">
        <v>15</v>
      </c>
    </row>
    <row r="118" spans="1:6" ht="24">
      <c r="A118" s="3113">
        <v>46</v>
      </c>
      <c r="B118" s="3809" t="s">
        <v>2742</v>
      </c>
      <c r="C118" s="3113" t="s">
        <v>2743</v>
      </c>
      <c r="D118" s="3087" t="s">
        <v>2744</v>
      </c>
      <c r="E118" s="3113">
        <v>0.1</v>
      </c>
      <c r="F118" s="3113">
        <v>15</v>
      </c>
    </row>
    <row r="119" spans="1:6" ht="24">
      <c r="A119" s="3113">
        <v>47</v>
      </c>
      <c r="B119" s="3813"/>
      <c r="C119" s="3113" t="s">
        <v>2745</v>
      </c>
      <c r="D119" s="3087" t="s">
        <v>2746</v>
      </c>
      <c r="E119" s="3113">
        <v>0.1</v>
      </c>
      <c r="F119" s="3113">
        <v>15</v>
      </c>
    </row>
    <row r="120" spans="1:6" ht="13.5">
      <c r="A120" s="3113">
        <v>48</v>
      </c>
      <c r="B120" s="3809" t="s">
        <v>2747</v>
      </c>
      <c r="C120" s="3113" t="s">
        <v>2748</v>
      </c>
      <c r="D120" s="3087" t="s">
        <v>2749</v>
      </c>
      <c r="E120" s="3113">
        <v>0.1</v>
      </c>
      <c r="F120" s="3113">
        <v>15</v>
      </c>
    </row>
    <row r="121" spans="1:6" ht="13.5">
      <c r="A121" s="3113">
        <v>49</v>
      </c>
      <c r="B121" s="3813"/>
      <c r="C121" s="3113" t="s">
        <v>2750</v>
      </c>
      <c r="D121" s="3087" t="s">
        <v>2751</v>
      </c>
      <c r="E121" s="3113">
        <v>0.1</v>
      </c>
      <c r="F121" s="3113">
        <v>15</v>
      </c>
    </row>
    <row r="122" spans="1:6" ht="24">
      <c r="A122" s="3113">
        <v>50</v>
      </c>
      <c r="B122" s="3814" t="s">
        <v>2752</v>
      </c>
      <c r="C122" s="3113" t="s">
        <v>2753</v>
      </c>
      <c r="D122" s="3087" t="s">
        <v>2754</v>
      </c>
      <c r="E122" s="3113">
        <v>0.1</v>
      </c>
      <c r="F122" s="3113">
        <v>15</v>
      </c>
    </row>
    <row r="123" spans="1:6" ht="24">
      <c r="A123" s="3113">
        <v>51</v>
      </c>
      <c r="B123" s="3814"/>
      <c r="C123" s="3113" t="s">
        <v>2755</v>
      </c>
      <c r="D123" s="3087" t="s">
        <v>2756</v>
      </c>
      <c r="E123" s="3113">
        <v>0.1</v>
      </c>
      <c r="F123" s="3113">
        <v>15</v>
      </c>
    </row>
    <row r="124" spans="1:6" ht="24">
      <c r="A124" s="3113">
        <v>52</v>
      </c>
      <c r="B124" s="3814" t="s">
        <v>2757</v>
      </c>
      <c r="C124" s="3113" t="s">
        <v>2758</v>
      </c>
      <c r="D124" s="3087" t="s">
        <v>2759</v>
      </c>
      <c r="E124" s="3113">
        <v>0.1</v>
      </c>
      <c r="F124" s="3113">
        <v>15</v>
      </c>
    </row>
    <row r="125" spans="1:6" ht="24">
      <c r="A125" s="3113">
        <v>53</v>
      </c>
      <c r="B125" s="3814"/>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814" t="s">
        <v>2765</v>
      </c>
      <c r="C127" s="3113" t="s">
        <v>2766</v>
      </c>
      <c r="D127" s="3087" t="s">
        <v>2767</v>
      </c>
      <c r="E127" s="3113">
        <v>0.1</v>
      </c>
      <c r="F127" s="3113">
        <v>15</v>
      </c>
    </row>
    <row r="128" spans="1:6" ht="13.5">
      <c r="A128" s="3113">
        <v>56</v>
      </c>
      <c r="B128" s="3814"/>
      <c r="C128" s="3113" t="s">
        <v>2768</v>
      </c>
      <c r="D128" s="3087" t="s">
        <v>2769</v>
      </c>
      <c r="E128" s="3113">
        <v>0.1</v>
      </c>
      <c r="F128" s="3113">
        <v>15</v>
      </c>
    </row>
    <row r="129" spans="1:6" ht="24">
      <c r="A129" s="3113">
        <v>57</v>
      </c>
      <c r="B129" s="3814"/>
      <c r="C129" s="3113" t="s">
        <v>2770</v>
      </c>
      <c r="D129" s="3087" t="s">
        <v>2771</v>
      </c>
      <c r="E129" s="3113">
        <v>0.1</v>
      </c>
      <c r="F129" s="3113">
        <v>15</v>
      </c>
    </row>
    <row r="130" spans="1:6" ht="24">
      <c r="A130" s="3113">
        <v>58</v>
      </c>
      <c r="B130" s="3814" t="s">
        <v>2772</v>
      </c>
      <c r="C130" s="3113" t="s">
        <v>2773</v>
      </c>
      <c r="D130" s="3087" t="s">
        <v>2774</v>
      </c>
      <c r="E130" s="3113">
        <v>0.1</v>
      </c>
      <c r="F130" s="3113">
        <v>15</v>
      </c>
    </row>
    <row r="131" spans="1:6" ht="13.5">
      <c r="A131" s="3113">
        <v>59</v>
      </c>
      <c r="B131" s="3814"/>
      <c r="C131" s="3113" t="s">
        <v>2775</v>
      </c>
      <c r="D131" s="3087" t="s">
        <v>2776</v>
      </c>
      <c r="E131" s="3113">
        <v>0.1</v>
      </c>
      <c r="F131" s="3113">
        <v>15</v>
      </c>
    </row>
    <row r="132" spans="1:6" ht="13.5">
      <c r="A132" s="3113">
        <v>60</v>
      </c>
      <c r="B132" s="3809" t="s">
        <v>2777</v>
      </c>
      <c r="C132" s="3113" t="s">
        <v>2778</v>
      </c>
      <c r="D132" s="3087" t="s">
        <v>2779</v>
      </c>
      <c r="E132" s="3113">
        <v>0.1</v>
      </c>
      <c r="F132" s="3113">
        <v>15</v>
      </c>
    </row>
    <row r="133" spans="1:6" ht="13.5">
      <c r="A133" s="3113">
        <v>61</v>
      </c>
      <c r="B133" s="3813"/>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814" t="s">
        <v>2785</v>
      </c>
      <c r="C135" s="3113" t="s">
        <v>2786</v>
      </c>
      <c r="D135" s="3087" t="s">
        <v>2787</v>
      </c>
      <c r="E135" s="3113">
        <v>0.1</v>
      </c>
      <c r="F135" s="3113">
        <v>15</v>
      </c>
    </row>
    <row r="136" spans="1:6" ht="13.5">
      <c r="A136" s="3113">
        <v>64</v>
      </c>
      <c r="B136" s="3814"/>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7888</v>
      </c>
      <c r="E5" s="1491"/>
    </row>
    <row r="6" spans="1:5" ht="15.75">
      <c r="A6" s="1491"/>
      <c r="B6" s="3497"/>
      <c r="C6" s="1494" t="s">
        <v>911</v>
      </c>
      <c r="D6" s="850" t="str">
        <f ca="1">NUMBERSTRING(INT(D5*10000),2)&amp;"元整"</f>
        <v>柒仟捌佰捌拾捌万元整</v>
      </c>
      <c r="E6" s="1491"/>
    </row>
    <row r="7" spans="1:5" ht="15.75">
      <c r="A7" s="1491"/>
      <c r="B7" s="3502"/>
      <c r="C7" s="1495" t="s">
        <v>912</v>
      </c>
      <c r="D7" s="851">
        <f ca="1">结果表!H102</f>
        <v>69246</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7888</v>
      </c>
      <c r="E13" s="1491"/>
    </row>
    <row r="14" spans="1:5" ht="15.75">
      <c r="A14" s="1491"/>
      <c r="B14" s="3497"/>
      <c r="C14" s="1494" t="s">
        <v>911</v>
      </c>
      <c r="D14" s="850" t="str">
        <f ca="1">NUMBERSTRING(INT(D13*10000),2)&amp;"元整"</f>
        <v>柒仟捌佰捌拾捌万元整</v>
      </c>
      <c r="E14" s="1491"/>
    </row>
    <row r="15" spans="1:5" ht="15">
      <c r="A15" s="1491"/>
      <c r="B15" s="3502"/>
      <c r="C15" s="1495" t="s">
        <v>921</v>
      </c>
      <c r="D15" s="859">
        <f ca="1">结果表!H108</f>
        <v>69246</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v>
      </c>
      <c r="C19" s="1499" t="s">
        <v>910</v>
      </c>
      <c r="D19" s="851" t="str">
        <f>结果表!H111</f>
        <v>——</v>
      </c>
      <c r="E19" s="1491"/>
    </row>
    <row r="20" spans="1:5" ht="15.75">
      <c r="A20" s="1491"/>
      <c r="B20" s="3497"/>
      <c r="C20" s="1494" t="s">
        <v>923</v>
      </c>
      <c r="D20" s="850" t="e">
        <f>NUMBERSTRING(INT(D19*10000),2)&amp;"元整"</f>
        <v>#VALUE!</v>
      </c>
      <c r="E20" s="1491"/>
    </row>
    <row r="21" spans="1:5" ht="15.75" thickBot="1">
      <c r="A21" s="1491"/>
      <c r="B21" s="349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30032</v>
      </c>
      <c r="C2" s="2" t="s">
        <v>106</v>
      </c>
      <c r="D2" s="199"/>
      <c r="E2" s="199"/>
      <c r="F2" s="199"/>
      <c r="G2" s="199"/>
    </row>
    <row r="3" spans="1:7" s="200" customFormat="1" ht="18" customHeight="1" thickBot="1">
      <c r="A3" s="203" t="s">
        <v>58</v>
      </c>
      <c r="B3" s="204">
        <f ca="1">ROUND(B2*10000/'数据-汇总表'!E3,0)</f>
        <v>263640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570</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26</v>
      </c>
      <c r="D42" s="238"/>
      <c r="E42" s="238"/>
      <c r="F42" s="239"/>
      <c r="G42" s="3732" t="s">
        <v>94</v>
      </c>
    </row>
    <row r="43" spans="1:7" ht="13.5" customHeight="1">
      <c r="A43" s="780" t="s">
        <v>347</v>
      </c>
      <c r="B43" s="215" t="s">
        <v>426</v>
      </c>
      <c r="C43" s="238">
        <f ca="1">ROUND(IF('数据-取费表'!B22&lt;=1,C39*F22*'数据-取费表'!B21/2,C39*(POWER((1+F22),'数据-取费表'!B21/2)-1)),0)</f>
        <v>0</v>
      </c>
      <c r="D43" s="238"/>
      <c r="E43" s="238"/>
      <c r="F43" s="239"/>
      <c r="G43" s="3733"/>
    </row>
    <row r="44" spans="1:7" ht="13.5" customHeight="1">
      <c r="A44" s="780" t="s">
        <v>348</v>
      </c>
      <c r="B44" s="215" t="s">
        <v>428</v>
      </c>
      <c r="C44" s="238">
        <f ca="1">ROUND(IF('数据-取费表'!B22&lt;=1,C40*F22*'数据-取费表'!B21/2,C40*(POWER((1+F22),'数据-取费表'!B21/2)-1)),4)</f>
        <v>8.0000000000000004E-4</v>
      </c>
      <c r="D44" s="238"/>
      <c r="E44" s="238"/>
      <c r="F44" s="239"/>
      <c r="G44" s="3734"/>
    </row>
    <row r="45" spans="1:7" s="214" customFormat="1" ht="13.5" customHeight="1">
      <c r="A45" s="777" t="s">
        <v>341</v>
      </c>
      <c r="B45" s="244" t="s">
        <v>85</v>
      </c>
      <c r="C45" s="245">
        <f>C46</f>
        <v>126</v>
      </c>
      <c r="D45" s="235">
        <f>C47</f>
        <v>4.0000000000000001E-3</v>
      </c>
      <c r="E45" s="236" t="s">
        <v>102</v>
      </c>
      <c r="F45" s="246"/>
      <c r="G45" s="247" t="s">
        <v>434</v>
      </c>
    </row>
    <row r="46" spans="1:7" s="214" customFormat="1" ht="13.5" customHeight="1">
      <c r="A46" s="780" t="s">
        <v>349</v>
      </c>
      <c r="B46" s="248" t="s">
        <v>427</v>
      </c>
      <c r="C46" s="249">
        <f>ROUND((C33+C39)*F27,0)</f>
        <v>126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722</v>
      </c>
      <c r="D51" s="232"/>
      <c r="E51" s="232"/>
      <c r="F51" s="264"/>
      <c r="G51" s="234" t="s">
        <v>37</v>
      </c>
    </row>
    <row r="52" spans="1:7" s="208" customFormat="1" ht="16.5" thickBot="1">
      <c r="A52" s="265" t="s">
        <v>38</v>
      </c>
      <c r="B52" s="266"/>
      <c r="C52" s="267">
        <f ca="1">C31+C51</f>
        <v>30032</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17" t="s">
        <v>2839</v>
      </c>
      <c r="B1" s="3817"/>
      <c r="C1" s="3817"/>
      <c r="D1" s="3817"/>
      <c r="E1" s="3817"/>
      <c r="F1" s="3817"/>
      <c r="G1" s="3818"/>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815"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816"/>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9" t="s">
        <v>3181</v>
      </c>
      <c r="B1" s="3819"/>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0" t="s">
        <v>3232</v>
      </c>
      <c r="B1" s="3820"/>
      <c r="C1" s="3820"/>
      <c r="D1" s="3820"/>
      <c r="E1" s="3820"/>
      <c r="F1" s="3821"/>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822" t="s">
        <v>456</v>
      </c>
      <c r="S1" s="3823"/>
      <c r="T1" s="3823"/>
      <c r="U1" s="3823"/>
      <c r="V1" s="3823"/>
      <c r="W1" s="3823"/>
      <c r="X1" s="3160"/>
      <c r="Y1" s="3822" t="s">
        <v>457</v>
      </c>
      <c r="Z1" s="3823"/>
      <c r="AA1" s="3823"/>
      <c r="AB1" s="3823"/>
      <c r="AC1" s="3823"/>
      <c r="AD1" s="3823"/>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822" t="s">
        <v>2826</v>
      </c>
      <c r="S21" s="3823"/>
      <c r="T21" s="3823"/>
      <c r="U21" s="3823"/>
      <c r="V21" s="3823"/>
      <c r="W21" s="3823"/>
      <c r="X21" s="3160"/>
      <c r="Y21" s="3822" t="s">
        <v>2827</v>
      </c>
      <c r="Z21" s="3823"/>
      <c r="AA21" s="3823"/>
      <c r="AB21" s="3823"/>
      <c r="AC21" s="3823"/>
      <c r="AD21" s="3823"/>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election activeCell="G58" sqref="G58"/>
    </sheetView>
  </sheetViews>
  <sheetFormatPr defaultRowHeight="13.5"/>
  <sheetData>
    <row r="1" spans="1:7">
      <c r="A1" s="3457" t="s">
        <v>3421</v>
      </c>
      <c r="B1" s="3457" t="s">
        <v>3424</v>
      </c>
      <c r="C1" s="3457" t="s">
        <v>3425</v>
      </c>
      <c r="D1" s="3457" t="s">
        <v>3426</v>
      </c>
      <c r="E1" s="3457" t="s">
        <v>3481</v>
      </c>
      <c r="F1" s="3457" t="s">
        <v>3483</v>
      </c>
    </row>
    <row r="2" spans="1:7">
      <c r="A2" s="3457" t="s">
        <v>3422</v>
      </c>
      <c r="B2">
        <v>99991</v>
      </c>
      <c r="C2">
        <v>102.01</v>
      </c>
      <c r="D2" s="3457" t="s">
        <v>3427</v>
      </c>
      <c r="E2">
        <v>2003</v>
      </c>
      <c r="F2">
        <f>2023-E2</f>
        <v>20</v>
      </c>
      <c r="G2">
        <f>40-F2-2</f>
        <v>18</v>
      </c>
    </row>
    <row r="3" spans="1:7">
      <c r="A3" s="3457" t="s">
        <v>3423</v>
      </c>
      <c r="B3">
        <v>103407</v>
      </c>
      <c r="C3">
        <v>348.14</v>
      </c>
      <c r="D3" s="3457" t="s">
        <v>3427</v>
      </c>
      <c r="E3">
        <v>2007</v>
      </c>
      <c r="F3">
        <f>2023-E3</f>
        <v>16</v>
      </c>
      <c r="G3">
        <f>40-F3-2</f>
        <v>22</v>
      </c>
    </row>
    <row r="4" spans="1:7">
      <c r="A4" s="3457" t="s">
        <v>3482</v>
      </c>
      <c r="B4">
        <v>108204</v>
      </c>
      <c r="C4">
        <v>79.48</v>
      </c>
      <c r="D4" s="3457" t="s">
        <v>3427</v>
      </c>
      <c r="E4">
        <v>2005</v>
      </c>
      <c r="F4">
        <f>2023-E4</f>
        <v>18</v>
      </c>
      <c r="G4">
        <f>40-F4-2</f>
        <v>20</v>
      </c>
    </row>
    <row r="36" spans="2:20">
      <c r="B36" s="3457" t="s">
        <v>3420</v>
      </c>
      <c r="C36" s="3457" t="s">
        <v>3420</v>
      </c>
    </row>
    <row r="37" spans="2:20">
      <c r="B37" s="3457" t="s">
        <v>3420</v>
      </c>
    </row>
    <row r="44" spans="2:20">
      <c r="S44">
        <v>55</v>
      </c>
      <c r="T44">
        <f>S44*10000/200/365</f>
        <v>7.5342465753424657</v>
      </c>
    </row>
    <row r="45" spans="2:20">
      <c r="R45">
        <v>102</v>
      </c>
    </row>
    <row r="46" spans="2:20">
      <c r="R46">
        <v>98</v>
      </c>
    </row>
    <row r="58" spans="1:5">
      <c r="A58" s="3457" t="s">
        <v>3495</v>
      </c>
      <c r="B58" s="3457" t="s">
        <v>3496</v>
      </c>
      <c r="C58" s="3457" t="s">
        <v>3497</v>
      </c>
      <c r="D58">
        <v>1200</v>
      </c>
      <c r="E58">
        <f>D58*10000/200</f>
        <v>60000</v>
      </c>
    </row>
    <row r="59" spans="1:5">
      <c r="C59" s="3457" t="s">
        <v>3498</v>
      </c>
    </row>
    <row r="60" spans="1:5">
      <c r="A60" s="3457" t="s">
        <v>3499</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F35" sqref="F35"/>
    </sheetView>
  </sheetViews>
  <sheetFormatPr defaultRowHeight="13.5"/>
  <cols>
    <col min="4" max="5" width="10.5" bestFit="1" customWidth="1"/>
    <col min="7" max="7" width="10.5" bestFit="1" customWidth="1"/>
    <col min="8" max="8" width="12.625" customWidth="1"/>
    <col min="9" max="9" width="15.125" customWidth="1"/>
  </cols>
  <sheetData>
    <row r="1" spans="1:9">
      <c r="B1" s="3457" t="s">
        <v>2823</v>
      </c>
    </row>
    <row r="2" spans="1:9">
      <c r="B2" s="3457" t="s">
        <v>3402</v>
      </c>
      <c r="C2" s="3457" t="s">
        <v>3403</v>
      </c>
      <c r="D2" s="3457" t="s">
        <v>3404</v>
      </c>
      <c r="E2" s="3457" t="s">
        <v>3405</v>
      </c>
      <c r="F2" s="3457" t="s">
        <v>3406</v>
      </c>
      <c r="G2" s="3457" t="s">
        <v>3408</v>
      </c>
      <c r="H2" s="3457" t="s">
        <v>3501</v>
      </c>
      <c r="I2" s="3457" t="s">
        <v>3500</v>
      </c>
    </row>
    <row r="3" spans="1:9">
      <c r="A3" s="3457" t="s">
        <v>3401</v>
      </c>
      <c r="B3" s="3457">
        <v>770</v>
      </c>
      <c r="C3">
        <v>10</v>
      </c>
      <c r="D3" s="3458">
        <v>43617</v>
      </c>
      <c r="E3" s="3458">
        <v>47269</v>
      </c>
      <c r="F3" s="3457" t="s">
        <v>3407</v>
      </c>
      <c r="G3" s="3457">
        <v>4000000</v>
      </c>
      <c r="H3" s="3457" t="e">
        <f>ROUND(G3/365/'数据-汇总表'!H37,1)</f>
        <v>#DIV/0!</v>
      </c>
      <c r="I3">
        <f>G3/B3/365</f>
        <v>14.232342999466288</v>
      </c>
    </row>
    <row r="4" spans="1:9">
      <c r="A4" s="3457" t="s">
        <v>3409</v>
      </c>
      <c r="B4">
        <v>32</v>
      </c>
      <c r="C4">
        <v>1</v>
      </c>
      <c r="D4" s="3458">
        <v>44814</v>
      </c>
      <c r="E4" s="3458">
        <v>45178</v>
      </c>
      <c r="F4">
        <v>20000</v>
      </c>
      <c r="G4">
        <v>192000</v>
      </c>
      <c r="H4" t="e">
        <f>ROUND(G4/365/'数据-汇总表'!H38,1)</f>
        <v>#DIV/0!</v>
      </c>
      <c r="I4">
        <f>G4/B4/365</f>
        <v>16.438356164383563</v>
      </c>
    </row>
    <row r="5" spans="1:9">
      <c r="A5" s="3457" t="s">
        <v>3410</v>
      </c>
      <c r="B5">
        <v>12</v>
      </c>
      <c r="C5">
        <v>2</v>
      </c>
      <c r="D5" s="3458">
        <v>44440</v>
      </c>
      <c r="E5" s="3458">
        <v>45169</v>
      </c>
      <c r="F5" s="3457">
        <v>20000</v>
      </c>
      <c r="G5" s="3457">
        <v>60000</v>
      </c>
      <c r="H5" t="e">
        <f>ROUND(G5/'数据-汇总表'!H39/365,1)</f>
        <v>#DIV/0!</v>
      </c>
      <c r="I5">
        <f>G5/B5/365</f>
        <v>13.698630136986301</v>
      </c>
    </row>
    <row r="6" spans="1:9">
      <c r="B6">
        <f>SUM(B3:B5)</f>
        <v>814</v>
      </c>
      <c r="G6">
        <f>SUM(G3:G5)</f>
        <v>4252000</v>
      </c>
    </row>
    <row r="7" spans="1:9">
      <c r="G7">
        <f>ROUND(G6/'数据-汇总表'!E3/365,1)</f>
        <v>10.199999999999999</v>
      </c>
    </row>
    <row r="13" spans="1:9">
      <c r="G13">
        <v>10</v>
      </c>
      <c r="H13" s="3487">
        <v>0.05</v>
      </c>
    </row>
    <row r="14" spans="1:9">
      <c r="H14" s="3487">
        <v>0.06</v>
      </c>
    </row>
    <row r="15" spans="1:9">
      <c r="G15">
        <f>G13*85%*365/H13</f>
        <v>62050</v>
      </c>
    </row>
    <row r="16" spans="1:9">
      <c r="G16">
        <f>G13*85%*365/H14</f>
        <v>51708.333333333336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8"/>
      <c r="B3" s="3508"/>
      <c r="C3" s="3508"/>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7888</v>
      </c>
      <c r="I4" s="854">
        <f ca="1">结果表!I118</f>
        <v>69246</v>
      </c>
    </row>
    <row r="5" spans="1:9" ht="30" customHeight="1">
      <c r="A5" s="3508" t="s">
        <v>927</v>
      </c>
      <c r="B5" s="3508"/>
      <c r="C5" s="3508"/>
      <c r="D5" s="3508" t="e">
        <f ca="1">结果表!D119</f>
        <v>#REF!</v>
      </c>
      <c r="E5" s="3508"/>
      <c r="F5" s="3508" t="e">
        <f ca="1">结果表!F119</f>
        <v>#REF!</v>
      </c>
      <c r="G5" s="3508"/>
      <c r="H5" s="3508" t="str">
        <f ca="1">结果表!H119</f>
        <v>柒仟捌佰捌拾捌万元整</v>
      </c>
      <c r="I5" s="3508"/>
    </row>
    <row r="6" spans="1:9" ht="15.75">
      <c r="A6" s="3509" t="str">
        <f>结果表!A120</f>
        <v>估价师知悉的法定优先受偿款</v>
      </c>
      <c r="B6" s="3509"/>
      <c r="C6" s="3509"/>
      <c r="D6" s="3509">
        <f>结果表!D120</f>
        <v>0</v>
      </c>
      <c r="E6" s="3509"/>
      <c r="F6" s="3509"/>
      <c r="G6" s="3509"/>
      <c r="H6" s="3509"/>
      <c r="I6" s="3509"/>
    </row>
    <row r="7" spans="1:9" ht="15">
      <c r="A7" s="3508" t="s">
        <v>927</v>
      </c>
      <c r="B7" s="3508"/>
      <c r="C7" s="3508"/>
      <c r="D7" s="3510" t="str">
        <f>结果表!D121</f>
        <v>零元整</v>
      </c>
      <c r="E7" s="3511"/>
      <c r="F7" s="3511"/>
      <c r="G7" s="3511"/>
      <c r="H7" s="3511"/>
      <c r="I7" s="3512"/>
    </row>
    <row r="8" spans="1:9" ht="15.75">
      <c r="A8" s="3509" t="str">
        <f>结果表!A122</f>
        <v>房地产抵押价值</v>
      </c>
      <c r="B8" s="3509"/>
      <c r="C8" s="3509"/>
      <c r="D8" s="3509">
        <f ca="1">结果表!D122</f>
        <v>7888</v>
      </c>
      <c r="E8" s="3509"/>
      <c r="F8" s="3509"/>
      <c r="G8" s="3509"/>
      <c r="H8" s="3509"/>
      <c r="I8" s="3509"/>
    </row>
    <row r="9" spans="1:9" ht="15">
      <c r="A9" s="3508" t="s">
        <v>927</v>
      </c>
      <c r="B9" s="3508"/>
      <c r="C9" s="3508"/>
      <c r="D9" s="3508" t="str">
        <f ca="1">结果表!D123</f>
        <v>柒仟捌佰捌拾捌万元整</v>
      </c>
      <c r="E9" s="3508"/>
      <c r="F9" s="3508"/>
      <c r="G9" s="3508"/>
      <c r="H9" s="3508"/>
      <c r="I9" s="3508"/>
    </row>
    <row r="10" spans="1:9" ht="15.75">
      <c r="A10" s="3509" t="str">
        <f>结果表!A124</f>
        <v/>
      </c>
      <c r="B10" s="3509"/>
      <c r="C10" s="3509"/>
      <c r="D10" s="3509" t="str">
        <f>结果表!D124</f>
        <v>——</v>
      </c>
      <c r="E10" s="3509"/>
      <c r="F10" s="3509"/>
      <c r="G10" s="3509"/>
      <c r="H10" s="3509"/>
      <c r="I10" s="3509"/>
    </row>
    <row r="11" spans="1:9" ht="15">
      <c r="A11" s="3508" t="s">
        <v>927</v>
      </c>
      <c r="B11" s="3508"/>
      <c r="C11" s="3508"/>
      <c r="D11" s="3508" t="e">
        <f>结果表!D125</f>
        <v>#VALUE!</v>
      </c>
      <c r="E11" s="3508"/>
      <c r="F11" s="3508"/>
      <c r="G11" s="3508"/>
      <c r="H11" s="3508"/>
      <c r="I11" s="3508"/>
    </row>
    <row r="12" spans="1:9" ht="15.75">
      <c r="A12" s="3509" t="str">
        <f>结果表!A126</f>
        <v/>
      </c>
      <c r="B12" s="3509"/>
      <c r="C12" s="3509"/>
      <c r="D12" s="3509" t="str">
        <f>结果表!D126</f>
        <v>——</v>
      </c>
      <c r="E12" s="3509"/>
      <c r="F12" s="3509"/>
      <c r="G12" s="3509"/>
      <c r="H12" s="3509"/>
      <c r="I12" s="3509"/>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5" t="s">
        <v>949</v>
      </c>
      <c r="B1" s="3515"/>
      <c r="C1" s="3515"/>
      <c r="D1" s="3515"/>
    </row>
    <row r="2" spans="1:4" ht="18">
      <c r="A2" s="3516" t="s">
        <v>933</v>
      </c>
      <c r="B2" s="3516"/>
      <c r="C2" s="3516"/>
      <c r="D2" s="351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6" t="s">
        <v>939</v>
      </c>
      <c r="B6" s="3516"/>
      <c r="C6" s="3516"/>
      <c r="D6" s="351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7" t="s">
        <v>942</v>
      </c>
      <c r="B11" s="3518"/>
      <c r="C11" s="3518"/>
      <c r="D11" s="3518"/>
    </row>
    <row r="12" spans="1:4" ht="15.75">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8" t="str">
        <f>IF(项目基本情况!B8="抵押","4.本次评估估价师所知悉的法定优先受偿款情况说明如下：","——")</f>
        <v>4.本次评估估价师所知悉的法定优先受偿款情况说明如下：</v>
      </c>
      <c r="B14" s="3519"/>
      <c r="C14" s="3519"/>
      <c r="D14" s="3519"/>
    </row>
    <row r="15" spans="1:4" ht="42" customHeight="1">
      <c r="A15" s="3518" t="str">
        <f>IF(项目基本情况!B8="抵押","（1）"&amp;CONCATENATE(项目基本情况!L20,项目基本情况!L21,项目基本情况!L22),"——")</f>
        <v>（1）根据估价对象《房屋所有权证》原件、《国有土地使用权》原件，截至价值时点，估价对象抵押权未见登记。</v>
      </c>
      <c r="B15" s="3518"/>
      <c r="C15" s="3518"/>
      <c r="D15" s="3518"/>
    </row>
    <row r="16" spans="1:4" ht="30" customHeight="1">
      <c r="A16" s="3521" t="s">
        <v>943</v>
      </c>
      <c r="B16" s="3521"/>
      <c r="C16" s="3521"/>
      <c r="D16" s="3521"/>
    </row>
    <row r="17" spans="1:4" ht="144" customHeight="1">
      <c r="A17" s="3521" t="s">
        <v>944</v>
      </c>
      <c r="B17" s="3521"/>
      <c r="C17" s="3521"/>
      <c r="D17" s="3521"/>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8"/>
      <c r="C20" s="3518"/>
      <c r="D20" s="3518"/>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2"/>
      <c r="C21" s="3522"/>
      <c r="D21" s="3522"/>
    </row>
    <row r="22" spans="1:4" ht="18.75" customHeight="1">
      <c r="A22" s="3523" t="s">
        <v>945</v>
      </c>
      <c r="B22" s="3523"/>
      <c r="C22" s="3523"/>
      <c r="D22" s="352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0">
        <v>42551</v>
      </c>
      <c r="D31" s="35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2159</v>
      </c>
      <c r="B17" s="3532"/>
      <c r="C17" s="3532"/>
      <c r="D17" s="3532"/>
      <c r="E17" s="3532"/>
      <c r="F17" s="3532"/>
      <c r="G17" s="3532"/>
      <c r="H17" s="3532"/>
    </row>
    <row r="18" spans="1:8" ht="24" customHeight="1">
      <c r="A18" s="3533" t="s">
        <v>2160</v>
      </c>
      <c r="B18" s="3533"/>
      <c r="C18" s="3533"/>
      <c r="D18" s="2343"/>
      <c r="E18" s="3534" t="s">
        <v>2161</v>
      </c>
      <c r="F18" s="3533"/>
      <c r="G18" s="353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收益法-北京银行（万元）</vt:lpstr>
      <vt:lpstr>收益法-其他（万元）</vt:lpstr>
      <vt:lpstr>收益法-北京银行</vt:lpstr>
      <vt:lpstr>收益法-其他</vt:lpstr>
      <vt:lpstr>成本法</vt:lpstr>
      <vt:lpstr>基准地价修正</vt:lpstr>
      <vt:lpstr>成本法 (元)</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'收益法-北京银行'!Print_Area</vt:lpstr>
      <vt:lpstr>'收益法-北京银行（万元）'!Print_Area</vt:lpstr>
      <vt:lpstr>'收益法-其他'!Print_Area</vt:lpstr>
      <vt:lpstr>'收益法-其他（万元）'!Print_Area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2023-02-14T09:41:12Z</dcterms:modified>
</cp:coreProperties>
</file>