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436" windowHeight="1107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收益法（汇总）" sheetId="70" r:id="rId20"/>
    <sheet name="收益法-北京银行（万元）" sheetId="15" state="hidden" r:id="rId21"/>
    <sheet name="收益法-其他（万元）" sheetId="82" state="hidden" r:id="rId22"/>
    <sheet name="收益法-北京银行" sheetId="67" r:id="rId23"/>
    <sheet name="收益法-其他" sheetId="83" r:id="rId24"/>
    <sheet name="成本法" sheetId="68" r:id="rId25"/>
    <sheet name="基准地价修正" sheetId="43" r:id="rId26"/>
    <sheet name="成本法 (元)" sheetId="69" state="hidden" r:id="rId27"/>
    <sheet name="假设开发法" sheetId="12" state="hidden" r:id="rId28"/>
    <sheet name="收益法-酒店模型" sheetId="77"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 name="租约" sheetId="81"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29">'比较法-住宅'!$A$1:$K$54,'比较法-住宅'!$A$57:$M$131</definedName>
    <definedName name="_xlnm.Print_Area" localSheetId="24">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7">假设开发法!$A$1:$K$32</definedName>
    <definedName name="_xlnm.Print_Area" localSheetId="17">结果表!$A$1:$I$127</definedName>
    <definedName name="_xlnm.Print_Area" localSheetId="19">'收益法（汇总）'!$A$1:$F$13</definedName>
    <definedName name="_xlnm.Print_Area" localSheetId="22">'收益法-北京银行'!$A$1:$F$43,'收益法-北京银行'!$H$3:$M$29,'收益法-北京银行'!$A$45:$F$71,'收益法-北京银行'!$I$46:$N$65</definedName>
    <definedName name="_xlnm.Print_Area" localSheetId="20">'收益法-北京银行（万元）'!$A$1:$F$43,'收益法-北京银行（万元）'!$H$3:$M$29,'收益法-北京银行（万元）'!$A$46:$F$71,'收益法-北京银行（万元）'!$I$46:$N$65</definedName>
    <definedName name="_xlnm.Print_Area" localSheetId="23">'收益法-其他'!$A$1:$F$43,'收益法-其他'!$H$3:$M$29,'收益法-其他'!$A$45:$F$71,'收益法-其他'!$I$46:$N$65</definedName>
    <definedName name="_xlnm.Print_Area" localSheetId="21">'收益法-其他（万元）'!$A$1:$F$43,'收益法-其他（万元）'!$H$3:$M$29,'收益法-其他（万元）'!$A$46:$F$71,'收益法-其他（万元）'!$I$46:$N$65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Q72" i="83" l="1"/>
  <c r="Q59" i="83"/>
  <c r="K59" i="83"/>
  <c r="P74" i="83" s="1"/>
  <c r="F59" i="83"/>
  <c r="Q58" i="83"/>
  <c r="J52" i="83"/>
  <c r="Q51" i="83" s="1"/>
  <c r="J50" i="83"/>
  <c r="J49"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J52" i="67"/>
  <c r="J49" i="67"/>
  <c r="J15" i="83"/>
  <c r="M9" i="83"/>
  <c r="M6" i="83"/>
  <c r="M8" i="83"/>
  <c r="F16" i="83"/>
  <c r="F13" i="83"/>
  <c r="C76" i="83"/>
  <c r="Q71" i="83" l="1"/>
  <c r="D22" i="83"/>
  <c r="D23" i="83"/>
  <c r="P61" i="83"/>
  <c r="M14" i="4"/>
  <c r="F9" i="83"/>
  <c r="M23" i="83"/>
  <c r="F38" i="83"/>
  <c r="M28" i="83"/>
  <c r="F7" i="83"/>
  <c r="F43" i="83"/>
  <c r="F36" i="83"/>
  <c r="M22" i="83"/>
  <c r="L48" i="83"/>
  <c r="F26" i="83"/>
  <c r="F40" i="83"/>
  <c r="M29" i="83"/>
  <c r="F8" i="83"/>
  <c r="F37" i="83"/>
  <c r="M24" i="83"/>
  <c r="M26" i="83"/>
  <c r="L47" i="83"/>
  <c r="F42" i="83"/>
  <c r="L57" i="83" l="1"/>
  <c r="L56" i="83"/>
  <c r="J57" i="83"/>
  <c r="J55" i="83" s="1"/>
  <c r="J58" i="83" s="1"/>
  <c r="Q50" i="83" s="1"/>
  <c r="I54" i="83"/>
  <c r="L60" i="83"/>
  <c r="J53" i="83"/>
  <c r="F65" i="83"/>
  <c r="F51" i="83"/>
  <c r="N59" i="83"/>
  <c r="L59" i="83"/>
  <c r="L58" i="83"/>
  <c r="M59" i="83"/>
  <c r="F66" i="83"/>
  <c r="F64" i="83"/>
  <c r="F71" i="83"/>
  <c r="F68" i="83"/>
  <c r="M7" i="83"/>
  <c r="J6" i="83" s="1"/>
  <c r="F50" i="83"/>
  <c r="C27" i="83"/>
  <c r="G16" i="81"/>
  <c r="G15" i="81"/>
  <c r="J52" i="15"/>
  <c r="J52" i="82" s="1"/>
  <c r="J49" i="15"/>
  <c r="J49" i="82"/>
  <c r="C14" i="83"/>
  <c r="C17" i="83"/>
  <c r="C16" i="83"/>
  <c r="C18" i="83" l="1"/>
  <c r="C15" i="83"/>
  <c r="Q66" i="83"/>
  <c r="Q57" i="83"/>
  <c r="J18" i="83"/>
  <c r="J19" i="83"/>
  <c r="Q61" i="83"/>
  <c r="Q74" i="83"/>
  <c r="Q52" i="83"/>
  <c r="F1" i="83"/>
  <c r="Q60" i="83"/>
  <c r="Q73" i="83"/>
  <c r="C49" i="83"/>
  <c r="C60" i="80"/>
  <c r="E58" i="80"/>
  <c r="T44" i="80"/>
  <c r="Q72" i="82"/>
  <c r="Q59" i="82"/>
  <c r="K59" i="82"/>
  <c r="P74" i="82" s="1"/>
  <c r="F59" i="82"/>
  <c r="Q58" i="82"/>
  <c r="Q51" i="82"/>
  <c r="J50" i="82"/>
  <c r="J51" i="82" s="1"/>
  <c r="M47" i="82"/>
  <c r="D46" i="82"/>
  <c r="F33" i="82"/>
  <c r="F61" i="82" s="1"/>
  <c r="F31" i="82"/>
  <c r="F23" i="82"/>
  <c r="D23" i="82" s="1"/>
  <c r="F21" i="82"/>
  <c r="F20" i="82"/>
  <c r="M19" i="82"/>
  <c r="F18" i="82"/>
  <c r="M17" i="82"/>
  <c r="F15" i="82"/>
  <c r="AM7" i="1"/>
  <c r="AL7" i="1"/>
  <c r="AK7" i="1"/>
  <c r="Q7" i="1"/>
  <c r="W7" i="1"/>
  <c r="V7" i="1"/>
  <c r="U7" i="1"/>
  <c r="J7" i="1"/>
  <c r="I7" i="1"/>
  <c r="H7" i="1"/>
  <c r="I47" i="33"/>
  <c r="G47" i="33"/>
  <c r="E47" i="33"/>
  <c r="I33" i="33"/>
  <c r="G33" i="33"/>
  <c r="E33" i="33"/>
  <c r="G10" i="33"/>
  <c r="I10" i="33" s="1"/>
  <c r="F4" i="80"/>
  <c r="G4" i="80" s="1"/>
  <c r="F3" i="80"/>
  <c r="G3" i="80" s="1"/>
  <c r="G2" i="80"/>
  <c r="F2" i="80"/>
  <c r="C10" i="33"/>
  <c r="E10" i="33" s="1"/>
  <c r="F122" i="33"/>
  <c r="E122" i="33"/>
  <c r="D122" i="33"/>
  <c r="C122" i="33"/>
  <c r="G112" i="33"/>
  <c r="F112" i="33"/>
  <c r="E112" i="33"/>
  <c r="D112" i="33"/>
  <c r="C112" i="33"/>
  <c r="F104" i="33"/>
  <c r="G104" i="33" s="1"/>
  <c r="C89" i="33"/>
  <c r="G88" i="33"/>
  <c r="F88" i="33"/>
  <c r="E88" i="33"/>
  <c r="D88" i="33"/>
  <c r="C88" i="33"/>
  <c r="I5" i="33"/>
  <c r="G5" i="33"/>
  <c r="E5" i="33"/>
  <c r="F6" i="83"/>
  <c r="C6" i="83" l="1"/>
  <c r="C19" i="83"/>
  <c r="C61" i="83"/>
  <c r="D24" i="82"/>
  <c r="P61" i="82"/>
  <c r="D22" i="82"/>
  <c r="N6" i="1"/>
  <c r="C32" i="83" l="1"/>
  <c r="C33" i="83"/>
  <c r="C20" i="83"/>
  <c r="C26" i="83" s="1"/>
  <c r="N7" i="1"/>
  <c r="C36" i="33"/>
  <c r="AD6" i="1"/>
  <c r="I5" i="81"/>
  <c r="I4" i="81"/>
  <c r="I3" i="81"/>
  <c r="O22" i="1"/>
  <c r="O20" i="1"/>
  <c r="N20" i="1"/>
  <c r="N22" i="1" s="1"/>
  <c r="G36" i="33" l="1"/>
  <c r="I36" i="33"/>
  <c r="E36" i="33"/>
  <c r="I13" i="4"/>
  <c r="B6" i="81" l="1"/>
  <c r="G6" i="81"/>
  <c r="B35" i="1" l="1"/>
  <c r="F17" i="82" s="1"/>
  <c r="Y6" i="1"/>
  <c r="Y7" i="1" s="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L3" i="79" l="1"/>
  <c r="R5" i="79"/>
  <c r="V5" i="79"/>
  <c r="S13" i="79"/>
  <c r="U13" i="79"/>
  <c r="F10" i="1"/>
  <c r="AF6" i="1"/>
  <c r="Z6" i="1" s="1"/>
  <c r="T5" i="79"/>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D37" i="71"/>
  <c r="Q36" i="71"/>
  <c r="P36" i="71"/>
  <c r="O36" i="71"/>
  <c r="Y36" i="71"/>
  <c r="Z36" i="71" s="1"/>
  <c r="N36" i="71"/>
  <c r="Q35" i="71"/>
  <c r="AB35" i="71" s="1"/>
  <c r="P35" i="71"/>
  <c r="O35" i="71"/>
  <c r="N35" i="71"/>
  <c r="Q34" i="71"/>
  <c r="P34" i="71"/>
  <c r="AA34" i="71" s="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N30" i="71"/>
  <c r="X30" i="71" s="1"/>
  <c r="Q29" i="71"/>
  <c r="F30" i="71" s="1"/>
  <c r="F31" i="71" s="1"/>
  <c r="P29" i="71"/>
  <c r="O29" i="71"/>
  <c r="N29" i="71"/>
  <c r="X29" i="71" s="1"/>
  <c r="D29" i="71"/>
  <c r="O28" i="71"/>
  <c r="C28" i="71" s="1"/>
  <c r="N28" i="71"/>
  <c r="B30" i="71"/>
  <c r="B31" i="71" s="1"/>
  <c r="B32" i="71" s="1"/>
  <c r="S32" i="71" s="1"/>
  <c r="B34" i="71"/>
  <c r="B35" i="71" s="1"/>
  <c r="B36" i="71" s="1"/>
  <c r="S36" i="71" s="1"/>
  <c r="B39" i="71"/>
  <c r="B40" i="71" s="1"/>
  <c r="S40"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Y27" i="71"/>
  <c r="Z27" i="71" s="1"/>
  <c r="B28" i="71"/>
  <c r="B27" i="71" s="1"/>
  <c r="B26" i="71" s="1"/>
  <c r="X26" i="71"/>
  <c r="X28" i="71"/>
  <c r="C31" i="71"/>
  <c r="D30" i="71"/>
  <c r="D34" i="71"/>
  <c r="D38" i="71"/>
  <c r="P28" i="71"/>
  <c r="AA3" i="71" s="1"/>
  <c r="E59" i="71"/>
  <c r="E60" i="71" s="1"/>
  <c r="U60" i="71" s="1"/>
  <c r="E63" i="71"/>
  <c r="E64" i="71" s="1"/>
  <c r="U64" i="71" s="1"/>
  <c r="Q65" i="71"/>
  <c r="U68" i="71"/>
  <c r="E67" i="7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S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E66" i="71"/>
  <c r="C36" i="71"/>
  <c r="T36" i="71" s="1"/>
  <c r="D35" i="71"/>
  <c r="C32" i="71"/>
  <c r="T32" i="71" s="1"/>
  <c r="D31" i="71"/>
  <c r="C26" i="71"/>
  <c r="D26" i="71" s="1"/>
  <c r="D27" i="71"/>
  <c r="P65" i="71"/>
  <c r="P66" i="71"/>
  <c r="O66" i="71"/>
  <c r="O65" i="71"/>
  <c r="D32"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J41" i="33" s="1"/>
  <c r="W4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c r="J39" i="33"/>
  <c r="AC39" i="33" s="1"/>
  <c r="Q38" i="33"/>
  <c r="Z38" i="33" s="1"/>
  <c r="J38" i="33"/>
  <c r="AC38" i="33" s="1"/>
  <c r="F38" i="33"/>
  <c r="S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S40"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F37" i="33" s="1"/>
  <c r="AA37"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13" i="36"/>
  <c r="AB46" i="34"/>
  <c r="AC30" i="34"/>
  <c r="AA14" i="34"/>
  <c r="AB45" i="33"/>
  <c r="AB31" i="33"/>
  <c r="U31" i="33"/>
  <c r="W29" i="33"/>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W14" i="37"/>
  <c r="AB28" i="37"/>
  <c r="U33" i="37"/>
  <c r="U39" i="37"/>
  <c r="W26" i="37"/>
  <c r="U26" i="37"/>
  <c r="AB13" i="34"/>
  <c r="AC36" i="34"/>
  <c r="AA13" i="33"/>
  <c r="AC45" i="33"/>
  <c r="U19"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AZ119" i="3" s="1"/>
  <c r="BL120" i="3"/>
  <c r="G121" i="3"/>
  <c r="BA123" i="3"/>
  <c r="BL124" i="3"/>
  <c r="AZ124" i="3" s="1"/>
  <c r="G125" i="3"/>
  <c r="BA127" i="3"/>
  <c r="AZ127" i="3" s="1"/>
  <c r="BL128" i="3"/>
  <c r="G129" i="3"/>
  <c r="BA131" i="3"/>
  <c r="AZ131" i="3" s="1"/>
  <c r="BL132" i="3"/>
  <c r="AZ132" i="3" s="1"/>
  <c r="G133" i="3"/>
  <c r="BA135" i="3"/>
  <c r="BL136" i="3"/>
  <c r="AZ136" i="3" s="1"/>
  <c r="G137" i="3"/>
  <c r="BA139" i="3"/>
  <c r="BL140" i="3"/>
  <c r="AZ140" i="3" s="1"/>
  <c r="G141" i="3"/>
  <c r="BA143" i="3"/>
  <c r="BL144" i="3"/>
  <c r="G145" i="3"/>
  <c r="BA147" i="3"/>
  <c r="AZ147" i="3"/>
  <c r="BL148" i="3"/>
  <c r="AZ148" i="3"/>
  <c r="G149" i="3"/>
  <c r="BA151" i="3"/>
  <c r="AZ151" i="3" s="1"/>
  <c r="BL152" i="3"/>
  <c r="G153" i="3"/>
  <c r="BA155" i="3"/>
  <c r="AZ155" i="3" s="1"/>
  <c r="BL156" i="3"/>
  <c r="G157" i="3"/>
  <c r="BA159" i="3"/>
  <c r="AZ159" i="3" s="1"/>
  <c r="BL160" i="3"/>
  <c r="G161" i="3"/>
  <c r="BA163" i="3"/>
  <c r="AZ163" i="3" s="1"/>
  <c r="BL164" i="3"/>
  <c r="AZ164" i="3" s="1"/>
  <c r="G165" i="3"/>
  <c r="BA167" i="3"/>
  <c r="AZ167" i="3" s="1"/>
  <c r="BL168" i="3"/>
  <c r="G169" i="3"/>
  <c r="BA171" i="3"/>
  <c r="AZ171" i="3" s="1"/>
  <c r="BL172" i="3"/>
  <c r="G173" i="3"/>
  <c r="BA175" i="3"/>
  <c r="AZ175" i="3" s="1"/>
  <c r="BL176" i="3"/>
  <c r="G177" i="3"/>
  <c r="BA179" i="3"/>
  <c r="AZ179" i="3" s="1"/>
  <c r="BL180" i="3"/>
  <c r="AZ180" i="3" s="1"/>
  <c r="G181" i="3"/>
  <c r="BA183" i="3"/>
  <c r="AZ183" i="3" s="1"/>
  <c r="BL184" i="3"/>
  <c r="AZ184" i="3" s="1"/>
  <c r="G185" i="3"/>
  <c r="BA187" i="3"/>
  <c r="AZ187" i="3" s="1"/>
  <c r="BL188" i="3"/>
  <c r="G189" i="3"/>
  <c r="BA191" i="3"/>
  <c r="BL192" i="3"/>
  <c r="G193" i="3"/>
  <c r="BA195" i="3"/>
  <c r="BL196" i="3"/>
  <c r="AZ196" i="3"/>
  <c r="G197" i="3"/>
  <c r="BA199" i="3"/>
  <c r="AZ199" i="3" s="1"/>
  <c r="BL200" i="3"/>
  <c r="G201" i="3"/>
  <c r="BA203" i="3"/>
  <c r="AZ203" i="3" s="1"/>
  <c r="BL204" i="3"/>
  <c r="AZ204" i="3" s="1"/>
  <c r="AZ39" i="3"/>
  <c r="AZ43" i="3"/>
  <c r="AZ47" i="3"/>
  <c r="AZ59" i="3"/>
  <c r="AZ63" i="3"/>
  <c r="AZ71" i="3"/>
  <c r="AZ79" i="3"/>
  <c r="AZ144" i="3"/>
  <c r="AZ152" i="3"/>
  <c r="AZ160" i="3"/>
  <c r="AZ168" i="3"/>
  <c r="AZ176" i="3"/>
  <c r="AZ192" i="3"/>
  <c r="AZ89" i="3"/>
  <c r="AZ101" i="3"/>
  <c r="AZ109"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46" i="3"/>
  <c r="AZ150" i="3"/>
  <c r="AZ158" i="3"/>
  <c r="AZ162" i="3"/>
  <c r="AZ166" i="3"/>
  <c r="AZ174" i="3"/>
  <c r="AZ178" i="3"/>
  <c r="AZ182" i="3"/>
  <c r="AZ190" i="3"/>
  <c r="AZ202" i="3"/>
  <c r="AZ206" i="3"/>
  <c r="AZ500" i="3"/>
  <c r="BA16" i="3"/>
  <c r="AZ16" i="3"/>
  <c r="BL303" i="3"/>
  <c r="G304" i="3"/>
  <c r="BA306" i="3"/>
  <c r="AZ306" i="3"/>
  <c r="BL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69" i="3"/>
  <c r="AZ273"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BB5" i="3"/>
  <c r="BR5" i="3"/>
  <c r="AZ380" i="3"/>
  <c r="AZ388" i="3"/>
  <c r="AZ499" i="3"/>
  <c r="AZ509" i="3"/>
  <c r="G509" i="3"/>
  <c r="BL493" i="3"/>
  <c r="AZ493" i="3" s="1"/>
  <c r="AZ390"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C40" i="11"/>
  <c r="AZ215" i="3"/>
  <c r="AZ227" i="3"/>
  <c r="AZ240" i="3"/>
  <c r="AZ243" i="3"/>
  <c r="AZ271" i="3"/>
  <c r="AZ280" i="3"/>
  <c r="AZ288" i="3"/>
  <c r="AZ117" i="3"/>
  <c r="AZ130" i="3"/>
  <c r="AZ29" i="3"/>
  <c r="AZ31" i="3"/>
  <c r="AZ33" i="3"/>
  <c r="AZ37" i="3"/>
  <c r="AZ45" i="3"/>
  <c r="AZ50" i="3"/>
  <c r="AZ58" i="3"/>
  <c r="AZ61" i="3"/>
  <c r="AZ72" i="3"/>
  <c r="AZ74" i="3"/>
  <c r="AZ77" i="3"/>
  <c r="AZ8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65" i="3"/>
  <c r="W12" i="33"/>
  <c r="AC12" i="33"/>
  <c r="AA32" i="36"/>
  <c r="S32" i="36"/>
  <c r="AZ408" i="3"/>
  <c r="AZ437" i="3"/>
  <c r="AZ441" i="3"/>
  <c r="AZ457" i="3"/>
  <c r="AZ473" i="3"/>
  <c r="AA39" i="34"/>
  <c r="F28" i="6"/>
  <c r="BL14" i="3"/>
  <c r="U30" i="33"/>
  <c r="AC13" i="34"/>
  <c r="AA47" i="34"/>
  <c r="W28" i="37"/>
  <c r="S19" i="39"/>
  <c r="F12" i="33"/>
  <c r="H12" i="39"/>
  <c r="AB12" i="39" s="1"/>
  <c r="F39" i="40"/>
  <c r="BA14" i="3"/>
  <c r="AZ14" i="3"/>
  <c r="AZ213" i="3"/>
  <c r="AZ224" i="3"/>
  <c r="AZ238" i="3"/>
  <c r="AZ254" i="3"/>
  <c r="AZ286" i="3"/>
  <c r="AZ297" i="3"/>
  <c r="AZ157" i="3"/>
  <c r="AZ173" i="3"/>
  <c r="AZ189" i="3"/>
  <c r="AZ197" i="3"/>
  <c r="AZ26" i="3"/>
  <c r="AZ35" i="3"/>
  <c r="AZ41" i="3"/>
  <c r="B12" i="1"/>
  <c r="E12" i="1" s="1"/>
  <c r="B10" i="1"/>
  <c r="E10" i="1" s="1"/>
  <c r="AZ107" i="3"/>
  <c r="AZ111" i="3"/>
  <c r="K12" i="1"/>
  <c r="M12" i="1" s="1"/>
  <c r="S13" i="1"/>
  <c r="AR13" i="1" s="1"/>
  <c r="R13" i="1"/>
  <c r="J51" i="67"/>
  <c r="AA34" i="33"/>
  <c r="B41" i="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29" i="33"/>
  <c r="AB29" i="33"/>
  <c r="H41" i="33"/>
  <c r="U41" i="33" s="1"/>
  <c r="F36" i="33"/>
  <c r="AA36" i="33" s="1"/>
  <c r="G111" i="33"/>
  <c r="J35" i="33"/>
  <c r="AC35" i="33" s="1"/>
  <c r="S37" i="33"/>
  <c r="F101" i="33"/>
  <c r="J32" i="33" s="1"/>
  <c r="W32" i="33" s="1"/>
  <c r="S46" i="33"/>
  <c r="H27" i="33"/>
  <c r="AB27" i="33" s="1"/>
  <c r="F87" i="33"/>
  <c r="G87" i="33" s="1"/>
  <c r="H87" i="33" s="1"/>
  <c r="I87" i="33" s="1"/>
  <c r="J87" i="33" s="1"/>
  <c r="K87" i="33" s="1"/>
  <c r="L87" i="33" s="1"/>
  <c r="M87" i="33" s="1"/>
  <c r="H25" i="33"/>
  <c r="U25" i="33" s="1"/>
  <c r="F25" i="33"/>
  <c r="AA25" i="33" s="1"/>
  <c r="J23"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U15" i="33"/>
  <c r="S11" i="33"/>
  <c r="S28" i="33"/>
  <c r="W8" i="33"/>
  <c r="S44" i="21"/>
  <c r="AB42" i="21"/>
  <c r="U28" i="21"/>
  <c r="S45" i="21"/>
  <c r="F33" i="21"/>
  <c r="AA33" i="21" s="1"/>
  <c r="J33" i="21"/>
  <c r="AC33" i="21" s="1"/>
  <c r="H33" i="21"/>
  <c r="AB33" i="21" s="1"/>
  <c r="F37" i="21"/>
  <c r="AA37" i="21"/>
  <c r="AA26" i="21"/>
  <c r="AB14" i="21"/>
  <c r="AB46" i="21"/>
  <c r="U40" i="21"/>
  <c r="AB31" i="21"/>
  <c r="U31"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J27" i="33"/>
  <c r="AC27" i="33" s="1"/>
  <c r="J25" i="33"/>
  <c r="AC25" i="33" s="1"/>
  <c r="F23" i="33"/>
  <c r="AA23" i="33" s="1"/>
  <c r="AC23" i="33"/>
  <c r="W23" i="33"/>
  <c r="H19" i="33"/>
  <c r="U19" i="33" s="1"/>
  <c r="H17" i="33"/>
  <c r="U17" i="33" s="1"/>
  <c r="F17" i="33"/>
  <c r="S17" i="33" s="1"/>
  <c r="S37" i="21"/>
  <c r="AB15" i="21"/>
  <c r="J23" i="21"/>
  <c r="W23" i="21" s="1"/>
  <c r="F85" i="21"/>
  <c r="G85" i="21" s="1"/>
  <c r="H23" i="21"/>
  <c r="U23" i="21" s="1"/>
  <c r="D6" i="52"/>
  <c r="AP7" i="1"/>
  <c r="AB45" i="21"/>
  <c r="U9" i="21"/>
  <c r="AA32" i="21"/>
  <c r="S32" i="21"/>
  <c r="W9" i="21"/>
  <c r="AC9" i="21"/>
  <c r="AB32" i="21"/>
  <c r="U32" i="21"/>
  <c r="AC32" i="39"/>
  <c r="W32" i="39"/>
  <c r="W19" i="37"/>
  <c r="AC19" i="37"/>
  <c r="AC23" i="37"/>
  <c r="H63" i="37"/>
  <c r="I63" i="37"/>
  <c r="J63" i="37" s="1"/>
  <c r="K63" i="37" s="1"/>
  <c r="L63" i="37" s="1"/>
  <c r="M63" i="37" s="1"/>
  <c r="J11" i="37"/>
  <c r="AC11" i="37" s="1"/>
  <c r="H70" i="34"/>
  <c r="I70" i="34" s="1"/>
  <c r="J70" i="34"/>
  <c r="K70" i="34" s="1"/>
  <c r="L70" i="34" s="1"/>
  <c r="M70" i="34" s="1"/>
  <c r="J11" i="34"/>
  <c r="W11" i="34" s="1"/>
  <c r="AB36" i="33"/>
  <c r="AB17" i="33"/>
  <c r="AC23" i="21"/>
  <c r="H109" i="9"/>
  <c r="H112" i="9"/>
  <c r="D21" i="53" s="1"/>
  <c r="B39" i="72" s="1"/>
  <c r="H111"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D19" i="71"/>
  <c r="J15" i="15"/>
  <c r="E2" i="68"/>
  <c r="F26" i="67"/>
  <c r="F8" i="67"/>
  <c r="F4" i="73"/>
  <c r="F9" i="67"/>
  <c r="J15" i="67"/>
  <c r="D35" i="9"/>
  <c r="E12" i="76"/>
  <c r="M23" i="15"/>
  <c r="M6" i="67"/>
  <c r="F16" i="15"/>
  <c r="F43" i="67"/>
  <c r="F36" i="15"/>
  <c r="F38" i="15"/>
  <c r="M24" i="67"/>
  <c r="F36" i="67"/>
  <c r="L47" i="15"/>
  <c r="E8" i="76"/>
  <c r="F16" i="67"/>
  <c r="F38" i="67"/>
  <c r="E9" i="76"/>
  <c r="M9" i="67"/>
  <c r="M22" i="67"/>
  <c r="F42" i="15"/>
  <c r="M9" i="15"/>
  <c r="M28" i="15"/>
  <c r="F8" i="15"/>
  <c r="F9" i="15"/>
  <c r="F13" i="15"/>
  <c r="B10" i="76"/>
  <c r="E2" i="69"/>
  <c r="D4" i="73"/>
  <c r="C76" i="15"/>
  <c r="E13" i="76"/>
  <c r="L48" i="67"/>
  <c r="B9" i="76"/>
  <c r="B8" i="76"/>
  <c r="F26" i="15"/>
  <c r="E7" i="76"/>
  <c r="C76" i="67"/>
  <c r="M8" i="15"/>
  <c r="F40" i="15"/>
  <c r="M24" i="15"/>
  <c r="F37" i="67"/>
  <c r="M28" i="67"/>
  <c r="M23" i="67"/>
  <c r="F37" i="15"/>
  <c r="F42" i="67"/>
  <c r="F6" i="67"/>
  <c r="M22" i="15"/>
  <c r="F6" i="73"/>
  <c r="M8" i="67"/>
  <c r="M26" i="67"/>
  <c r="B13" i="76"/>
  <c r="F5" i="73"/>
  <c r="B12" i="76"/>
  <c r="E11" i="76"/>
  <c r="AO13" i="1"/>
  <c r="L47" i="67"/>
  <c r="M29" i="67"/>
  <c r="F3" i="73"/>
  <c r="F13" i="67"/>
  <c r="E10" i="76"/>
  <c r="D34" i="9"/>
  <c r="M6" i="15"/>
  <c r="F7" i="73"/>
  <c r="D6" i="73"/>
  <c r="B11" i="76"/>
  <c r="B7" i="76"/>
  <c r="F40" i="67"/>
  <c r="L48" i="15"/>
  <c r="M26" i="15"/>
  <c r="F7" i="67"/>
  <c r="F20" i="31"/>
  <c r="AB23" i="21" l="1"/>
  <c r="D20" i="71"/>
  <c r="U20" i="71" s="1"/>
  <c r="T20" i="71"/>
  <c r="V20" i="71"/>
  <c r="U32" i="39"/>
  <c r="S13" i="21"/>
  <c r="AA23" i="21"/>
  <c r="AA19" i="33"/>
  <c r="AZ382" i="3"/>
  <c r="AZ342" i="3"/>
  <c r="AZ321" i="3"/>
  <c r="W12" i="37"/>
  <c r="AC12" i="37"/>
  <c r="G101" i="33"/>
  <c r="H101" i="33" s="1"/>
  <c r="I101" i="33" s="1"/>
  <c r="J101" i="33" s="1"/>
  <c r="K101" i="33" s="1"/>
  <c r="L101" i="33" s="1"/>
  <c r="M101" i="33" s="1"/>
  <c r="H32" i="33"/>
  <c r="AB32" i="33" s="1"/>
  <c r="F48" i="9"/>
  <c r="O52" i="9" s="1"/>
  <c r="F32" i="82"/>
  <c r="F60" i="82" s="1"/>
  <c r="F28" i="82"/>
  <c r="M18" i="82"/>
  <c r="AZ581" i="3"/>
  <c r="BA551" i="3"/>
  <c r="AZ551" i="3" s="1"/>
  <c r="BL548" i="3"/>
  <c r="AZ548" i="3" s="1"/>
  <c r="AZ438" i="3"/>
  <c r="AZ443" i="3"/>
  <c r="AZ446" i="3"/>
  <c r="AZ450" i="3"/>
  <c r="AZ454" i="3"/>
  <c r="AZ376" i="3"/>
  <c r="AZ362" i="3"/>
  <c r="AZ360" i="3"/>
  <c r="AZ343" i="3"/>
  <c r="AC46" i="21"/>
  <c r="W44" i="21"/>
  <c r="U11" i="33"/>
  <c r="AC31" i="33"/>
  <c r="W47" i="34"/>
  <c r="U14" i="40"/>
  <c r="AZ511" i="3"/>
  <c r="AZ519" i="3"/>
  <c r="AZ569" i="3"/>
  <c r="AZ577" i="3"/>
  <c r="AZ495" i="3"/>
  <c r="AZ513" i="3"/>
  <c r="AZ517" i="3"/>
  <c r="AZ567" i="3"/>
  <c r="AZ571" i="3"/>
  <c r="AZ575" i="3"/>
  <c r="AZ579" i="3"/>
  <c r="AZ568" i="3"/>
  <c r="AZ576" i="3"/>
  <c r="AC28" i="21"/>
  <c r="S11" i="36"/>
  <c r="W31" i="34"/>
  <c r="AA44" i="33"/>
  <c r="U23" i="40"/>
  <c r="AA29" i="35"/>
  <c r="AB23" i="34"/>
  <c r="BL586" i="3"/>
  <c r="AZ586" i="3" s="1"/>
  <c r="H38" i="33"/>
  <c r="AB38" i="33" s="1"/>
  <c r="E121" i="33"/>
  <c r="F121" i="33" s="1"/>
  <c r="G121" i="33" s="1"/>
  <c r="H121" i="33" s="1"/>
  <c r="I121" i="33" s="1"/>
  <c r="J121" i="33" s="1"/>
  <c r="K121" i="33" s="1"/>
  <c r="L121" i="33" s="1"/>
  <c r="M121" i="33" s="1"/>
  <c r="F12" i="35"/>
  <c r="J23" i="35"/>
  <c r="F25" i="37"/>
  <c r="H39" i="40"/>
  <c r="G570" i="3"/>
  <c r="G556" i="3"/>
  <c r="BL550" i="3"/>
  <c r="BA550" i="3"/>
  <c r="G526" i="3"/>
  <c r="M20" i="15"/>
  <c r="F34" i="82"/>
  <c r="F62" i="82" s="1"/>
  <c r="M20" i="82"/>
  <c r="BL15" i="3"/>
  <c r="AZ15" i="3" s="1"/>
  <c r="G398" i="3"/>
  <c r="BL398" i="3"/>
  <c r="AZ398" i="3" s="1"/>
  <c r="BA399" i="3"/>
  <c r="AZ399" i="3" s="1"/>
  <c r="BL401" i="3"/>
  <c r="AZ401" i="3" s="1"/>
  <c r="G403" i="3"/>
  <c r="G405" i="3"/>
  <c r="BL405" i="3"/>
  <c r="AZ405" i="3" s="1"/>
  <c r="G407" i="3"/>
  <c r="BL407" i="3"/>
  <c r="AZ407" i="3" s="1"/>
  <c r="G410" i="3"/>
  <c r="BL410" i="3"/>
  <c r="AZ410" i="3" s="1"/>
  <c r="BA411" i="3"/>
  <c r="AZ411" i="3" s="1"/>
  <c r="BA412" i="3"/>
  <c r="AZ412" i="3" s="1"/>
  <c r="G415" i="3"/>
  <c r="BL415" i="3"/>
  <c r="AZ415" i="3" s="1"/>
  <c r="BA416" i="3"/>
  <c r="AZ416" i="3" s="1"/>
  <c r="BA417" i="3"/>
  <c r="AZ417" i="3" s="1"/>
  <c r="BA418" i="3"/>
  <c r="AZ418" i="3" s="1"/>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AZ434" i="3" s="1"/>
  <c r="BL434" i="3"/>
  <c r="G436" i="3"/>
  <c r="BL436" i="3"/>
  <c r="AZ436" i="3" s="1"/>
  <c r="G441" i="3"/>
  <c r="G442" i="3"/>
  <c r="BA448" i="3"/>
  <c r="AZ448" i="3" s="1"/>
  <c r="BA451" i="3"/>
  <c r="BL451" i="3"/>
  <c r="BA452" i="3"/>
  <c r="AZ452" i="3" s="1"/>
  <c r="AZ459" i="3"/>
  <c r="AZ477" i="3"/>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G131" i="3"/>
  <c r="BL133" i="3"/>
  <c r="AZ133" i="3" s="1"/>
  <c r="BA134" i="3"/>
  <c r="AZ134" i="3" s="1"/>
  <c r="BL135" i="3"/>
  <c r="AZ135" i="3" s="1"/>
  <c r="BA137" i="3"/>
  <c r="AZ137" i="3" s="1"/>
  <c r="BA138" i="3"/>
  <c r="AZ138" i="3" s="1"/>
  <c r="BL139" i="3"/>
  <c r="AZ139" i="3" s="1"/>
  <c r="BA141" i="3"/>
  <c r="AZ141" i="3" s="1"/>
  <c r="BA142" i="3"/>
  <c r="AZ142" i="3" s="1"/>
  <c r="BL143" i="3"/>
  <c r="AZ143" i="3" s="1"/>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457" i="3"/>
  <c r="G458" i="3"/>
  <c r="G462" i="3"/>
  <c r="G464" i="3"/>
  <c r="BL464" i="3"/>
  <c r="AZ464" i="3" s="1"/>
  <c r="G467" i="3"/>
  <c r="BL467" i="3"/>
  <c r="AZ467" i="3" s="1"/>
  <c r="BA468" i="3"/>
  <c r="AZ468" i="3" s="1"/>
  <c r="BA469" i="3"/>
  <c r="BL469" i="3"/>
  <c r="BA470" i="3"/>
  <c r="AZ470" i="3" s="1"/>
  <c r="G473" i="3"/>
  <c r="G474" i="3"/>
  <c r="BL474" i="3"/>
  <c r="AZ474" i="3" s="1"/>
  <c r="BA475" i="3"/>
  <c r="AZ475" i="3" s="1"/>
  <c r="G480" i="3"/>
  <c r="BL480" i="3"/>
  <c r="AZ480" i="3" s="1"/>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59" i="3"/>
  <c r="G60" i="3"/>
  <c r="BL60" i="3"/>
  <c r="G63" i="3"/>
  <c r="G64" i="3"/>
  <c r="BL64" i="3"/>
  <c r="BA65" i="3"/>
  <c r="AZ65" i="3" s="1"/>
  <c r="BA66" i="3"/>
  <c r="AZ66" i="3" s="1"/>
  <c r="BA67" i="3"/>
  <c r="AZ67" i="3" s="1"/>
  <c r="BL69" i="3"/>
  <c r="AZ69" i="3" s="1"/>
  <c r="G72" i="3"/>
  <c r="G73" i="3"/>
  <c r="BL73" i="3"/>
  <c r="BL75" i="3"/>
  <c r="AZ75" i="3" s="1"/>
  <c r="G77" i="3"/>
  <c r="G78" i="3"/>
  <c r="BL78" i="3"/>
  <c r="BL80" i="3"/>
  <c r="AZ80" i="3" s="1"/>
  <c r="G82" i="3"/>
  <c r="G83" i="3"/>
  <c r="C47" i="71"/>
  <c r="D47" i="71" s="1"/>
  <c r="D46" i="7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AZ64" i="3"/>
  <c r="J50" i="43"/>
  <c r="D50" i="43"/>
  <c r="D42" i="71"/>
  <c r="C43" i="71"/>
  <c r="C51" i="71"/>
  <c r="D50" i="7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AZ100" i="3" s="1"/>
  <c r="BL102" i="3"/>
  <c r="AZ102" i="3" s="1"/>
  <c r="BA103" i="3"/>
  <c r="AZ103" i="3" s="1"/>
  <c r="BL105" i="3"/>
  <c r="AZ105" i="3" s="1"/>
  <c r="G107" i="3"/>
  <c r="G108" i="3"/>
  <c r="BL108" i="3"/>
  <c r="BL110" i="3"/>
  <c r="AZ110" i="3" s="1"/>
  <c r="F3" i="35"/>
  <c r="G1" i="82"/>
  <c r="AC21" i="34"/>
  <c r="U18" i="35"/>
  <c r="S21" i="37"/>
  <c r="C29" i="39"/>
  <c r="B68" i="43"/>
  <c r="B77" i="43"/>
  <c r="D60" i="71"/>
  <c r="D36" i="71"/>
  <c r="AA30" i="71"/>
  <c r="AA35" i="71"/>
  <c r="F32" i="71"/>
  <c r="V32" i="71" s="1"/>
  <c r="AB30" i="71"/>
  <c r="AB32" i="71"/>
  <c r="Y30" i="71"/>
  <c r="Z30" i="71" s="1"/>
  <c r="X33" i="71"/>
  <c r="AB36" i="71"/>
  <c r="B55" i="71"/>
  <c r="B56" i="71" s="1"/>
  <c r="S56" i="71" s="1"/>
  <c r="V24" i="71"/>
  <c r="S42" i="33"/>
  <c r="AC41" i="33"/>
  <c r="U37" i="33"/>
  <c r="AC34" i="33"/>
  <c r="S27" i="33"/>
  <c r="E85" i="33"/>
  <c r="D89" i="33"/>
  <c r="S43" i="33"/>
  <c r="W43" i="33"/>
  <c r="U42" i="33"/>
  <c r="AC37" i="33"/>
  <c r="W35" i="33"/>
  <c r="AA35" i="33"/>
  <c r="S25" i="33"/>
  <c r="AC17" i="33"/>
  <c r="AB23" i="33"/>
  <c r="S23" i="33"/>
  <c r="AC21" i="33"/>
  <c r="AB19" i="33"/>
  <c r="AA17" i="33"/>
  <c r="W9" i="33"/>
  <c r="AB41" i="33"/>
  <c r="S41" i="33"/>
  <c r="U39" i="33"/>
  <c r="S39" i="33"/>
  <c r="U38" i="33"/>
  <c r="W38" i="33"/>
  <c r="AA38" i="33"/>
  <c r="U35" i="33"/>
  <c r="AB34" i="33"/>
  <c r="S32" i="33"/>
  <c r="U32" i="33"/>
  <c r="AC32" i="33"/>
  <c r="AC28" i="33"/>
  <c r="U27" i="33"/>
  <c r="W27" i="33"/>
  <c r="W25" i="33"/>
  <c r="AB25" i="33"/>
  <c r="A15" i="62"/>
  <c r="B61" i="72" s="1"/>
  <c r="K56" i="9"/>
  <c r="G23" i="43"/>
  <c r="C7" i="40"/>
  <c r="C63" i="40" s="1"/>
  <c r="C7" i="33"/>
  <c r="C7" i="39"/>
  <c r="C67" i="39" s="1"/>
  <c r="C42" i="1"/>
  <c r="C24" i="12" s="1"/>
  <c r="C7" i="36"/>
  <c r="C46" i="36" s="1"/>
  <c r="D46" i="36" s="1"/>
  <c r="E46" i="36" s="1"/>
  <c r="F46" i="36" s="1"/>
  <c r="G46" i="36" s="1"/>
  <c r="H46" i="36" s="1"/>
  <c r="I46" i="36" s="1"/>
  <c r="W44" i="33"/>
  <c r="S45" i="33"/>
  <c r="D52" i="43"/>
  <c r="G6" i="1"/>
  <c r="I24" i="43"/>
  <c r="C28" i="67"/>
  <c r="E15" i="71"/>
  <c r="E14" i="71" s="1"/>
  <c r="E13" i="71" s="1"/>
  <c r="E12" i="71" s="1"/>
  <c r="V16" i="71"/>
  <c r="D126" i="9"/>
  <c r="I14" i="74" s="1"/>
  <c r="D19" i="53"/>
  <c r="B38" i="72" s="1"/>
  <c r="D16" i="53"/>
  <c r="B34" i="72" s="1"/>
  <c r="AZ557" i="3"/>
  <c r="AB13" i="21"/>
  <c r="U13" i="21"/>
  <c r="W27" i="21"/>
  <c r="AC27" i="21"/>
  <c r="W29" i="21"/>
  <c r="AC29" i="21"/>
  <c r="S12" i="21"/>
  <c r="AA12" i="21"/>
  <c r="BL5" i="3"/>
  <c r="G5" i="3"/>
  <c r="B3" i="3" s="1"/>
  <c r="B94" i="43"/>
  <c r="B73" i="43"/>
  <c r="B99" i="43"/>
  <c r="B76" i="43"/>
  <c r="AZ400" i="3"/>
  <c r="AZ413" i="3"/>
  <c r="AZ424" i="3"/>
  <c r="AZ429" i="3"/>
  <c r="AZ439" i="3"/>
  <c r="AZ444" i="3"/>
  <c r="D17" i="71"/>
  <c r="C16" i="71"/>
  <c r="M23" i="43" s="1"/>
  <c r="W17" i="21"/>
  <c r="AC15" i="21"/>
  <c r="S20" i="35"/>
  <c r="U12" i="39"/>
  <c r="AA27" i="40"/>
  <c r="AB27" i="40"/>
  <c r="G28" i="6"/>
  <c r="E28" i="6" s="1"/>
  <c r="K14" i="1" s="1"/>
  <c r="F29" i="6"/>
  <c r="U43" i="33"/>
  <c r="AA41" i="34"/>
  <c r="U46" i="33"/>
  <c r="AA13" i="35"/>
  <c r="B101" i="43"/>
  <c r="B79" i="43"/>
  <c r="B97" i="43"/>
  <c r="B75" i="43"/>
  <c r="AZ445" i="3"/>
  <c r="AZ447" i="3"/>
  <c r="AZ449" i="3"/>
  <c r="AZ453" i="3"/>
  <c r="AZ455" i="3"/>
  <c r="AZ460" i="3"/>
  <c r="AZ471" i="3"/>
  <c r="AZ476" i="3"/>
  <c r="AZ478" i="3"/>
  <c r="AZ484" i="3"/>
  <c r="AZ492" i="3"/>
  <c r="AZ395" i="3"/>
  <c r="AZ208" i="3"/>
  <c r="AZ211" i="3"/>
  <c r="AZ219" i="3"/>
  <c r="AZ236" i="3"/>
  <c r="AZ252" i="3"/>
  <c r="AZ272" i="3"/>
  <c r="AZ276" i="3"/>
  <c r="AZ289" i="3"/>
  <c r="AZ294" i="3"/>
  <c r="AZ300" i="3"/>
  <c r="AZ118" i="3"/>
  <c r="AZ121" i="3"/>
  <c r="F9" i="34"/>
  <c r="AA9" i="34" s="1"/>
  <c r="F12" i="34"/>
  <c r="F34" i="35"/>
  <c r="H34" i="35"/>
  <c r="J36" i="35"/>
  <c r="F23" i="36"/>
  <c r="H23" i="36"/>
  <c r="AZ267" i="3"/>
  <c r="AZ284" i="3"/>
  <c r="AZ292" i="3"/>
  <c r="AZ153" i="3"/>
  <c r="AZ169" i="3"/>
  <c r="AZ185" i="3"/>
  <c r="AZ201" i="3"/>
  <c r="AZ207" i="3"/>
  <c r="AZ25" i="3"/>
  <c r="AZ30" i="3"/>
  <c r="AZ36" i="3"/>
  <c r="AZ40" i="3"/>
  <c r="AZ46" i="3"/>
  <c r="AZ49" i="3"/>
  <c r="AZ60" i="3"/>
  <c r="AZ73" i="3"/>
  <c r="AZ78" i="3"/>
  <c r="AZ87" i="3"/>
  <c r="AZ91" i="3"/>
  <c r="AZ95" i="3"/>
  <c r="C40" i="71"/>
  <c r="D39" i="71"/>
  <c r="AZ108" i="3"/>
  <c r="D64" i="71"/>
  <c r="T64" i="71"/>
  <c r="V28" i="71"/>
  <c r="AA28" i="71"/>
  <c r="AA26" i="71"/>
  <c r="Y28" i="71"/>
  <c r="Z28" i="71" s="1"/>
  <c r="Y26" i="71"/>
  <c r="Z26" i="71" s="1"/>
  <c r="AA32" i="71"/>
  <c r="Y29" i="71"/>
  <c r="Z29" i="71" s="1"/>
  <c r="AA33" i="71"/>
  <c r="E35" i="71"/>
  <c r="E36" i="71" s="1"/>
  <c r="U36" i="71" s="1"/>
  <c r="Y31" i="71"/>
  <c r="Z31" i="71" s="1"/>
  <c r="X31" i="71"/>
  <c r="X32" i="71"/>
  <c r="AB34" i="71"/>
  <c r="AB33" i="71"/>
  <c r="U18" i="36"/>
  <c r="X25" i="71"/>
  <c r="X27" i="71"/>
  <c r="E30" i="71"/>
  <c r="E31" i="71" s="1"/>
  <c r="E32" i="71" s="1"/>
  <c r="U32" i="71" s="1"/>
  <c r="AA29" i="71"/>
  <c r="Y35" i="71"/>
  <c r="Z35" i="71" s="1"/>
  <c r="Y33" i="71"/>
  <c r="Z33" i="71" s="1"/>
  <c r="AB37" i="71"/>
  <c r="AA36" i="71"/>
  <c r="X37" i="71"/>
  <c r="Y9" i="71"/>
  <c r="Z9" i="71" s="1"/>
  <c r="Y10" i="71"/>
  <c r="Z10" i="71" s="1"/>
  <c r="AA9" i="71"/>
  <c r="AA10" i="71"/>
  <c r="X24" i="71"/>
  <c r="AB24" i="71"/>
  <c r="AA22" i="71"/>
  <c r="X21" i="71"/>
  <c r="Y21" i="71"/>
  <c r="Z21" i="71" s="1"/>
  <c r="AA14" i="71"/>
  <c r="Y14" i="71"/>
  <c r="Z14" i="71" s="1"/>
  <c r="X9" i="71"/>
  <c r="X10" i="71"/>
  <c r="AB10" i="71"/>
  <c r="AB9" i="71"/>
  <c r="S68" i="71"/>
  <c r="B67" i="71"/>
  <c r="Y24" i="71"/>
  <c r="Z24" i="71" s="1"/>
  <c r="AA24" i="71"/>
  <c r="Y23" i="71"/>
  <c r="Z23" i="71" s="1"/>
  <c r="AB23" i="71"/>
  <c r="AB21" i="71"/>
  <c r="X18" i="71"/>
  <c r="Y17" i="71"/>
  <c r="Z17" i="71" s="1"/>
  <c r="AA18" i="71"/>
  <c r="AB18" i="71"/>
  <c r="X12" i="71"/>
  <c r="AA21" i="71"/>
  <c r="Y18" i="71"/>
  <c r="Z18" i="71" s="1"/>
  <c r="AB15" i="71"/>
  <c r="X17" i="71"/>
  <c r="AA17" i="71"/>
  <c r="AB17" i="71"/>
  <c r="AB11" i="71"/>
  <c r="AB14" i="71"/>
  <c r="Y11" i="71"/>
  <c r="Z11" i="71" s="1"/>
  <c r="Y13" i="71"/>
  <c r="Z13" i="71" s="1"/>
  <c r="AA12" i="71"/>
  <c r="AA11" i="71"/>
  <c r="X13" i="71"/>
  <c r="Y22" i="71"/>
  <c r="Z22" i="71" s="1"/>
  <c r="AA23" i="71"/>
  <c r="X22" i="71"/>
  <c r="X15" i="71"/>
  <c r="AA15" i="71"/>
  <c r="AB13" i="71"/>
  <c r="AB12" i="71"/>
  <c r="Y12" i="71"/>
  <c r="Z12" i="71" s="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3" i="73"/>
  <c r="C16" i="67"/>
  <c r="D5" i="73"/>
  <c r="D7" i="73"/>
  <c r="G1" i="73"/>
  <c r="M11" i="83" l="1"/>
  <c r="J10" i="83" s="1"/>
  <c r="J5" i="83" s="1"/>
  <c r="F11" i="83"/>
  <c r="F7" i="36"/>
  <c r="J7" i="37"/>
  <c r="H7" i="36"/>
  <c r="C52" i="71"/>
  <c r="D51" i="71"/>
  <c r="AZ469" i="3"/>
  <c r="AZ451" i="3"/>
  <c r="AZ5" i="3" s="1"/>
  <c r="AZ422" i="3"/>
  <c r="AZ550" i="3"/>
  <c r="AB39" i="40"/>
  <c r="U39" i="40"/>
  <c r="AC23" i="35"/>
  <c r="W23" i="35"/>
  <c r="BA5" i="3"/>
  <c r="C44" i="71"/>
  <c r="D43" i="71"/>
  <c r="AA25" i="37"/>
  <c r="S25" i="37"/>
  <c r="S12" i="35"/>
  <c r="AA12" i="35"/>
  <c r="C28" i="82"/>
  <c r="F11" i="82"/>
  <c r="M11" i="82"/>
  <c r="F26" i="33"/>
  <c r="J26" i="33"/>
  <c r="H26" i="33"/>
  <c r="E89" i="33"/>
  <c r="F85" i="33"/>
  <c r="B15" i="71"/>
  <c r="B14" i="71" s="1"/>
  <c r="B13" i="71" s="1"/>
  <c r="B12" i="71" s="1"/>
  <c r="S16" i="71"/>
  <c r="N67" i="71"/>
  <c r="B66" i="71"/>
  <c r="AB23" i="36"/>
  <c r="U23" i="36"/>
  <c r="AC36" i="35"/>
  <c r="W36" i="35"/>
  <c r="AA34" i="35"/>
  <c r="S34" i="35"/>
  <c r="D40" i="71"/>
  <c r="T40" i="71"/>
  <c r="AA23" i="36"/>
  <c r="S23" i="36"/>
  <c r="AB34" i="35"/>
  <c r="U34" i="35"/>
  <c r="S12" i="34"/>
  <c r="AA12" i="34"/>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1" i="71"/>
  <c r="E10" i="71" s="1"/>
  <c r="E9" i="71" s="1"/>
  <c r="E8" i="71" s="1"/>
  <c r="E7" i="71" s="1"/>
  <c r="E6" i="71" s="1"/>
  <c r="E5" i="71" s="1"/>
  <c r="V12"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H6" i="3"/>
  <c r="E58" i="40"/>
  <c r="E62" i="39"/>
  <c r="M14" i="1"/>
  <c r="D5" i="43"/>
  <c r="C7" i="43"/>
  <c r="C5" i="43" s="1"/>
  <c r="D10" i="52"/>
  <c r="D125" i="9"/>
  <c r="D11" i="52" s="1"/>
  <c r="B7" i="74"/>
  <c r="F67" i="39"/>
  <c r="F59" i="67"/>
  <c r="H7" i="37"/>
  <c r="AB7" i="37" s="1"/>
  <c r="T42" i="37" s="1"/>
  <c r="G42" i="37" s="1"/>
  <c r="B40" i="1"/>
  <c r="F24" i="8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F11" i="67"/>
  <c r="F1" i="15"/>
  <c r="Q52" i="15"/>
  <c r="J18" i="67"/>
  <c r="F1" i="67"/>
  <c r="Q52" i="67"/>
  <c r="Q60" i="15"/>
  <c r="Q73" i="15"/>
  <c r="Q61" i="67"/>
  <c r="Q74" i="67"/>
  <c r="Q74" i="15"/>
  <c r="Q61" i="15"/>
  <c r="AE11" i="1"/>
  <c r="AE9" i="1"/>
  <c r="AE8" i="1"/>
  <c r="AE12" i="1"/>
  <c r="AE10" i="1"/>
  <c r="F42" i="82"/>
  <c r="F6" i="82"/>
  <c r="M9" i="82"/>
  <c r="J15" i="82"/>
  <c r="F16" i="82"/>
  <c r="L48" i="82"/>
  <c r="F40" i="82"/>
  <c r="L47" i="82"/>
  <c r="M28" i="82"/>
  <c r="M23" i="82"/>
  <c r="M22" i="82"/>
  <c r="C76" i="82"/>
  <c r="F38" i="82"/>
  <c r="F8" i="82"/>
  <c r="F36" i="82"/>
  <c r="M6" i="82"/>
  <c r="M8" i="82"/>
  <c r="F26" i="82"/>
  <c r="F41" i="67"/>
  <c r="M26" i="82"/>
  <c r="F9" i="82"/>
  <c r="M24" i="82"/>
  <c r="F37" i="82"/>
  <c r="F13" i="82"/>
  <c r="AE6" i="1"/>
  <c r="C24" i="83" l="1"/>
  <c r="C23" i="83"/>
  <c r="C53" i="83"/>
  <c r="C48" i="83" s="1"/>
  <c r="C10" i="83"/>
  <c r="C5" i="83" s="1"/>
  <c r="J24" i="83"/>
  <c r="F65" i="82"/>
  <c r="L59" i="82"/>
  <c r="M59" i="82"/>
  <c r="N59" i="82"/>
  <c r="L58" i="82"/>
  <c r="L56" i="82"/>
  <c r="J53" i="82"/>
  <c r="L57" i="82"/>
  <c r="I54" i="82"/>
  <c r="L60" i="82"/>
  <c r="J57" i="82"/>
  <c r="J55" i="82" s="1"/>
  <c r="J58" i="82" s="1"/>
  <c r="Q50" i="82" s="1"/>
  <c r="C27" i="82"/>
  <c r="F64" i="82"/>
  <c r="F51" i="82"/>
  <c r="F66" i="82"/>
  <c r="F68" i="82"/>
  <c r="Q71" i="82"/>
  <c r="E3" i="6"/>
  <c r="AY6" i="3"/>
  <c r="AY83" i="3" s="1"/>
  <c r="T44" i="71"/>
  <c r="D44" i="71"/>
  <c r="T52" i="71"/>
  <c r="D52" i="71"/>
  <c r="L36" i="43"/>
  <c r="L37" i="43" s="1"/>
  <c r="F24" i="82"/>
  <c r="C53" i="82"/>
  <c r="F89" i="33"/>
  <c r="G85" i="33"/>
  <c r="G89" i="33" s="1"/>
  <c r="AC26" i="33"/>
  <c r="W26" i="33"/>
  <c r="U26" i="33"/>
  <c r="AB26" i="33"/>
  <c r="AA26" i="33"/>
  <c r="S26" i="33"/>
  <c r="E65" i="39"/>
  <c r="N66" i="71"/>
  <c r="N65" i="71"/>
  <c r="D15" i="71"/>
  <c r="C14" i="71"/>
  <c r="B11" i="71"/>
  <c r="B10" i="71" s="1"/>
  <c r="B9" i="71" s="1"/>
  <c r="B8" i="71" s="1"/>
  <c r="B7" i="71" s="1"/>
  <c r="B6" i="71" s="1"/>
  <c r="B5" i="71" s="1"/>
  <c r="S12" i="71"/>
  <c r="AC7" i="34"/>
  <c r="V49" i="34" s="1"/>
  <c r="I49" i="34" s="1"/>
  <c r="U7" i="34"/>
  <c r="AA7" i="34"/>
  <c r="R49" i="34"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D3" i="34"/>
  <c r="D19" i="11"/>
  <c r="C19" i="11" s="1"/>
  <c r="L18" i="9"/>
  <c r="K23" i="9" s="1"/>
  <c r="K25" i="9" s="1"/>
  <c r="C17" i="4"/>
  <c r="B4" i="52" s="1"/>
  <c r="B43" i="72" s="1"/>
  <c r="D3" i="33"/>
  <c r="D3" i="37"/>
  <c r="C39" i="43"/>
  <c r="C42" i="43"/>
  <c r="E42" i="43" s="1"/>
  <c r="C38" i="43"/>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F25" i="12"/>
  <c r="F22" i="69"/>
  <c r="F41" i="69" s="1"/>
  <c r="F24" i="67"/>
  <c r="C24" i="67" s="1"/>
  <c r="F22" i="11"/>
  <c r="F22" i="68"/>
  <c r="F24" i="15"/>
  <c r="C24" i="15" s="1"/>
  <c r="M27" i="15"/>
  <c r="M27" i="83"/>
  <c r="M27" i="82"/>
  <c r="F41" i="15"/>
  <c r="M27" i="67"/>
  <c r="C38" i="83" l="1"/>
  <c r="C29" i="83"/>
  <c r="C66" i="83"/>
  <c r="C60" i="83"/>
  <c r="Q66" i="82"/>
  <c r="Q57" i="82"/>
  <c r="Q61" i="82"/>
  <c r="Q74" i="82"/>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33" i="33"/>
  <c r="F38" i="6"/>
  <c r="G7" i="81"/>
  <c r="F1" i="82"/>
  <c r="Q52" i="82"/>
  <c r="Q73" i="82"/>
  <c r="Q60" i="82"/>
  <c r="Q36" i="43"/>
  <c r="M36" i="43"/>
  <c r="P36" i="43"/>
  <c r="O36" i="43"/>
  <c r="N36" i="43"/>
  <c r="C24" i="82"/>
  <c r="B118" i="9"/>
  <c r="L23" i="9"/>
  <c r="D14" i="71"/>
  <c r="C13"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M19" i="9"/>
  <c r="C118" i="9" s="1"/>
  <c r="D26" i="6"/>
  <c r="D8" i="6"/>
  <c r="D14" i="6"/>
  <c r="D6" i="6"/>
  <c r="D9" i="6"/>
  <c r="D10" i="6"/>
  <c r="L19" i="9"/>
  <c r="D29" i="6"/>
  <c r="C18" i="4"/>
  <c r="D23" i="6"/>
  <c r="D5" i="6"/>
  <c r="D12" i="6"/>
  <c r="D11" i="6"/>
  <c r="D13" i="6"/>
  <c r="D28" i="6"/>
  <c r="E61" i="40"/>
  <c r="P14"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C66" i="67"/>
  <c r="C60" i="67"/>
  <c r="D10" i="69"/>
  <c r="D10" i="68"/>
  <c r="AE7" i="1"/>
  <c r="C57" i="83" l="1"/>
  <c r="C64" i="83" s="1"/>
  <c r="Q49" i="83"/>
  <c r="C36" i="83"/>
  <c r="J14" i="83"/>
  <c r="C13" i="83"/>
  <c r="J59" i="83"/>
  <c r="J60" i="83" s="1"/>
  <c r="D30" i="6"/>
  <c r="B14" i="74"/>
  <c r="B1" i="74" s="1"/>
  <c r="C14" i="74"/>
  <c r="B2" i="74" s="1"/>
  <c r="C25" i="11"/>
  <c r="C22" i="11" s="1"/>
  <c r="C12" i="71"/>
  <c r="D13" i="71"/>
  <c r="C30" i="43"/>
  <c r="C31" i="43"/>
  <c r="E12" i="70"/>
  <c r="F34" i="11"/>
  <c r="F11" i="12"/>
  <c r="E9" i="70"/>
  <c r="AR9" i="1"/>
  <c r="AQ9" i="1"/>
  <c r="T9" i="1"/>
  <c r="AQ11" i="1"/>
  <c r="AR11" i="1"/>
  <c r="T11" i="1"/>
  <c r="AR12" i="1"/>
  <c r="T12" i="1"/>
  <c r="AQ12" i="1"/>
  <c r="AQ10" i="1"/>
  <c r="T10" i="1"/>
  <c r="AR10" i="1"/>
  <c r="D16" i="6"/>
  <c r="C10" i="69"/>
  <c r="C8" i="69" s="1"/>
  <c r="C5" i="69" s="1"/>
  <c r="D19" i="69"/>
  <c r="C4" i="52"/>
  <c r="B45" i="72" s="1"/>
  <c r="A10" i="51"/>
  <c r="B9" i="72" s="1"/>
  <c r="A7" i="51"/>
  <c r="B7" i="72" s="1"/>
  <c r="C10" i="68"/>
  <c r="B29" i="1" s="1"/>
  <c r="C8" i="68" s="1"/>
  <c r="D19" i="68"/>
  <c r="B2" i="43"/>
  <c r="H69" i="39"/>
  <c r="I67" i="39"/>
  <c r="G65" i="40"/>
  <c r="H63" i="40"/>
  <c r="C43" i="37"/>
  <c r="C42" i="37"/>
  <c r="I48" i="35"/>
  <c r="H58" i="21"/>
  <c r="E47" i="37"/>
  <c r="F47" i="37" s="1"/>
  <c r="E46" i="37"/>
  <c r="F46" i="37" s="1"/>
  <c r="I47" i="37"/>
  <c r="J47" i="37" s="1"/>
  <c r="J19" i="67"/>
  <c r="F41" i="83"/>
  <c r="F41" i="82"/>
  <c r="B6" i="76"/>
  <c r="F69" i="83" l="1"/>
  <c r="Q48" i="83"/>
  <c r="L46" i="83"/>
  <c r="J22" i="83"/>
  <c r="J13" i="83"/>
  <c r="J23" i="83" s="1"/>
  <c r="C75" i="83"/>
  <c r="Q70" i="83"/>
  <c r="C56" i="83"/>
  <c r="C65" i="83" s="1"/>
  <c r="C37" i="83"/>
  <c r="F69" i="82"/>
  <c r="C8" i="74"/>
  <c r="C7" i="74"/>
  <c r="D8" i="74"/>
  <c r="D7" i="74"/>
  <c r="C18" i="12"/>
  <c r="C11" i="71"/>
  <c r="T12" i="71"/>
  <c r="D12" i="71"/>
  <c r="U12" i="71" s="1"/>
  <c r="C36" i="11"/>
  <c r="C37" i="11"/>
  <c r="C23" i="12"/>
  <c r="C14" i="12"/>
  <c r="C19" i="68"/>
  <c r="D37" i="68"/>
  <c r="C37" i="68" s="1"/>
  <c r="C19" i="69"/>
  <c r="C24" i="69" s="1"/>
  <c r="D37" i="69"/>
  <c r="C37" i="69" s="1"/>
  <c r="C23" i="69"/>
  <c r="B2" i="76"/>
  <c r="I69" i="39"/>
  <c r="J67" i="39"/>
  <c r="I63" i="40"/>
  <c r="H65" i="40"/>
  <c r="I58" i="21"/>
  <c r="J58" i="21" s="1"/>
  <c r="K58" i="21" s="1"/>
  <c r="L58" i="21" s="1"/>
  <c r="M58" i="21" s="1"/>
  <c r="N58" i="21" s="1"/>
  <c r="O58" i="21" s="1"/>
  <c r="H7" i="21" s="1"/>
  <c r="J48" i="35"/>
  <c r="F7" i="21" l="1"/>
  <c r="S7" i="21" s="1"/>
  <c r="J7" i="21"/>
  <c r="C10" i="71"/>
  <c r="D11" i="71"/>
  <c r="C20" i="69"/>
  <c r="C24" i="68"/>
  <c r="J69" i="39"/>
  <c r="K67" i="39"/>
  <c r="U7" i="21"/>
  <c r="AB7" i="21"/>
  <c r="T48" i="21" s="1"/>
  <c r="G48" i="21" s="1"/>
  <c r="AA7" i="21"/>
  <c r="R48" i="21" s="1"/>
  <c r="J63" i="40"/>
  <c r="I65" i="40"/>
  <c r="K48" i="35"/>
  <c r="L48" i="35" s="1"/>
  <c r="M48" i="35" s="1"/>
  <c r="N48" i="35" s="1"/>
  <c r="O48" i="35" s="1"/>
  <c r="H7" i="35" s="1"/>
  <c r="AC7" i="21"/>
  <c r="V48" i="21" s="1"/>
  <c r="I48" i="21" s="1"/>
  <c r="W7" i="21"/>
  <c r="J7" i="35" l="1"/>
  <c r="W7" i="35" s="1"/>
  <c r="D10" i="71"/>
  <c r="C9" i="71"/>
  <c r="C61" i="67"/>
  <c r="C25" i="69"/>
  <c r="C22" i="69" s="1"/>
  <c r="L67" i="39"/>
  <c r="K69" i="39"/>
  <c r="AC7" i="35"/>
  <c r="V38" i="35" s="1"/>
  <c r="I38" i="35" s="1"/>
  <c r="J65" i="40"/>
  <c r="K63" i="40"/>
  <c r="I52" i="21"/>
  <c r="J52" i="21" s="1"/>
  <c r="U7" i="35"/>
  <c r="AB7" i="35"/>
  <c r="T38" i="35" s="1"/>
  <c r="G38" i="35" s="1"/>
  <c r="R49" i="21"/>
  <c r="E48" i="21"/>
  <c r="G52" i="21"/>
  <c r="H52" i="21" s="1"/>
  <c r="G53" i="21"/>
  <c r="H53" i="21" s="1"/>
  <c r="F7" i="35"/>
  <c r="C8" i="71" l="1"/>
  <c r="D9" i="71"/>
  <c r="L69" i="39"/>
  <c r="M67" i="39"/>
  <c r="S7" i="35"/>
  <c r="AA7" i="35"/>
  <c r="R38" i="35" s="1"/>
  <c r="C49" i="21"/>
  <c r="C48" i="21"/>
  <c r="E52" i="21"/>
  <c r="F52" i="21" s="1"/>
  <c r="E53" i="21"/>
  <c r="F53" i="21" s="1"/>
  <c r="G42" i="35"/>
  <c r="H42" i="35" s="1"/>
  <c r="G43" i="35"/>
  <c r="H43" i="35" s="1"/>
  <c r="I53" i="21"/>
  <c r="J53" i="21" s="1"/>
  <c r="K65" i="40"/>
  <c r="L63" i="40"/>
  <c r="I42" i="35"/>
  <c r="J42" i="35" s="1"/>
  <c r="C7" i="71" l="1"/>
  <c r="D8" i="71"/>
  <c r="M69" i="39"/>
  <c r="N67" i="39"/>
  <c r="R39" i="35"/>
  <c r="E38" i="35"/>
  <c r="M63" i="40"/>
  <c r="L65" i="40"/>
  <c r="D2" i="21"/>
  <c r="C6" i="71" l="1"/>
  <c r="D7" i="71"/>
  <c r="B2" i="21"/>
  <c r="B3" i="21" s="1"/>
  <c r="O67" i="39"/>
  <c r="O69" i="39" s="1"/>
  <c r="N69" i="39"/>
  <c r="F7" i="39"/>
  <c r="C39" i="35"/>
  <c r="C38" i="35"/>
  <c r="N63" i="40"/>
  <c r="M65" i="40"/>
  <c r="E43" i="35"/>
  <c r="F43" i="35" s="1"/>
  <c r="E42" i="35"/>
  <c r="F42" i="35" s="1"/>
  <c r="I43" i="35"/>
  <c r="J43" i="35" s="1"/>
  <c r="D2" i="33"/>
  <c r="D6" i="71" l="1"/>
  <c r="C5" i="71"/>
  <c r="D5" i="71" s="1"/>
  <c r="H7" i="39"/>
  <c r="J7" i="39"/>
  <c r="S7" i="39"/>
  <c r="AA7" i="39"/>
  <c r="R47" i="39" s="1"/>
  <c r="O63" i="40"/>
  <c r="O65" i="40" s="1"/>
  <c r="N65" i="40"/>
  <c r="D2" i="34"/>
  <c r="D2" i="35"/>
  <c r="D2" i="37"/>
  <c r="D2" i="36"/>
  <c r="M24" i="43" l="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8" i="1"/>
  <c r="AO11" i="1"/>
  <c r="AO12" i="1"/>
  <c r="AO10" i="1"/>
  <c r="AO9" i="1"/>
  <c r="Q66" i="15" l="1"/>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8" i="1" l="1"/>
  <c r="S8" i="1"/>
  <c r="C17" i="67"/>
  <c r="C14" i="67"/>
  <c r="C15" i="67" l="1"/>
  <c r="C18" i="67"/>
  <c r="C25" i="43"/>
  <c r="C33" i="43" s="1"/>
  <c r="C19" i="67" l="1"/>
  <c r="C20" i="67" s="1"/>
  <c r="C23" i="67" s="1"/>
  <c r="R10" i="1"/>
  <c r="R11" i="1"/>
  <c r="R12" i="1"/>
  <c r="R9" i="1"/>
  <c r="O6" i="1"/>
  <c r="T8" i="1"/>
  <c r="AR8" i="1"/>
  <c r="AQ8" i="1"/>
  <c r="E8" i="70"/>
  <c r="AP6" i="1"/>
  <c r="C36" i="69" s="1"/>
  <c r="C26" i="67" l="1"/>
  <c r="C29" i="67" s="1"/>
  <c r="C13" i="67" l="1"/>
  <c r="C56" i="67" s="1"/>
  <c r="C65" i="67" s="1"/>
  <c r="C33" i="67"/>
  <c r="C57" i="67"/>
  <c r="C64" i="67" s="1"/>
  <c r="Q49" i="67"/>
  <c r="C36" i="67"/>
  <c r="J14" i="67"/>
  <c r="J13" i="67" s="1"/>
  <c r="J23" i="67" s="1"/>
  <c r="J59" i="67"/>
  <c r="J60" i="67" s="1"/>
  <c r="J22" i="67"/>
  <c r="C37" i="67"/>
  <c r="Q70" i="67" l="1"/>
  <c r="C75" i="67"/>
  <c r="Q48" i="67"/>
  <c r="H38" i="6"/>
  <c r="H39" i="6"/>
  <c r="H5" i="81" s="1"/>
  <c r="H37" i="6"/>
  <c r="H3" i="81" s="1"/>
  <c r="U6" i="1" s="1"/>
  <c r="F19" i="6"/>
  <c r="F6" i="15"/>
  <c r="H4" i="81" l="1"/>
  <c r="F20" i="6"/>
  <c r="E20" i="6" s="1"/>
  <c r="E19" i="6"/>
  <c r="J33" i="33"/>
  <c r="F33" i="33"/>
  <c r="H33" i="33"/>
  <c r="K7" i="1" l="1"/>
  <c r="D20" i="6"/>
  <c r="F27" i="6"/>
  <c r="D33" i="43" s="1"/>
  <c r="S33" i="33"/>
  <c r="AA33" i="33"/>
  <c r="R48" i="33" s="1"/>
  <c r="E27" i="6"/>
  <c r="D19" i="6"/>
  <c r="K19" i="6"/>
  <c r="K6" i="1"/>
  <c r="U33" i="33"/>
  <c r="AB33" i="33"/>
  <c r="T48" i="33" s="1"/>
  <c r="G48" i="33" s="1"/>
  <c r="W33" i="33"/>
  <c r="AC33" i="33"/>
  <c r="V48" i="33" s="1"/>
  <c r="I48" i="33" s="1"/>
  <c r="F31" i="6"/>
  <c r="M29" i="82"/>
  <c r="F7" i="82"/>
  <c r="M29" i="15"/>
  <c r="F43" i="15"/>
  <c r="F7" i="15"/>
  <c r="F43" i="82"/>
  <c r="F50" i="15" l="1"/>
  <c r="C49" i="15" s="1"/>
  <c r="M7" i="15"/>
  <c r="J6" i="15" s="1"/>
  <c r="C6" i="15"/>
  <c r="F71" i="15"/>
  <c r="F71" i="82"/>
  <c r="M7" i="82"/>
  <c r="J6" i="82" s="1"/>
  <c r="F50" i="82"/>
  <c r="C49" i="82" s="1"/>
  <c r="C6" i="82"/>
  <c r="M7" i="1"/>
  <c r="I52" i="33"/>
  <c r="J52" i="33" s="1"/>
  <c r="K16" i="1"/>
  <c r="H16" i="1"/>
  <c r="M6" i="1"/>
  <c r="C34" i="69"/>
  <c r="G16" i="1"/>
  <c r="Q16" i="1"/>
  <c r="D27" i="6"/>
  <c r="D31" i="6" s="1"/>
  <c r="K25" i="6"/>
  <c r="M25" i="6" s="1"/>
  <c r="I25" i="6" s="1"/>
  <c r="K24" i="6"/>
  <c r="M24" i="6" s="1"/>
  <c r="I24" i="6" s="1"/>
  <c r="E31" i="6"/>
  <c r="I5" i="6" s="1"/>
  <c r="K23" i="6"/>
  <c r="M23" i="6" s="1"/>
  <c r="I23" i="6" s="1"/>
  <c r="K20" i="6"/>
  <c r="K26" i="6"/>
  <c r="M26" i="6" s="1"/>
  <c r="I26" i="6" s="1"/>
  <c r="K22" i="6"/>
  <c r="M22" i="6" s="1"/>
  <c r="I22" i="6" s="1"/>
  <c r="K21" i="6"/>
  <c r="M21" i="6" s="1"/>
  <c r="I21" i="6" s="1"/>
  <c r="I6" i="6"/>
  <c r="G3" i="43" s="1"/>
  <c r="G52" i="33"/>
  <c r="H52" i="33" s="1"/>
  <c r="G53" i="33"/>
  <c r="H53" i="33" s="1"/>
  <c r="E33" i="43"/>
  <c r="C6" i="68" s="1"/>
  <c r="D1" i="43"/>
  <c r="S6" i="1"/>
  <c r="M19" i="6"/>
  <c r="E48" i="33"/>
  <c r="R49" i="33"/>
  <c r="C16" i="82"/>
  <c r="C17" i="15"/>
  <c r="C16" i="15"/>
  <c r="C33" i="82" l="1"/>
  <c r="C32" i="82"/>
  <c r="C10" i="82"/>
  <c r="C5" i="82" s="1"/>
  <c r="C38" i="82" s="1"/>
  <c r="J19" i="82"/>
  <c r="J18" i="82"/>
  <c r="J10" i="82"/>
  <c r="J5" i="82" s="1"/>
  <c r="J18" i="15"/>
  <c r="J10" i="15"/>
  <c r="J5" i="15" s="1"/>
  <c r="J24" i="15" s="1"/>
  <c r="J19" i="15"/>
  <c r="K27" i="6"/>
  <c r="O7" i="1"/>
  <c r="C61" i="82"/>
  <c r="C48" i="82"/>
  <c r="C32" i="15"/>
  <c r="C10" i="15"/>
  <c r="C5" i="15" s="1"/>
  <c r="C38" i="15" s="1"/>
  <c r="C33" i="15"/>
  <c r="C48" i="15"/>
  <c r="C61" i="15"/>
  <c r="AR6" i="1"/>
  <c r="AQ6" i="1"/>
  <c r="T6" i="1"/>
  <c r="B3" i="43"/>
  <c r="N370" i="46"/>
  <c r="J26" i="43"/>
  <c r="N94" i="46"/>
  <c r="G26" i="43"/>
  <c r="Z7" i="43"/>
  <c r="H26" i="43"/>
  <c r="B116" i="43"/>
  <c r="E26" i="43"/>
  <c r="F26" i="43"/>
  <c r="S22" i="6"/>
  <c r="H22" i="6"/>
  <c r="R22" i="6" s="1"/>
  <c r="M20" i="6"/>
  <c r="I20" i="6" s="1"/>
  <c r="S7" i="1"/>
  <c r="S25" i="6"/>
  <c r="H25" i="6"/>
  <c r="R25" i="6" s="1"/>
  <c r="F10" i="40"/>
  <c r="J10" i="39"/>
  <c r="H10" i="40"/>
  <c r="J10" i="40"/>
  <c r="H10" i="39"/>
  <c r="F10" i="39"/>
  <c r="M16" i="1"/>
  <c r="E6" i="70"/>
  <c r="E52" i="33"/>
  <c r="F52" i="33" s="1"/>
  <c r="E53" i="33"/>
  <c r="F53" i="33" s="1"/>
  <c r="C48" i="33"/>
  <c r="C49" i="33"/>
  <c r="M27" i="6"/>
  <c r="I19" i="6"/>
  <c r="C7" i="68"/>
  <c r="C5" i="68" s="1"/>
  <c r="H21" i="6"/>
  <c r="R21" i="6" s="1"/>
  <c r="S21" i="6"/>
  <c r="S26" i="6"/>
  <c r="H26" i="6"/>
  <c r="R26" i="6" s="1"/>
  <c r="H23" i="6"/>
  <c r="R23" i="6" s="1"/>
  <c r="S23" i="6"/>
  <c r="S24" i="6"/>
  <c r="H24" i="6"/>
  <c r="R24" i="6" s="1"/>
  <c r="F28" i="12"/>
  <c r="F27" i="11"/>
  <c r="F27" i="68"/>
  <c r="F27" i="69"/>
  <c r="C35" i="69"/>
  <c r="C38" i="69"/>
  <c r="I53" i="33"/>
  <c r="J53" i="33" s="1"/>
  <c r="C14" i="15"/>
  <c r="C17" i="82"/>
  <c r="C18" i="15" l="1"/>
  <c r="C15" i="15"/>
  <c r="S16" i="1"/>
  <c r="E7" i="70"/>
  <c r="E2" i="70" s="1"/>
  <c r="J24" i="82"/>
  <c r="J26" i="82"/>
  <c r="J29" i="82" s="1"/>
  <c r="C66" i="15"/>
  <c r="C60" i="15"/>
  <c r="C66" i="82"/>
  <c r="C60" i="82"/>
  <c r="P7" i="1"/>
  <c r="P16" i="1" s="1"/>
  <c r="C11" i="12" s="1"/>
  <c r="O16" i="1"/>
  <c r="C33" i="69"/>
  <c r="C39" i="69" s="1"/>
  <c r="C43" i="69" s="1"/>
  <c r="D26" i="43"/>
  <c r="C29" i="12"/>
  <c r="D28" i="12" s="1"/>
  <c r="C20" i="68"/>
  <c r="C25" i="68" s="1"/>
  <c r="C23" i="68"/>
  <c r="C28" i="68"/>
  <c r="C27" i="68" s="1"/>
  <c r="C34" i="11"/>
  <c r="L16" i="1"/>
  <c r="C34" i="68"/>
  <c r="W10" i="40"/>
  <c r="AC10" i="40"/>
  <c r="T7" i="1"/>
  <c r="AQ7" i="1"/>
  <c r="AR7" i="1"/>
  <c r="B119" i="43"/>
  <c r="C119" i="43" s="1"/>
  <c r="B118" i="43"/>
  <c r="B121" i="43"/>
  <c r="C121" i="43" s="1"/>
  <c r="B120" i="43"/>
  <c r="C120" i="43" s="1"/>
  <c r="D118" i="43"/>
  <c r="E118" i="43" s="1"/>
  <c r="F118" i="43" s="1"/>
  <c r="G118" i="43" s="1"/>
  <c r="H118" i="43" s="1"/>
  <c r="I118" i="43"/>
  <c r="J118" i="43" s="1"/>
  <c r="K118" i="43" s="1"/>
  <c r="L118" i="43" s="1"/>
  <c r="M118" i="43" s="1"/>
  <c r="I119" i="43"/>
  <c r="J119" i="43" s="1"/>
  <c r="K119" i="43" s="1"/>
  <c r="L119" i="43" s="1"/>
  <c r="M119" i="43" s="1"/>
  <c r="D120" i="43"/>
  <c r="E120" i="43" s="1"/>
  <c r="F120" i="43" s="1"/>
  <c r="G120" i="43" s="1"/>
  <c r="H120" i="43" s="1"/>
  <c r="I122" i="43"/>
  <c r="J122" i="43" s="1"/>
  <c r="K122" i="43" s="1"/>
  <c r="L122" i="43" s="1"/>
  <c r="M122" i="43" s="1"/>
  <c r="B122" i="43"/>
  <c r="C122" i="43" s="1"/>
  <c r="I120" i="43"/>
  <c r="J120" i="43" s="1"/>
  <c r="K120" i="43" s="1"/>
  <c r="L120" i="43" s="1"/>
  <c r="M120" i="43" s="1"/>
  <c r="I121" i="43"/>
  <c r="J121" i="43" s="1"/>
  <c r="K121" i="43" s="1"/>
  <c r="L121" i="43" s="1"/>
  <c r="M121" i="43" s="1"/>
  <c r="D122" i="43"/>
  <c r="E122" i="43" s="1"/>
  <c r="F122" i="43" s="1"/>
  <c r="G122" i="43" s="1"/>
  <c r="H122" i="43" s="1"/>
  <c r="D121" i="43"/>
  <c r="E121" i="43" s="1"/>
  <c r="F121" i="43" s="1"/>
  <c r="G121" i="43"/>
  <c r="H121" i="43" s="1"/>
  <c r="D119" i="43"/>
  <c r="E119" i="43" s="1"/>
  <c r="F119" i="43" s="1"/>
  <c r="G119" i="43" s="1"/>
  <c r="H119" i="43" s="1"/>
  <c r="T16" i="1"/>
  <c r="C29" i="68"/>
  <c r="D27" i="68" s="1"/>
  <c r="F45" i="68"/>
  <c r="C47" i="68"/>
  <c r="D45" i="68" s="1"/>
  <c r="AA10" i="39"/>
  <c r="S10" i="39"/>
  <c r="AC10" i="39"/>
  <c r="W10" i="39"/>
  <c r="C28" i="69"/>
  <c r="C27" i="69" s="1"/>
  <c r="F45" i="69"/>
  <c r="C29" i="69"/>
  <c r="D27" i="69" s="1"/>
  <c r="C47" i="69"/>
  <c r="D45" i="69" s="1"/>
  <c r="C28" i="11"/>
  <c r="C27" i="11" s="1"/>
  <c r="C47" i="11"/>
  <c r="D45" i="11" s="1"/>
  <c r="C29" i="11"/>
  <c r="D27" i="11" s="1"/>
  <c r="I27" i="6"/>
  <c r="H19" i="6"/>
  <c r="S19" i="6"/>
  <c r="B3" i="33"/>
  <c r="B2" i="33"/>
  <c r="N16" i="1"/>
  <c r="AB10" i="39"/>
  <c r="U10" i="39"/>
  <c r="U10" i="40"/>
  <c r="AB10" i="40"/>
  <c r="AA10" i="40"/>
  <c r="S10" i="40"/>
  <c r="S20" i="6"/>
  <c r="H20" i="6"/>
  <c r="R20" i="6" s="1"/>
  <c r="R7" i="1" s="1"/>
  <c r="M21" i="82"/>
  <c r="C19" i="9"/>
  <c r="C20" i="9"/>
  <c r="C14" i="82"/>
  <c r="F35" i="82"/>
  <c r="G18" i="82" l="1"/>
  <c r="C18" i="82"/>
  <c r="C19" i="15"/>
  <c r="C20" i="15" s="1"/>
  <c r="C26" i="15" s="1"/>
  <c r="C15" i="82"/>
  <c r="C15" i="12"/>
  <c r="C12" i="12"/>
  <c r="C34" i="82"/>
  <c r="C31" i="82" s="1"/>
  <c r="F63" i="82"/>
  <c r="C62" i="82" s="1"/>
  <c r="C59" i="82" s="1"/>
  <c r="J20" i="82"/>
  <c r="J17" i="82" s="1"/>
  <c r="C42" i="69"/>
  <c r="C41" i="69" s="1"/>
  <c r="C22" i="68"/>
  <c r="C31" i="68" s="1"/>
  <c r="S27" i="6"/>
  <c r="C102" i="9"/>
  <c r="C21" i="9"/>
  <c r="C103" i="9"/>
  <c r="F50" i="68"/>
  <c r="F50" i="11"/>
  <c r="F50" i="69"/>
  <c r="H27" i="6"/>
  <c r="R19" i="6"/>
  <c r="C38" i="68"/>
  <c r="C35" i="68"/>
  <c r="D116" i="43"/>
  <c r="C118" i="43"/>
  <c r="C31" i="11"/>
  <c r="C31" i="69"/>
  <c r="C35" i="11"/>
  <c r="C38" i="11"/>
  <c r="C46" i="69"/>
  <c r="C45" i="69" s="1"/>
  <c r="E6" i="76"/>
  <c r="C16" i="12" l="1"/>
  <c r="C21" i="12" s="1"/>
  <c r="C19" i="82"/>
  <c r="C23" i="15"/>
  <c r="C29" i="15" s="1"/>
  <c r="C20" i="82"/>
  <c r="C26" i="82" s="1"/>
  <c r="C22" i="12"/>
  <c r="C33" i="11"/>
  <c r="C42" i="11" s="1"/>
  <c r="C49" i="69"/>
  <c r="C51" i="69" s="1"/>
  <c r="C33" i="68"/>
  <c r="C42" i="68" s="1"/>
  <c r="E2" i="76"/>
  <c r="B3" i="76" s="1"/>
  <c r="C39" i="11"/>
  <c r="C43" i="11" s="1"/>
  <c r="C52" i="69"/>
  <c r="B2" i="69" s="1"/>
  <c r="B3" i="69" s="1"/>
  <c r="R27" i="6"/>
  <c r="R6" i="1"/>
  <c r="F35" i="67"/>
  <c r="F35" i="83"/>
  <c r="M21" i="15"/>
  <c r="M21" i="83"/>
  <c r="F35" i="15"/>
  <c r="M21" i="67"/>
  <c r="J20" i="83" l="1"/>
  <c r="J17" i="83" s="1"/>
  <c r="J16" i="83" s="1"/>
  <c r="J25" i="83" s="1"/>
  <c r="J26" i="83" s="1"/>
  <c r="J29" i="83" s="1"/>
  <c r="F63" i="83"/>
  <c r="C62" i="83" s="1"/>
  <c r="C59" i="83" s="1"/>
  <c r="C58" i="83" s="1"/>
  <c r="C67" i="83" s="1"/>
  <c r="C68" i="83" s="1"/>
  <c r="C34" i="83"/>
  <c r="C31" i="83" s="1"/>
  <c r="C30" i="83" s="1"/>
  <c r="C39" i="83" s="1"/>
  <c r="F63" i="67"/>
  <c r="C62" i="67" s="1"/>
  <c r="C59" i="67" s="1"/>
  <c r="C58" i="67" s="1"/>
  <c r="C67" i="67" s="1"/>
  <c r="C68" i="67" s="1"/>
  <c r="C34" i="67"/>
  <c r="C31" i="67" s="1"/>
  <c r="C30" i="67" s="1"/>
  <c r="C39" i="67" s="1"/>
  <c r="J20" i="67"/>
  <c r="J17" i="67" s="1"/>
  <c r="J16" i="67" s="1"/>
  <c r="J25" i="67" s="1"/>
  <c r="J26" i="67" s="1"/>
  <c r="J29" i="67" s="1"/>
  <c r="C57" i="15"/>
  <c r="C64" i="15" s="1"/>
  <c r="J59" i="15"/>
  <c r="J60" i="15" s="1"/>
  <c r="C30" i="12"/>
  <c r="C28" i="12" s="1"/>
  <c r="C27" i="12"/>
  <c r="C25" i="12" s="1"/>
  <c r="C36" i="15"/>
  <c r="J14" i="15"/>
  <c r="J13" i="15" s="1"/>
  <c r="J23" i="15" s="1"/>
  <c r="C13" i="15"/>
  <c r="C56" i="15" s="1"/>
  <c r="C65" i="15" s="1"/>
  <c r="Q49" i="15"/>
  <c r="C23" i="82"/>
  <c r="C29" i="82" s="1"/>
  <c r="J59" i="82" s="1"/>
  <c r="J60" i="82" s="1"/>
  <c r="J20" i="15"/>
  <c r="J17" i="15" s="1"/>
  <c r="F63" i="15"/>
  <c r="C62" i="15" s="1"/>
  <c r="C59" i="15" s="1"/>
  <c r="C34" i="15"/>
  <c r="C31" i="15" s="1"/>
  <c r="R16" i="1"/>
  <c r="C39" i="68"/>
  <c r="C43" i="68" s="1"/>
  <c r="C41" i="68" s="1"/>
  <c r="C41" i="11"/>
  <c r="C46" i="11"/>
  <c r="C45" i="11" s="1"/>
  <c r="C57" i="69"/>
  <c r="C56" i="69" s="1"/>
  <c r="L51" i="67"/>
  <c r="C71" i="83" l="1"/>
  <c r="C40" i="83"/>
  <c r="Q69" i="83"/>
  <c r="Q68" i="83" s="1"/>
  <c r="C80" i="83"/>
  <c r="C79" i="83" s="1"/>
  <c r="Q67" i="67"/>
  <c r="L57" i="67"/>
  <c r="L60" i="67" s="1"/>
  <c r="C80" i="67"/>
  <c r="C79" i="67" s="1"/>
  <c r="Q69" i="67"/>
  <c r="Q68" i="67" s="1"/>
  <c r="C40" i="67"/>
  <c r="C71" i="67"/>
  <c r="Q48" i="82"/>
  <c r="L46" i="82"/>
  <c r="Q48" i="15"/>
  <c r="L46" i="15"/>
  <c r="Q70" i="15"/>
  <c r="J22" i="15"/>
  <c r="J16" i="15" s="1"/>
  <c r="J25" i="15" s="1"/>
  <c r="J26" i="15" s="1"/>
  <c r="J29" i="15" s="1"/>
  <c r="C32" i="12"/>
  <c r="B2" i="12" s="1"/>
  <c r="B3" i="12" s="1"/>
  <c r="C37" i="15"/>
  <c r="C30" i="15" s="1"/>
  <c r="C39" i="15" s="1"/>
  <c r="C58" i="15"/>
  <c r="C67" i="15" s="1"/>
  <c r="C68" i="15" s="1"/>
  <c r="C71" i="15" s="1"/>
  <c r="C75" i="15"/>
  <c r="C57" i="82"/>
  <c r="C64" i="82" s="1"/>
  <c r="C13" i="82"/>
  <c r="Q49" i="82"/>
  <c r="C36" i="82"/>
  <c r="J14" i="82"/>
  <c r="C49" i="11"/>
  <c r="C51" i="11" s="1"/>
  <c r="C52" i="11" s="1"/>
  <c r="B2" i="11" s="1"/>
  <c r="B3" i="11" s="1"/>
  <c r="C46" i="68"/>
  <c r="C45" i="68" s="1"/>
  <c r="C49" i="68" s="1"/>
  <c r="C51" i="68" s="1"/>
  <c r="L51" i="83"/>
  <c r="L51" i="15"/>
  <c r="C45" i="67" l="1"/>
  <c r="C46" i="67" s="1"/>
  <c r="I35" i="67"/>
  <c r="Q67" i="83"/>
  <c r="Q47" i="83"/>
  <c r="Q53" i="83" s="1"/>
  <c r="C43" i="83"/>
  <c r="Q65" i="83"/>
  <c r="Q75" i="83" s="1"/>
  <c r="Q56" i="83"/>
  <c r="Q62" i="83" s="1"/>
  <c r="D2" i="83"/>
  <c r="C83" i="83"/>
  <c r="C82" i="83" s="1"/>
  <c r="C45" i="83"/>
  <c r="C46" i="83" s="1"/>
  <c r="Q57" i="67"/>
  <c r="L46" i="67"/>
  <c r="D2" i="67" s="1"/>
  <c r="Q66" i="67"/>
  <c r="Q65" i="67"/>
  <c r="C83" i="67"/>
  <c r="C82" i="67" s="1"/>
  <c r="Q47" i="67"/>
  <c r="Q53" i="67" s="1"/>
  <c r="C43" i="67"/>
  <c r="Q56" i="67"/>
  <c r="Q67" i="15"/>
  <c r="C40" i="15"/>
  <c r="Q69" i="15"/>
  <c r="Q68" i="15" s="1"/>
  <c r="C80" i="15"/>
  <c r="C79" i="15" s="1"/>
  <c r="Q70" i="82"/>
  <c r="C37" i="82"/>
  <c r="C30" i="82" s="1"/>
  <c r="C39" i="82" s="1"/>
  <c r="C75" i="82"/>
  <c r="C56" i="82"/>
  <c r="C65" i="82" s="1"/>
  <c r="C58" i="82" s="1"/>
  <c r="C67" i="82" s="1"/>
  <c r="C68" i="82" s="1"/>
  <c r="C71" i="82" s="1"/>
  <c r="J22" i="82"/>
  <c r="J13" i="82"/>
  <c r="J23" i="82" s="1"/>
  <c r="C52" i="68"/>
  <c r="B2" i="68" s="1"/>
  <c r="B3" i="68" s="1"/>
  <c r="C56" i="11"/>
  <c r="C57" i="11" s="1"/>
  <c r="B2" i="83" l="1"/>
  <c r="B3" i="83"/>
  <c r="Q62" i="67"/>
  <c r="Q75" i="67"/>
  <c r="B3" i="67"/>
  <c r="B2" i="67"/>
  <c r="Q47" i="15"/>
  <c r="Q53" i="15" s="1"/>
  <c r="I1" i="15"/>
  <c r="B2" i="15"/>
  <c r="Q65" i="15"/>
  <c r="Q75" i="15" s="1"/>
  <c r="C83" i="15"/>
  <c r="C82" i="15" s="1"/>
  <c r="C46" i="15"/>
  <c r="Q56" i="15"/>
  <c r="Q62" i="15" s="1"/>
  <c r="C43" i="15"/>
  <c r="J16" i="82"/>
  <c r="J25" i="82" s="1"/>
  <c r="Q69" i="82"/>
  <c r="Q68" i="82" s="1"/>
  <c r="C40" i="82"/>
  <c r="C80" i="82"/>
  <c r="C79" i="82" s="1"/>
  <c r="B3" i="15"/>
  <c r="C57" i="68"/>
  <c r="C56" i="68" s="1"/>
  <c r="AO6" i="1"/>
  <c r="L51" i="82"/>
  <c r="B6" i="70" l="1"/>
  <c r="Q67" i="82"/>
  <c r="C46" i="82"/>
  <c r="Q47" i="82"/>
  <c r="Q53" i="82" s="1"/>
  <c r="C43" i="82"/>
  <c r="Q56" i="82"/>
  <c r="Q62" i="82" s="1"/>
  <c r="Q65" i="82"/>
  <c r="Q75" i="82" s="1"/>
  <c r="B2" i="82"/>
  <c r="C83" i="82"/>
  <c r="C82" i="82" s="1"/>
  <c r="AO7" i="1"/>
  <c r="B7" i="70" l="1"/>
  <c r="B2" i="70" s="1"/>
  <c r="B3" i="82"/>
  <c r="D19" i="9"/>
  <c r="D102" i="9" l="1"/>
  <c r="G19" i="9"/>
  <c r="G21" i="9" s="1"/>
  <c r="D21" i="9"/>
  <c r="D22" i="9"/>
  <c r="B3" i="70"/>
  <c r="D20" i="9"/>
  <c r="D103" i="9" l="1"/>
  <c r="G20" i="9"/>
  <c r="N28" i="1" s="1"/>
  <c r="C32" i="9" l="1"/>
  <c r="C35" i="9" l="1"/>
  <c r="C34" i="9" s="1"/>
  <c r="F118" i="9" l="1"/>
  <c r="F4" i="52" s="1"/>
  <c r="B51" i="72" s="1"/>
  <c r="G118" i="9" l="1"/>
  <c r="D118" i="9"/>
  <c r="F119" i="9"/>
  <c r="F5" i="52" s="1"/>
  <c r="B53" i="72" s="1"/>
  <c r="G4" i="52" l="1"/>
  <c r="B52" i="72" s="1"/>
  <c r="D119" i="9"/>
  <c r="D5" i="52" s="1"/>
  <c r="B49" i="72" s="1"/>
  <c r="D4" i="52"/>
  <c r="B47" i="72" s="1"/>
  <c r="H118" i="9"/>
  <c r="I118" i="9" s="1"/>
  <c r="C104" i="9" l="1"/>
  <c r="H4" i="52"/>
  <c r="H119" i="9"/>
  <c r="H5" i="52" s="1"/>
  <c r="D14" i="74"/>
  <c r="H102" i="9"/>
  <c r="E14" i="74"/>
  <c r="C105" i="9"/>
  <c r="E118" i="9"/>
  <c r="E4" i="52" s="1"/>
  <c r="B48" i="72" s="1"/>
  <c r="I4" i="52"/>
  <c r="H101" i="9"/>
  <c r="F14" i="74" l="1"/>
  <c r="B5" i="74"/>
  <c r="D5" i="74" s="1"/>
  <c r="D7" i="53"/>
  <c r="B21" i="72" s="1"/>
  <c r="D5" i="53"/>
  <c r="M48" i="9"/>
  <c r="H107" i="9"/>
  <c r="D45" i="9"/>
  <c r="C5" i="74" l="1"/>
  <c r="M49" i="9"/>
  <c r="D122" i="9"/>
  <c r="D13" i="53"/>
  <c r="H108" i="9"/>
  <c r="D15" i="53" s="1"/>
  <c r="B31" i="72" s="1"/>
  <c r="D6" i="53"/>
  <c r="B22" i="72" s="1"/>
  <c r="B20" i="72"/>
  <c r="D55" i="9"/>
  <c r="M53" i="9" s="1"/>
  <c r="C85" i="9"/>
  <c r="C78" i="9"/>
  <c r="C73" i="9" s="1"/>
  <c r="D53" i="9"/>
  <c r="C93" i="9"/>
  <c r="C86" i="9" s="1"/>
  <c r="C64" i="9"/>
  <c r="C63" i="9" s="1"/>
  <c r="C67" i="9" s="1"/>
  <c r="C72" i="9"/>
  <c r="C79" i="9" s="1"/>
  <c r="D52" i="9"/>
  <c r="C80" i="9" l="1"/>
  <c r="E80" i="9" s="1"/>
  <c r="E81" i="9" s="1"/>
  <c r="D14" i="53"/>
  <c r="B32" i="72" s="1"/>
  <c r="B30" i="72"/>
  <c r="L63" i="9"/>
  <c r="M63" i="9" s="1"/>
  <c r="L64" i="9"/>
  <c r="M64" i="9" s="1"/>
  <c r="L65" i="9"/>
  <c r="M65" i="9" s="1"/>
  <c r="L66" i="9"/>
  <c r="M66" i="9" s="1"/>
  <c r="L67" i="9"/>
  <c r="M67" i="9" s="1"/>
  <c r="L68" i="9"/>
  <c r="M68" i="9" s="1"/>
  <c r="D59" i="9"/>
  <c r="M55" i="9" s="1"/>
  <c r="C68" i="9"/>
  <c r="D54" i="9" s="1"/>
  <c r="C95" i="9"/>
  <c r="D123" i="9"/>
  <c r="D9" i="52" s="1"/>
  <c r="G14" i="74"/>
  <c r="B6" i="74" s="1"/>
  <c r="D8" i="52"/>
  <c r="C81" i="9" l="1"/>
  <c r="M69" i="9"/>
  <c r="N69" i="9" s="1"/>
  <c r="C6" i="74"/>
  <c r="D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<sst xmlns="http://schemas.openxmlformats.org/spreadsheetml/2006/main" count="8824" uniqueCount="3515">
  <si>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</si>
  <si>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</si>
  <si>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</si>
  <si>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</si>
  <si>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</si>
  <si>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</si>
  <si>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</si>
  <si>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</si>
  <si>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</si>
  <si>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</si>
  <si>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</si>
  <si>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</si>
  <si>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</si>
  <si>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</si>
  <si>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</si>
  <si>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</si>
  <si>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</si>
  <si>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</si>
  <si>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</si>
  <si>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</si>
  <si>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</si>
  <si>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</si>
  <si>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</si>
  <si>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</si>
  <si>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</si>
  <si>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</si>
  <si>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</si>
  <si>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</si>
  <si>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</si>
  <si>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</si>
  <si>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</si>
  <si>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</si>
  <si>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</si>
  <si>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</si>
  <si>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</si>
  <si>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</si>
  <si>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</si>
  <si>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</si>
  <si>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</si>
  <si>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</si>
  <si>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</si>
  <si>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</si>
  <si>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</si>
  <si>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</si>
  <si>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</si>
  <si>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</si>
  <si>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</si>
  <si>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</si>
  <si>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</si>
  <si>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</si>
  <si>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</si>
  <si>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</si>
  <si>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</si>
  <si>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</si>
  <si>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</si>
  <si>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</si>
  <si>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</si>
  <si>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</si>
  <si>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</si>
  <si>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</si>
  <si>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</si>
  <si>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</si>
  <si>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</si>
  <si>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</si>
  <si>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</si>
  <si>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</si>
  <si>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</si>
  <si>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</si>
  <si>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</si>
  <si>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</si>
  <si>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</si>
  <si>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</si>
  <si>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</si>
  <si>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</si>
  <si>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</si>
  <si>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</si>
  <si>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</si>
  <si>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</si>
  <si>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</si>
  <si>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</si>
  <si>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</si>
  <si>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</si>
  <si>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</si>
  <si>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</si>
  <si>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</si>
  <si>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</si>
  <si>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</si>
  <si>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</si>
  <si>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</si>
  <si>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</si>
  <si>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</si>
  <si>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</si>
  <si>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</si>
  <si>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</si>
  <si>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</si>
  <si>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</si>
  <si>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</si>
  <si>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</si>
  <si>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</si>
  <si>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</si>
  <si>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</si>
  <si>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</si>
  <si>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</si>
  <si>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</si>
  <si>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</si>
  <si>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</si>
  <si>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</si>
  <si>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</si>
  <si>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</si>
  <si>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</si>
  <si>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</si>
  <si>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</si>
  <si>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</si>
  <si>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</si>
  <si>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</si>
  <si>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</si>
  <si>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</si>
  <si>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</si>
  <si>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</si>
  <si>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</si>
  <si>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</si>
  <si>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</si>
  <si>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</si>
  <si>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</si>
  <si>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</si>
  <si>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</si>
  <si>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</si>
  <si>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</si>
  <si>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</si>
  <si>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</si>
  <si>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</si>
  <si>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</si>
  <si>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</si>
  <si>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</si>
  <si>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</si>
  <si>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</si>
  <si>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</si>
  <si>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</si>
  <si>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</si>
  <si>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</si>
  <si>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</si>
  <si>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</si>
  <si>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</si>
  <si>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</si>
  <si>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</si>
  <si>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</si>
  <si>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</si>
  <si>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</si>
  <si>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</si>
  <si>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</si>
  <si>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</si>
  <si>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</si>
  <si>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</si>
  <si>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</si>
  <si>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</si>
  <si>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</si>
  <si>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</si>
  <si>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</si>
  <si>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</si>
  <si>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</si>
  <si>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</si>
  <si>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</si>
  <si>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</si>
  <si>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</si>
  <si>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</si>
  <si>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</si>
  <si>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</si>
  <si>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</si>
  <si>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</si>
  <si>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</si>
  <si>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</si>
  <si>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</si>
  <si>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</si>
  <si>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</si>
  <si>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</si>
  <si>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</si>
  <si>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</si>
  <si>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</si>
  <si>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</si>
  <si>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</si>
  <si>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</si>
  <si>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</si>
  <si>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</si>
  <si>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</si>
  <si>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</si>
  <si>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</si>
  <si>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</si>
  <si>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</si>
  <si>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</si>
  <si>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</si>
  <si>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</si>
  <si>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</si>
  <si>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</si>
  <si>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</si>
  <si>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</si>
  <si>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</si>
  <si>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</si>
  <si>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</si>
  <si>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</si>
  <si>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</si>
  <si>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</si>
  <si>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</si>
  <si>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</si>
  <si>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</si>
  <si>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</si>
  <si>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</si>
  <si>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</si>
  <si>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</si>
  <si>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</si>
  <si>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</si>
  <si>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</si>
  <si>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</si>
  <si>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</si>
  <si>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</si>
  <si>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</si>
  <si>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</si>
  <si>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</si>
  <si>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</si>
  <si>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</si>
  <si>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</si>
  <si>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</si>
  <si>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</si>
  <si>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</si>
  <si>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</si>
  <si>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</si>
  <si>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</si>
  <si>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</si>
  <si>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</si>
  <si>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</si>
  <si>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</si>
  <si>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</si>
  <si>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</si>
  <si>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</si>
  <si>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</si>
  <si>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</si>
  <si>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</si>
  <si>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</si>
  <si>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</si>
  <si>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</si>
  <si>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</si>
  <si>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</si>
  <si>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</si>
  <si>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</si>
  <si>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</si>
  <si>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</si>
  <si>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</si>
  <si>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</si>
  <si>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</si>
  <si>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</si>
  <si>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</si>
  <si>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</si>
  <si>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</si>
  <si>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</si>
  <si>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</si>
  <si>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</si>
  <si>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</si>
  <si>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</si>
  <si>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</si>
  <si>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</si>
  <si>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</si>
  <si>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</si>
  <si>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</si>
  <si>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</si>
  <si>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</si>
  <si>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</si>
  <si>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</si>
  <si>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</si>
  <si>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</si>
  <si>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</si>
  <si>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</si>
  <si>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</si>
  <si>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</si>
  <si>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</si>
  <si>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</si>
  <si>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</si>
  <si>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</si>
  <si>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</si>
  <si>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</si>
  <si>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</si>
  <si>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</si>
  <si>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</si>
  <si>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</si>
  <si>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</si>
  <si>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</si>
  <si>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</si>
  <si>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</si>
  <si>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</si>
  <si>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</si>
  <si>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</si>
  <si>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</si>
  <si>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</si>
  <si>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</si>
  <si>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</si>
  <si>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</si>
  <si>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</si>
  <si>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</si>
  <si>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</si>
  <si>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</si>
  <si>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</si>
  <si>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</si>
  <si>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</si>
  <si>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</si>
  <si>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</si>
  <si>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</si>
  <si>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</si>
  <si>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</si>
  <si>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</si>
  <si>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</si>
  <si>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</si>
  <si>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</si>
  <si>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</si>
  <si>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</si>
  <si>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</si>
  <si>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</si>
  <si>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</si>
  <si>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</si>
  <si>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</si>
  <si>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</si>
  <si>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</si>
  <si>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</si>
  <si>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</si>
  <si>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</si>
  <si>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</si>
  <si>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</si>
  <si>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</si>
  <si>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</si>
  <si>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</si>
  <si>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</si>
  <si>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</si>
  <si>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</si>
  <si>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</si>
  <si>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</si>
  <si>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</si>
  <si>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</si>
  <si>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</si>
  <si>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</si>
  <si>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</si>
  <si>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</si>
  <si>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</si>
  <si>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</si>
  <si>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</si>
  <si>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</si>
  <si>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</si>
  <si>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</si>
  <si>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</si>
  <si>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</si>
  <si>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</si>
  <si>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</si>
  <si>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</si>
  <si>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</si>
  <si>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</si>
  <si>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</si>
  <si>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</si>
  <si>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</si>
  <si>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</si>
  <si>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</si>
  <si>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</si>
  <si>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</si>
  <si>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</si>
  <si>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</si>
  <si>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</si>
  <si>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</si>
  <si>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</si>
  <si>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</si>
  <si>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</si>
  <si>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</si>
  <si>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</si>
  <si>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</si>
  <si>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</si>
  <si>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</si>
  <si>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</si>
  <si>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</si>
  <si>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</si>
  <si>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</si>
  <si>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</si>
  <si>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</si>
  <si>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</si>
  <si>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</si>
  <si>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</si>
  <si>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</si>
  <si>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</si>
  <si>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</si>
  <si>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</si>
  <si>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</si>
  <si>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</si>
  <si>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</si>
  <si>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</si>
  <si>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</si>
  <si>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</si>
  <si>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</si>
  <si>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</si>
  <si>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</si>
  <si>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</si>
  <si>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</si>
  <si>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</si>
  <si>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</si>
  <si>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</si>
  <si>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</si>
  <si>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</si>
  <si>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</si>
  <si>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</si>
  <si>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</si>
  <si>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</si>
  <si>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</si>
  <si>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</si>
  <si>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</si>
  <si>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</si>
  <si>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</si>
  <si>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</si>
  <si>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</si>
  <si>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</si>
  <si>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</si>
  <si>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</si>
  <si>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</si>
  <si>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</si>
  <si>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</si>
  <si>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</si>
  <si>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</si>
  <si>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</si>
  <si>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</si>
  <si>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</si>
  <si>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</si>
  <si>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</si>
  <si>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</si>
  <si>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</si>
  <si>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</si>
  <si>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</si>
  <si>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</si>
  <si>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</si>
  <si>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</si>
  <si>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</si>
  <si>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</si>
  <si>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</si>
  <si>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</si>
  <si>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</si>
  <si>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</si>
  <si>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</si>
  <si>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</si>
  <si>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</si>
  <si>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</si>
  <si>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</si>
  <si>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</si>
  <si>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</si>
  <si>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</si>
  <si>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</si>
  <si>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</si>
  <si>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</si>
  <si>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</si>
  <si>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</si>
  <si>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</si>
  <si>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</si>
  <si>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</si>
  <si>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</si>
  <si>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</si>
  <si>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</si>
  <si>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</si>
  <si>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</si>
  <si>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</si>
  <si>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</si>
  <si>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</si>
  <si>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</si>
  <si>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</si>
  <si>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</si>
  <si>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</si>
  <si>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</si>
  <si>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</si>
  <si>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</si>
  <si>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</si>
  <si>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</si>
  <si>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</si>
  <si>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</si>
  <si>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</si>
  <si>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</si>
  <si>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</si>
  <si>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</si>
  <si>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</si>
  <si>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</si>
  <si>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</si>
  <si>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</si>
  <si>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</si>
  <si>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</si>
  <si>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</si>
  <si>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</si>
  <si>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</si>
  <si>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</si>
  <si>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</si>
  <si>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</si>
  <si>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</si>
  <si>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</si>
  <si>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</si>
  <si>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</si>
  <si>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</si>
  <si>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</si>
  <si>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</si>
  <si>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</si>
  <si>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</si>
  <si>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</si>
  <si>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</si>
  <si>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</si>
  <si>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</si>
  <si>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</si>
  <si>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</si>
  <si>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</si>
  <si>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</si>
  <si>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</si>
  <si>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</si>
  <si>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</si>
  <si>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</si>
  <si>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</si>
  <si>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</si>
  <si>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</si>
  <si>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</si>
  <si>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</si>
  <si>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</si>
  <si>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</si>
  <si>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</si>
  <si>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</si>
  <si>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</si>
  <si>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</si>
  <si>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</si>
  <si>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</si>
  <si>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</si>
  <si>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</si>
  <si>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</si>
  <si>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</si>
  <si>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</si>
  <si>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</si>
  <si>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</si>
  <si>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</si>
  <si>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</si>
  <si>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</si>
  <si>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</si>
  <si>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</si>
  <si>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</si>
  <si>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</si>
  <si>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</si>
  <si>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</si>
  <si>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</si>
  <si>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</si>
  <si>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</si>
  <si>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</si>
  <si>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</si>
  <si>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</si>
  <si>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</si>
  <si>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</si>
  <si>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</si>
  <si>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</si>
  <si>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</si>
  <si>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</si>
  <si>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</si>
  <si>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</si>
  <si>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</si>
  <si>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</si>
  <si>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</si>
  <si>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</si>
  <si>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</si>
  <si>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</si>
  <si>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</si>
  <si>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</si>
  <si>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</si>
  <si>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</si>
  <si>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</si>
  <si>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</si>
  <si>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</si>
  <si>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</si>
  <si>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</si>
  <si>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</si>
  <si>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</si>
  <si>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</si>
  <si>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</si>
  <si>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</si>
  <si>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</si>
  <si>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</si>
  <si>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</si>
  <si>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</si>
  <si>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</si>
  <si>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</si>
  <si>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</si>
  <si>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</si>
  <si>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</si>
  <si>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</si>
  <si>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</si>
  <si>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</si>
  <si>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</si>
  <si>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</si>
  <si>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</si>
  <si>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</si>
  <si>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</si>
  <si>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</si>
  <si>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</si>
  <si>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</si>
  <si>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</si>
  <si>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</si>
  <si>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</si>
  <si>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</si>
  <si>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</si>
  <si>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</si>
  <si>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</si>
  <si>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</si>
  <si>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</si>
  <si>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</si>
  <si>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</si>
  <si>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</si>
  <si>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</si>
  <si>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</si>
  <si>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</si>
  <si>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</si>
  <si>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</si>
  <si>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</si>
  <si>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</si>
  <si>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</si>
  <si>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</si>
  <si>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</si>
  <si>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</si>
  <si>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</si>
  <si>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</si>
  <si>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</si>
  <si>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</si>
  <si>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</si>
  <si>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</si>
  <si>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</si>
  <si>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</si>
  <si>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</si>
  <si>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</si>
  <si>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</si>
  <si>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</si>
  <si>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</si>
  <si>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</si>
  <si>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</si>
  <si>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</si>
  <si>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</si>
  <si>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</si>
  <si>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</si>
  <si>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</si>
  <si>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</si>
  <si>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</si>
  <si>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</si>
  <si>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</si>
  <si>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</si>
  <si>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</si>
  <si>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</si>
  <si>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</si>
  <si>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</si>
  <si>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</si>
  <si>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</si>
  <si>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</si>
  <si>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</si>
  <si>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</si>
  <si>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</si>
  <si>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</si>
  <si>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</si>
  <si>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</si>
  <si>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</si>
  <si>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</si>
  <si>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</si>
  <si>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</si>
  <si>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</si>
  <si>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</si>
  <si>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</si>
  <si>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</si>
  <si>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</si>
  <si>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</si>
  <si>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</si>
  <si>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</si>
  <si>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</si>
  <si>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</si>
  <si>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</si>
  <si>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</si>
  <si>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</si>
  <si>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</si>
  <si>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</si>
  <si>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</si>
  <si>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</si>
  <si>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</si>
  <si>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</si>
  <si>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</si>
  <si>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</si>
  <si>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</si>
  <si>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</si>
  <si>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</si>
  <si>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</si>
  <si>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</si>
  <si>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</si>
  <si>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</si>
  <si>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</si>
  <si>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</si>
  <si>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</si>
  <si>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</si>
  <si>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</si>
  <si>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</si>
  <si>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</si>
  <si>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</si>
  <si>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</si>
  <si>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</si>
  <si>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</si>
  <si>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</si>
  <si>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</si>
  <si>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</si>
  <si>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</si>
  <si>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</si>
  <si>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</si>
  <si>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</si>
  <si>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</si>
  <si>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</si>
  <si>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</si>
  <si>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</si>
  <si>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</si>
  <si>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</si>
  <si>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</si>
  <si>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</si>
  <si>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</si>
  <si>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</si>
  <si>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</si>
  <si>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</si>
  <si>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</si>
  <si>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</si>
  <si>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</si>
  <si>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</si>
  <si>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</si>
  <si>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</si>
  <si>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</si>
  <si>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</si>
  <si>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</si>
  <si>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</si>
  <si>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</si>
  <si>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</si>
  <si>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</si>
  <si>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</si>
  <si>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</si>
  <si>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</si>
  <si>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</si>
  <si>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</si>
  <si>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</si>
  <si>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</si>
  <si>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</si>
  <si>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</si>
  <si>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</si>
  <si>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</si>
  <si>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</si>
  <si>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</si>
  <si>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</si>
  <si>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</si>
  <si>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</si>
  <si>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</si>
  <si>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</si>
  <si>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</si>
  <si>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</si>
  <si>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</si>
  <si>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</si>
  <si>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</si>
  <si>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</si>
  <si>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</si>
  <si>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</si>
  <si>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</si>
  <si>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</si>
  <si>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</si>
  <si>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</si>
  <si>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</si>
  <si>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</si>
  <si>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</si>
  <si>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</si>
  <si>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</si>
  <si>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</si>
  <si>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</si>
  <si>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</si>
  <si>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</si>
  <si>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</si>
  <si>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</si>
  <si>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</si>
  <si>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</si>
  <si>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</si>
  <si>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</si>
  <si>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</si>
  <si>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</si>
  <si>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</si>
  <si>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</si>
  <si>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</si>
  <si>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</si>
  <si>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</si>
  <si>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</si>
  <si>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</si>
  <si>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</si>
  <si>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</si>
  <si>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</si>
  <si>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</si>
  <si>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</si>
  <si>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</si>
  <si>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</si>
  <si>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</si>
  <si>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</si>
  <si>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</si>
  <si>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</si>
  <si>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</si>
  <si>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</si>
  <si>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</si>
  <si>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</si>
  <si>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</si>
  <si>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</si>
  <si>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</si>
  <si>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</si>
  <si>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</si>
  <si>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</si>
  <si>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</si>
  <si>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</si>
  <si>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</si>
  <si>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</si>
  <si>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</si>
  <si>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</si>
  <si>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</si>
  <si>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</si>
  <si>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</si>
  <si>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</si>
  <si>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</si>
  <si>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</si>
  <si>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</si>
  <si>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</si>
  <si>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</si>
  <si>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</si>
  <si>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</si>
  <si>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</si>
  <si>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</si>
  <si>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</si>
  <si>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</si>
  <si>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</si>
  <si>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</si>
  <si>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</si>
  <si>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</si>
  <si>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</si>
  <si>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</si>
  <si>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</si>
  <si>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</si>
  <si>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</si>
  <si>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</si>
  <si>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</si>
  <si>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</si>
  <si>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</si>
  <si>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</si>
  <si>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</si>
  <si>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</si>
  <si>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</si>
  <si>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</si>
  <si>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</si>
  <si>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</si>
  <si>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</si>
  <si>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</si>
  <si>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</si>
  <si>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</si>
  <si>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</si>
  <si>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</si>
  <si>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</si>
  <si>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</si>
  <si>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</si>
  <si>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</si>
  <si>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</si>
  <si>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</si>
  <si>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</si>
  <si>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</si>
  <si>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</si>
  <si>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</si>
  <si>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</si>
  <si>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</si>
  <si>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</si>
  <si>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</si>
  <si>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</si>
  <si>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</si>
  <si>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</si>
  <si>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</si>
  <si>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</si>
  <si>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</si>
  <si>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</si>
  <si>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</si>
  <si>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</si>
  <si>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</si>
  <si>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</si>
  <si>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</si>
  <si>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</si>
  <si>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</si>
  <si>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</si>
  <si>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</si>
  <si>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</si>
  <si>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</si>
  <si>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</si>
  <si>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</si>
  <si>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</si>
  <si>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</si>
  <si>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</si>
  <si>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</si>
  <si>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</si>
  <si>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</si>
  <si>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</si>
  <si>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</si>
  <si>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</si>
  <si>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</si>
  <si>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</si>
  <si>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</si>
  <si>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</si>
  <si>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</si>
  <si>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</si>
  <si>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</si>
  <si>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</si>
  <si>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</si>
  <si>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</si>
  <si>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</si>
  <si>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</si>
  <si>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</si>
  <si>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</si>
  <si>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</si>
  <si>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</si>
  <si>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</si>
  <si>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</si>
  <si>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</si>
  <si>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</si>
  <si>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</si>
  <si>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</si>
  <si>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</si>
  <si>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</si>
  <si>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</si>
  <si>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</si>
  <si>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</si>
  <si>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</si>
  <si>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</si>
  <si>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</si>
  <si>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</si>
  <si>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</si>
  <si>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</si>
  <si>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</si>
  <si>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</si>
  <si>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</si>
  <si>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</si>
  <si>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</si>
  <si>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</si>
  <si>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</si>
  <si>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</si>
  <si>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</si>
  <si>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</si>
  <si>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</si>
  <si>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</si>
  <si>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</si>
  <si>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</si>
  <si>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</si>
  <si>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</si>
  <si>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</si>
  <si>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</si>
  <si>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</si>
  <si>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</si>
  <si>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</si>
  <si>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</si>
  <si>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</si>
  <si>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</si>
  <si>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</si>
  <si>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</si>
  <si>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</si>
  <si>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</si>
  <si>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</si>
  <si>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</si>
  <si>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</si>
  <si>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</si>
  <si>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</si>
  <si>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</si>
  <si>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</si>
  <si>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</si>
  <si>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</si>
  <si>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</si>
  <si>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</si>
  <si>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</si>
  <si>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</si>
  <si>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</si>
  <si>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</si>
  <si>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</si>
  <si>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</si>
  <si>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</si>
  <si>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</si>
  <si>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</si>
  <si>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</si>
  <si>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</si>
  <si>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</si>
  <si>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</si>
  <si>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</si>
  <si>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</si>
  <si>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</si>
  <si>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</si>
  <si>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</si>
  <si>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</si>
  <si>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</si>
  <si>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</si>
  <si>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</si>
  <si>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</si>
  <si>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</si>
  <si>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</si>
  <si>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</si>
  <si>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</si>
  <si>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</si>
  <si>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</si>
  <si>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</si>
  <si>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</si>
  <si>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</si>
  <si>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</si>
  <si>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</si>
  <si>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</si>
  <si>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</si>
  <si>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</si>
  <si>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</si>
  <si>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</si>
  <si>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</si>
  <si>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</si>
  <si>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</si>
  <si>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</si>
  <si>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</si>
  <si>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</si>
  <si>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</si>
  <si>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</si>
  <si>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</si>
  <si>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</si>
  <si>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</si>
  <si>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</si>
  <si>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</si>
  <si>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</si>
  <si>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</si>
  <si>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</si>
  <si>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</si>
  <si>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</si>
  <si>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</si>
  <si>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</si>
  <si>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</si>
  <si>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</si>
  <si>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</si>
  <si>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</si>
  <si>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</si>
  <si>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</si>
  <si>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</si>
  <si>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</si>
  <si>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</si>
  <si>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</si>
  <si>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</si>
  <si>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</si>
  <si>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</si>
  <si>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</si>
  <si>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</si>
  <si>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</si>
  <si>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</si>
  <si>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</si>
  <si>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</si>
  <si>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</si>
  <si>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</si>
  <si>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</si>
  <si>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</si>
  <si>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</si>
  <si>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</si>
  <si>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</si>
  <si>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</si>
  <si>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</si>
  <si>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</si>
  <si>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</si>
  <si>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</si>
  <si>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</si>
  <si>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</si>
  <si>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</si>
  <si>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</si>
  <si>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</si>
  <si>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</si>
  <si>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</si>
  <si>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</si>
  <si>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</si>
  <si>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</si>
  <si>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</si>
  <si>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</si>
  <si>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</si>
  <si>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</si>
  <si>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</si>
  <si>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</si>
  <si>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</si>
  <si>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</si>
  <si>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</si>
  <si>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</si>
  <si>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</si>
  <si>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</si>
  <si>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</si>
  <si>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</si>
  <si>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</si>
  <si>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</si>
  <si>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</si>
  <si>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</si>
  <si>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</si>
  <si>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</si>
  <si>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</si>
  <si>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</si>
  <si>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</si>
  <si>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</si>
  <si>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</si>
  <si>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</si>
  <si>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</si>
  <si>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</si>
  <si>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</si>
  <si>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</si>
  <si>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</si>
  <si>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</si>
  <si>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</si>
  <si>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</si>
  <si>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</si>
  <si>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</si>
  <si>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</si>
  <si>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</si>
  <si>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</si>
  <si>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</si>
  <si>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</si>
  <si>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</si>
  <si>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</si>
  <si>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</si>
  <si>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</si>
  <si>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</si>
  <si>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</si>
  <si>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</si>
  <si>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</si>
  <si>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</si>
  <si>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</si>
  <si>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</si>
  <si>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</si>
  <si>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</si>
  <si>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</si>
  <si>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</si>
  <si>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</si>
  <si>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</si>
  <si>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</si>
  <si>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</si>
  <si>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</si>
  <si>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</si>
  <si>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</si>
  <si>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</si>
  <si>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</si>
  <si>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</si>
  <si>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</si>
  <si>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</si>
  <si>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</si>
  <si>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</si>
  <si>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</si>
  <si>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</si>
  <si>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</si>
  <si>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</si>
  <si>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</si>
  <si>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</si>
  <si>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</si>
  <si>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</si>
  <si>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</si>
  <si>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</si>
  <si>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</si>
  <si>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</si>
  <si>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</si>
  <si>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</si>
  <si>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</si>
  <si>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</si>
  <si>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</si>
  <si>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</si>
  <si>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</si>
  <si>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</si>
  <si>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</si>
  <si>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</si>
  <si>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</si>
  <si>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</si>
  <si>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</si>
  <si>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</si>
  <si>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</si>
  <si>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</si>
  <si>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</si>
  <si>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</si>
  <si>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</si>
  <si>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</si>
  <si>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</si>
  <si>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</si>
  <si>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</si>
  <si>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</si>
  <si>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</si>
  <si>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</si>
  <si>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</si>
  <si>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</si>
  <si>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</si>
  <si>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</si>
  <si>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</si>
  <si>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</si>
  <si>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</si>
  <si>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</si>
  <si>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</si>
  <si>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</si>
  <si>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</si>
  <si>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</si>
  <si>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</si>
  <si>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</si>
  <si>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</si>
  <si>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</si>
  <si>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</si>
  <si>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</si>
  <si>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</si>
  <si>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</si>
  <si>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</si>
  <si>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</si>
  <si>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</si>
  <si>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</si>
  <si>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</si>
  <si>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</si>
  <si>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</si>
  <si>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</si>
  <si>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</si>
  <si>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</si>
  <si>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</si>
  <si>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</si>
  <si>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</si>
  <si>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</si>
  <si>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</si>
  <si>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</si>
  <si>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</si>
  <si>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</si>
  <si>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</si>
  <si>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</si>
  <si>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</si>
  <si>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</si>
  <si>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</si>
  <si>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</si>
  <si>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</si>
  <si>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</si>
  <si>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</si>
  <si>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</si>
  <si>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</si>
  <si>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</si>
  <si>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</si>
  <si>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</si>
  <si>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</si>
  <si>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</si>
  <si>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</si>
  <si>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</si>
  <si>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</si>
  <si>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</si>
  <si>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</si>
  <si>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</si>
  <si>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</si>
  <si>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</si>
  <si>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</si>
  <si>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</si>
  <si>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</si>
  <si>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</si>
  <si>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</si>
  <si>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</si>
  <si>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</si>
  <si>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</si>
  <si>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</si>
  <si>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</si>
  <si>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</si>
  <si>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</si>
  <si>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</si>
  <si>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</si>
  <si>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</si>
  <si>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</si>
  <si>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</si>
  <si>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</si>
  <si>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</si>
  <si>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</si>
  <si>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</si>
  <si>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</si>
  <si>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</si>
  <si>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</si>
  <si>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</si>
  <si>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</si>
  <si>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</si>
  <si>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</si>
  <si>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</si>
  <si>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</si>
  <si>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</si>
  <si>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</si>
  <si>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</si>
  <si>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</si>
  <si>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</si>
  <si>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</si>
  <si>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</si>
  <si>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</si>
  <si>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</si>
  <si>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</si>
  <si>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</si>
  <si>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</si>
  <si>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</si>
  <si>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</si>
  <si>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</si>
  <si>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</si>
  <si>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</si>
  <si>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</si>
  <si>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</si>
  <si>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</si>
  <si>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</si>
  <si>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</si>
  <si>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</si>
  <si>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</si>
  <si>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</si>
  <si>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</si>
  <si>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</si>
  <si>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</si>
  <si>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</si>
  <si>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</si>
  <si>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</si>
  <si>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</si>
  <si>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</si>
  <si>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</si>
  <si>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</si>
  <si>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</si>
  <si>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</si>
  <si>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</si>
  <si>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</si>
  <si>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</si>
  <si>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</si>
  <si>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</si>
  <si>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</si>
  <si>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</si>
  <si>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</si>
  <si>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</si>
  <si>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</si>
  <si>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</si>
  <si>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</si>
  <si>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</si>
  <si>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</si>
  <si>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</si>
  <si>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</si>
  <si>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</si>
  <si>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</si>
  <si>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</si>
  <si>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</si>
  <si>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</si>
  <si>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</si>
  <si>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</si>
  <si>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</si>
  <si>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</si>
  <si>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</si>
  <si>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</si>
  <si>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</si>
  <si>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</si>
  <si>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</si>
  <si>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</si>
  <si>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</si>
  <si>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</si>
  <si>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</si>
  <si>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</si>
  <si>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</si>
  <si>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</si>
  <si>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</si>
  <si>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</si>
  <si>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</si>
  <si>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</si>
  <si>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</si>
  <si>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</si>
  <si>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</si>
  <si>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</si>
  <si>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</si>
  <si>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</si>
  <si>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</si>
  <si>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</si>
  <si>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</si>
  <si>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</si>
  <si>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</si>
  <si>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</si>
  <si>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</si>
  <si>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</si>
  <si>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</si>
  <si>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</si>
  <si>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</si>
  <si>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</si>
  <si>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</si>
  <si>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</si>
  <si>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</si>
  <si>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</si>
  <si>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</si>
  <si>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</si>
  <si>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</si>
  <si>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</si>
  <si>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</si>
  <si>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</si>
  <si>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</si>
  <si>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</si>
  <si>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</si>
  <si>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</si>
  <si>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</si>
  <si>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</si>
  <si>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</si>
  <si>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</si>
  <si>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</si>
  <si>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</si>
  <si>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</si>
  <si>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</si>
  <si>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</si>
  <si>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</si>
  <si>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</si>
  <si>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</si>
  <si>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</si>
  <si>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</si>
  <si>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</si>
  <si>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</si>
  <si>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</si>
  <si>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</si>
  <si>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</si>
  <si>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</si>
  <si>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</si>
  <si>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</si>
  <si>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</si>
  <si>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</si>
  <si>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</si>
  <si>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</si>
  <si>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</si>
  <si>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</si>
  <si>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</si>
  <si>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</si>
  <si>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</si>
  <si>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</si>
  <si>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</si>
  <si>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</si>
  <si>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</si>
  <si>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</si>
  <si>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</si>
  <si>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</si>
  <si>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</si>
  <si>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</si>
  <si>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</si>
  <si>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</si>
  <si>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</si>
  <si>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</si>
  <si>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</si>
  <si>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</si>
  <si>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</si>
  <si>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</si>
  <si>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</si>
  <si>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</si>
  <si>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</si>
  <si>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</si>
  <si>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</si>
  <si>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</si>
  <si>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</si>
  <si>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</si>
  <si>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</si>
  <si>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</si>
  <si>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</si>
  <si>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</si>
  <si>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</si>
  <si>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</si>
  <si>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</si>
  <si>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</si>
  <si>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</si>
  <si>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</si>
  <si>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</si>
  <si>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</si>
  <si>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</si>
  <si>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</si>
  <si>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</si>
  <si>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</si>
  <si>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</si>
  <si>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</si>
  <si>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</si>
  <si>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</si>
  <si>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</si>
  <si>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</si>
  <si>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</si>
  <si>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</si>
  <si>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</si>
  <si>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</si>
  <si>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</si>
  <si>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</si>
  <si>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</si>
  <si>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</si>
  <si>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</si>
  <si>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</si>
  <si>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</si>
  <si>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</si>
  <si>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</si>
  <si>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</si>
  <si>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</si>
  <si>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</si>
  <si>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</si>
  <si>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</si>
  <si>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</si>
  <si>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</si>
  <si>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</si>
  <si>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</si>
  <si>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</si>
  <si>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</si>
  <si>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</si>
  <si>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</si>
  <si>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</si>
  <si>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</si>
  <si>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</si>
  <si>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</si>
  <si>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</si>
  <si>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</si>
  <si>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</si>
  <si>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</si>
  <si>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</si>
  <si>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</si>
  <si>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</si>
  <si>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</si>
  <si>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</si>
  <si>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</si>
  <si>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</si>
  <si>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</si>
  <si>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</si>
  <si>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</si>
  <si>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</si>
  <si>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</si>
  <si>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</si>
  <si>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</si>
  <si>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</si>
  <si>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</si>
  <si>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</si>
  <si>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</si>
  <si>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</si>
  <si>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</si>
  <si>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</si>
  <si>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</si>
  <si>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</si>
  <si>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</si>
  <si>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</si>
  <si>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</si>
  <si>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</si>
  <si>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</si>
  <si>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</si>
  <si>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</si>
  <si>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</si>
  <si>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</si>
  <si>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</si>
  <si>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</si>
  <si>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</si>
  <si>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</si>
  <si>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</si>
  <si>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</si>
  <si>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</si>
  <si>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</si>
  <si>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</si>
  <si>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</si>
  <si>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</si>
  <si>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</si>
  <si>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</si>
  <si>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</si>
  <si>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</si>
  <si>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</si>
  <si>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</si>
  <si>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</si>
  <si>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</si>
  <si>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</si>
  <si>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</si>
  <si>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</si>
  <si>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</si>
  <si>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</si>
  <si>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</si>
  <si>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</si>
  <si>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</si>
  <si>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</si>
  <si>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</si>
  <si>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</si>
  <si>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</si>
  <si>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</si>
  <si>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</si>
  <si>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</si>
  <si>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</si>
  <si>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</si>
  <si>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</si>
  <si>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</si>
  <si>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</si>
  <si>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</si>
  <si>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</si>
  <si>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</si>
  <si>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</si>
  <si>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</si>
  <si>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</si>
  <si>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</si>
  <si>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</si>
  <si>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</si>
  <si>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</si>
  <si>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</si>
  <si>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</si>
  <si>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</si>
  <si>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</si>
  <si>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</si>
  <si>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</si>
  <si>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</si>
  <si>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</si>
  <si>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</si>
  <si>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</si>
  <si>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</si>
  <si>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</si>
  <si>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</si>
  <si>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</si>
  <si>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</si>
  <si>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</si>
  <si>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</si>
  <si>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</si>
  <si>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</si>
  <si>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</si>
  <si>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</si>
  <si>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</si>
  <si>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</si>
  <si>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</si>
  <si>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</si>
  <si>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</si>
  <si>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</si>
  <si>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</si>
  <si>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</si>
  <si>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</si>
  <si>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</si>
  <si>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</si>
  <si>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</si>
  <si>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</si>
  <si>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</si>
  <si>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</si>
  <si>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</si>
  <si>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</si>
  <si>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</si>
  <si>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</si>
  <si>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</si>
  <si>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</si>
  <si>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</si>
  <si>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</si>
  <si>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</si>
  <si>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</si>
  <si>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</si>
  <si>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</si>
  <si>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</si>
  <si>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</si>
  <si>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</si>
  <si>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</si>
  <si>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</si>
  <si>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</si>
  <si>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</si>
  <si>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</si>
  <si>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</si>
  <si>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</si>
  <si>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</si>
  <si>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</si>
  <si>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</si>
  <si>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</si>
  <si>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</si>
  <si>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</si>
  <si>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</si>
  <si>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</si>
  <si>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</si>
  <si>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</si>
  <si>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</si>
  <si>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</si>
  <si>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</si>
  <si>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</si>
  <si>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</si>
  <si>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</si>
  <si>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</si>
  <si>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</si>
  <si>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</si>
  <si>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</si>
  <si>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</si>
  <si>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</si>
  <si>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</si>
  <si>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</si>
  <si>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</si>
  <si>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</si>
  <si>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</si>
  <si>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</si>
  <si>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</si>
  <si>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</si>
  <si>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</si>
  <si>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</si>
  <si>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</si>
  <si>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</si>
  <si>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</si>
  <si>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</si>
  <si>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</si>
  <si>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</si>
  <si>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</si>
  <si>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</si>
  <si>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</si>
  <si>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</si>
  <si>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</si>
  <si>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</si>
  <si>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</si>
  <si>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</si>
  <si>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</si>
  <si>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</si>
  <si>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</si>
  <si>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</si>
  <si>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</si>
  <si>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</si>
  <si>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</si>
  <si>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</si>
  <si>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</si>
  <si>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</si>
  <si>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</si>
  <si>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</si>
  <si>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</si>
  <si>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</si>
  <si>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</si>
  <si>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</si>
  <si>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</si>
  <si>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</si>
  <si>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</si>
  <si>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</si>
  <si>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</si>
  <si>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</si>
  <si>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</si>
  <si>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</si>
  <si>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</si>
  <si>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</si>
  <si>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</si>
  <si>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</si>
  <si>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</si>
  <si>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</si>
  <si>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</si>
  <si>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</si>
  <si>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</si>
  <si>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</si>
  <si>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</si>
  <si>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</si>
  <si>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</si>
  <si>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</si>
  <si>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</si>
  <si>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</si>
  <si>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</si>
  <si>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</si>
  <si>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</si>
  <si>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</si>
  <si>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</si>
  <si>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</si>
  <si>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</si>
  <si>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</si>
  <si>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</si>
  <si>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</si>
  <si>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</si>
  <si>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</si>
  <si>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</si>
  <si>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</si>
  <si>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</si>
  <si>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</si>
  <si>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</si>
  <si>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</si>
  <si>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</si>
  <si>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</si>
  <si>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</si>
  <si>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</si>
  <si>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</si>
  <si>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</si>
  <si>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</si>
  <si>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</si>
  <si>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</si>
  <si>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</si>
  <si>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</si>
  <si>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</si>
  <si>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</si>
  <si>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</si>
  <si>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</si>
  <si>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</si>
  <si>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</si>
  <si>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</si>
  <si>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</si>
  <si>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</si>
  <si>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</si>
  <si>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</si>
  <si>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</si>
  <si>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</si>
  <si>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</si>
  <si>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</si>
  <si>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</si>
  <si>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</si>
  <si>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</si>
  <si>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</si>
  <si>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</si>
  <si>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</si>
  <si>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</si>
  <si>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</si>
  <si>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</si>
  <si>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</si>
  <si>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</si>
  <si>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</si>
  <si>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</si>
  <si>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</si>
  <si>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</si>
  <si>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</si>
  <si>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</si>
  <si>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</si>
  <si>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</si>
  <si>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</si>
  <si>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</si>
  <si>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</si>
  <si>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</si>
  <si>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</si>
  <si>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</si>
  <si>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</si>
  <si>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</si>
  <si>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</si>
  <si>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</si>
  <si>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</si>
  <si>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</si>
  <si>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</si>
  <si>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</si>
  <si>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</si>
  <si>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</si>
  <si>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</si>
  <si>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</si>
  <si>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</si>
  <si>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</si>
  <si>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</si>
  <si>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</si>
  <si>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</si>
  <si>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</si>
  <si>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</si>
  <si>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</si>
  <si>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</si>
  <si>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</si>
  <si>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</si>
  <si>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</si>
  <si>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</si>
  <si>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</si>
  <si>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</si>
  <si>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</si>
  <si>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</si>
  <si>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</si>
  <si>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</si>
  <si>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</si>
  <si>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</si>
  <si>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</si>
  <si>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</si>
  <si>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</si>
  <si>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</si>
  <si>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</si>
  <si>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</si>
  <si>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</si>
  <si>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</si>
  <si>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</si>
  <si>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</si>
  <si>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</si>
  <si>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</si>
  <si>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</si>
  <si>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</si>
  <si>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</si>
  <si>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</si>
  <si>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</si>
  <si>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</si>
  <si>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</si>
  <si>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</si>
  <si>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</si>
  <si>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</si>
  <si>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</si>
  <si>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</si>
  <si>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</si>
  <si>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</si>
  <si>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</si>
  <si>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</si>
  <si>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</si>
  <si>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</si>
  <si>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</si>
  <si>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</si>
  <si>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</si>
  <si>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</si>
  <si>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</si>
  <si>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</si>
  <si>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</si>
  <si>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</si>
  <si>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</si>
  <si>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</si>
  <si>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</si>
  <si>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</si>
  <si>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</si>
  <si>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</si>
  <si>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</si>
  <si>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</si>
  <si>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</si>
  <si>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</si>
  <si>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</si>
  <si>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</si>
  <si>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</si>
  <si>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</si>
  <si>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</si>
  <si>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</si>
  <si>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</si>
  <si>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</si>
  <si>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</si>
  <si>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</si>
  <si>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</si>
  <si>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</si>
  <si>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</si>
  <si>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</si>
  <si>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</si>
  <si>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</si>
  <si>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</si>
  <si>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</si>
  <si>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</si>
  <si>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</si>
  <si>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</si>
  <si>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</si>
  <si>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</si>
  <si>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</si>
  <si>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</si>
  <si>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</si>
  <si>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</si>
  <si>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</si>
  <si>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</si>
  <si>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</si>
  <si>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</si>
  <si>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</si>
  <si>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</si>
  <si>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</si>
  <si>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</si>
  <si>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</si>
  <si>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</si>
  <si>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</si>
  <si>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</si>
  <si>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</si>
  <si>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</si>
  <si>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</si>
  <si>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</si>
  <si>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</si>
  <si>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</si>
  <si>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</si>
  <si>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</si>
  <si>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</si>
  <si>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</si>
  <si>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</si>
  <si>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</si>
  <si>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</si>
  <si>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</si>
  <si>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</si>
  <si>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</si>
  <si>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</si>
  <si>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</si>
  <si>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</si>
  <si>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</si>
  <si>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</si>
  <si>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</si>
  <si>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</si>
  <si>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</si>
  <si>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</si>
  <si>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</si>
  <si>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</si>
  <si>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</si>
  <si>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</si>
  <si>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</si>
  <si>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</si>
  <si>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</si>
  <si>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</si>
  <si>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</si>
  <si>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</si>
  <si>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</si>
  <si>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</si>
  <si>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</si>
  <si>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</si>
  <si>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</si>
  <si>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</si>
  <si>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</si>
  <si>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</si>
  <si>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</si>
  <si>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</si>
  <si>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</si>
  <si>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</si>
  <si>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</si>
  <si>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</si>
  <si>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</si>
  <si>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</si>
  <si>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</si>
  <si>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</si>
  <si>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</si>
  <si>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</si>
  <si>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</si>
  <si>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</si>
  <si>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</si>
  <si>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</si>
  <si>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</si>
  <si>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</si>
  <si>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</si>
  <si>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</si>
  <si>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</si>
  <si>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</si>
  <si>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</si>
  <si>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</si>
  <si>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</si>
  <si>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</si>
  <si>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</si>
  <si>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</si>
  <si>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</si>
  <si>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</si>
  <si>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</si>
  <si>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</si>
  <si>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</si>
  <si>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</si>
  <si>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</si>
  <si>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</si>
  <si>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</si>
  <si>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</si>
  <si>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</si>
  <si>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</si>
  <si>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</si>
  <si>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</si>
  <si>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</si>
  <si>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</si>
  <si>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</si>
  <si>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</si>
  <si>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</si>
  <si>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</si>
  <si>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</si>
  <si>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</si>
  <si>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</si>
  <si>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</si>
  <si>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</si>
  <si>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</si>
  <si>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</si>
  <si>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</si>
  <si>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</si>
  <si>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</si>
  <si>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</si>
  <si>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</si>
  <si>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</si>
  <si>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</si>
  <si>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</si>
  <si>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</si>
  <si>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</si>
  <si>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</si>
  <si>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</si>
  <si>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</si>
  <si>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</si>
  <si>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</si>
  <si>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</si>
  <si>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</si>
  <si>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</si>
  <si>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</si>
  <si>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</si>
  <si>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</si>
  <si>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</si>
  <si>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</si>
  <si>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</si>
  <si>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</si>
  <si>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</si>
  <si>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</si>
  <si>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</si>
  <si>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</si>
  <si>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</si>
  <si>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</si>
  <si>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</si>
  <si>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</si>
  <si>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</si>
  <si>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</si>
  <si>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</si>
  <si>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</si>
  <si>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</si>
  <si>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</si>
  <si>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</si>
  <si>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</si>
  <si>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</si>
  <si>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</si>
  <si>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</si>
  <si>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</si>
  <si>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</si>
  <si>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</si>
  <si>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</si>
  <si>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</si>
  <si>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</si>
  <si>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</si>
  <si>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</si>
  <si>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</si>
  <si>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</si>
  <si>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</si>
  <si>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</si>
  <si>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</si>
  <si>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</si>
  <si>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</si>
  <si>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</si>
  <si>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</si>
  <si>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</si>
  <si>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</si>
  <si>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</si>
  <si>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</si>
  <si>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</si>
  <si>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</si>
  <si>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</si>
  <si>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</si>
  <si>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</si>
  <si>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</si>
  <si>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</si>
  <si>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</si>
  <si>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</si>
  <si>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</si>
  <si>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</si>
  <si>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</si>
  <si>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</si>
  <si>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</si>
  <si>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</si>
  <si>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</si>
  <si>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</si>
  <si>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</si>
  <si>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</si>
  <si>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</si>
  <si>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</si>
  <si>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</si>
  <si>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</si>
  <si>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</si>
  <si>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</si>
  <si>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</si>
  <si>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</si>
  <si>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</si>
  <si>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</si>
  <si>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</si>
  <si>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</si>
  <si>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</si>
  <si>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</si>
  <si>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</si>
  <si>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</si>
  <si>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</si>
  <si>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</si>
  <si>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</si>
  <si>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</si>
  <si>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</si>
  <si>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</si>
  <si>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</si>
  <si>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</si>
  <si>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</si>
  <si>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</si>
  <si>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</si>
  <si>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</si>
  <si>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</si>
  <si>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</si>
  <si>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</si>
  <si>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</si>
  <si>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</si>
  <si>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</si>
  <si>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</si>
  <si>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</si>
  <si>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</si>
  <si>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</si>
  <si>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</si>
  <si>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</si>
  <si>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</si>
  <si>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</si>
  <si>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</si>
  <si>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</si>
  <si>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</si>
  <si>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</si>
  <si>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</si>
  <si>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</si>
  <si>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</si>
  <si>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</si>
  <si>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</si>
  <si>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</si>
  <si>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</si>
  <si>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</si>
  <si>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</si>
  <si>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</si>
  <si>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</si>
  <si>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</si>
  <si>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</si>
  <si>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</si>
  <si>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</si>
  <si>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</si>
  <si>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</si>
  <si>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</si>
  <si>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</si>
  <si>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</si>
  <si>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</si>
  <si>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</si>
  <si>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</si>
  <si>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</si>
  <si>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</si>
  <si>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</si>
  <si>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</si>
  <si>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</si>
  <si>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</si>
  <si>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</si>
  <si>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</si>
  <si>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</si>
  <si>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</si>
  <si>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</si>
  <si>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</si>
  <si>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</si>
  <si>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</si>
  <si>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</si>
  <si>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</si>
  <si>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</si>
  <si>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</si>
  <si>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</si>
  <si>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</si>
  <si>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</si>
  <si>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</si>
  <si>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</si>
  <si>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</si>
  <si>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</si>
  <si>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</si>
  <si>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</si>
  <si>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</si>
  <si>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</si>
  <si>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</si>
  <si>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</si>
  <si>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</si>
  <si>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</si>
  <si>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</si>
  <si>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</si>
  <si>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</si>
  <si>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</si>
  <si>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</si>
  <si>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</si>
  <si>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</si>
  <si>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</si>
  <si>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</si>
  <si>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</si>
  <si>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</si>
  <si>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</si>
  <si>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</si>
  <si>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</si>
  <si>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</si>
  <si>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</si>
  <si>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</si>
  <si>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</si>
  <si>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</si>
  <si>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</si>
  <si>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</si>
  <si>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</si>
  <si>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</si>
  <si>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</si>
  <si>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</si>
  <si>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</si>
  <si>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</si>
  <si>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</si>
  <si>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</si>
  <si>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</si>
  <si>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</si>
  <si>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</si>
  <si>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</si>
  <si>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</si>
  <si>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</si>
  <si>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</si>
  <si>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</si>
  <si>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</si>
  <si>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</si>
  <si>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</si>
  <si>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</si>
  <si>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</si>
  <si>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</si>
  <si>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</si>
  <si>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</si>
  <si>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</si>
  <si>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</si>
  <si>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</si>
  <si>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</si>
  <si>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</si>
  <si>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</si>
  <si>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</si>
  <si>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</si>
  <si>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</si>
  <si>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</si>
  <si>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</si>
  <si>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</si>
  <si>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</si>
  <si>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</si>
  <si>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</si>
  <si>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</si>
  <si>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</si>
  <si>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</si>
  <si>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</si>
  <si>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</si>
  <si>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</si>
  <si>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</si>
  <si>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</si>
  <si>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</si>
  <si>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</si>
  <si>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</si>
  <si>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</si>
  <si>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</si>
  <si>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</si>
  <si>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</si>
  <si>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</si>
  <si>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</si>
  <si>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</si>
  <si>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</si>
  <si>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</si>
  <si>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</si>
  <si>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</si>
  <si>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</si>
  <si>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</si>
  <si>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</si>
  <si>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</si>
  <si>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</si>
  <si>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</si>
  <si>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</si>
  <si>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</si>
  <si>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</si>
  <si>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</si>
  <si>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</si>
  <si>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</si>
  <si>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</si>
  <si>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</si>
  <si>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</si>
  <si>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</si>
  <si>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</si>
  <si>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</si>
  <si>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</si>
  <si>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</si>
  <si>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</si>
  <si>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</si>
  <si>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</si>
  <si>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</si>
  <si>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</si>
  <si>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</si>
  <si>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</si>
  <si>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</si>
  <si>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</si>
  <si>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</si>
  <si>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</si>
  <si>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</si>
  <si>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</si>
  <si>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</si>
  <si>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</si>
  <si>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</si>
  <si>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</si>
  <si>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</si>
  <si>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</si>
  <si>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</si>
  <si>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</si>
  <si>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</si>
  <si>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</si>
  <si>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</si>
  <si>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</si>
  <si>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</si>
  <si>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</si>
  <si>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</si>
  <si>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</si>
  <si>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</si>
  <si>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</si>
  <si>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</si>
  <si>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</si>
  <si>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</si>
  <si>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</si>
  <si>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</si>
  <si>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</si>
  <si>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</si>
  <si>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</si>
  <si>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</si>
  <si>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</si>
  <si>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</si>
  <si>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</si>
  <si>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</si>
  <si>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</si>
  <si>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</si>
  <si>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</si>
  <si>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</si>
  <si>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</si>
  <si>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</si>
  <si>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</si>
  <si>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</si>
  <si>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</si>
  <si>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</si>
  <si>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</si>
  <si>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</si>
  <si>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</si>
  <si>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</si>
  <si>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</si>
  <si>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</si>
  <si>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</si>
  <si>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</si>
  <si>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</si>
  <si>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</si>
  <si>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</si>
  <si>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</si>
  <si>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</si>
  <si>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</si>
  <si>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</si>
  <si>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</si>
  <si>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</si>
  <si>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</si>
  <si>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</si>
  <si>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</si>
  <si>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</si>
  <si>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</si>
  <si>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</si>
  <si>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</si>
  <si>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</si>
  <si>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</si>
  <si>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</si>
  <si>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</si>
  <si>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</si>
  <si>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</si>
  <si>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</si>
  <si>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</si>
  <si>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</si>
  <si>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</si>
  <si>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</si>
  <si>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</si>
  <si>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</si>
  <si>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</si>
  <si>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</si>
  <si>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</si>
  <si>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</si>
  <si>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</si>
  <si>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</si>
  <si>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</si>
  <si>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</si>
  <si>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</si>
  <si>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</si>
  <si>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</si>
  <si>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</si>
  <si>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</si>
  <si>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</si>
  <si>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</si>
  <si>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</si>
  <si>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</si>
  <si>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</si>
  <si>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</si>
  <si>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</si>
  <si>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</si>
  <si>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</si>
  <si>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</si>
  <si>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</si>
  <si>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</si>
  <si>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</si>
  <si>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</si>
  <si>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</si>
  <si>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</si>
  <si>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</si>
  <si>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</si>
  <si>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</si>
  <si>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</si>
  <si>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</si>
  <si>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</si>
  <si>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</si>
  <si>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</si>
  <si>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</si>
  <si>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</si>
  <si>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</si>
  <si>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</si>
  <si>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</si>
  <si>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</si>
  <si>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</si>
  <si>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</si>
  <si>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</si>
  <si>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</si>
  <si>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</si>
  <si>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</si>
  <si>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</si>
  <si>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</si>
  <si>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</si>
  <si>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</si>
  <si>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</si>
  <si>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</si>
  <si>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</si>
  <si>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</si>
  <si>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</si>
  <si>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</si>
  <si>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</si>
  <si>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</si>
  <si>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</si>
  <si>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</si>
  <si>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</si>
  <si>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</si>
  <si>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</si>
  <si>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</si>
  <si>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</si>
  <si>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</si>
  <si>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</si>
  <si>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</si>
  <si>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</si>
  <si>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</si>
  <si>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</si>
  <si>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</si>
  <si>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</si>
  <si>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</si>
  <si>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</si>
  <si>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</si>
  <si>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</si>
  <si>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</si>
  <si>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</si>
  <si>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</si>
  <si>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</si>
  <si>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</si>
  <si>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</si>
  <si>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</si>
  <si>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</si>
  <si>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</si>
  <si>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</si>
  <si>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</si>
  <si>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</si>
  <si>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</si>
  <si>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</si>
  <si>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</si>
  <si>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</si>
  <si>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</si>
  <si>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</si>
  <si>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</si>
  <si>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</si>
  <si>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</si>
  <si>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</si>
  <si>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</si>
  <si>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</si>
  <si>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</si>
  <si>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</si>
  <si>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</si>
  <si>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</si>
  <si>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</si>
  <si>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</si>
  <si>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</si>
  <si>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</si>
  <si>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</si>
  <si>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</si>
  <si>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</si>
  <si>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</si>
  <si>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</si>
  <si>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</si>
  <si>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</si>
  <si>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</si>
  <si>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</si>
  <si>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</si>
  <si>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</si>
  <si>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</si>
  <si>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</si>
  <si>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</si>
  <si>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</si>
  <si>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</si>
  <si>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</si>
  <si>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</si>
  <si>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</si>
  <si>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</si>
  <si>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</si>
  <si>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</si>
  <si>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</si>
  <si>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</si>
  <si>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</si>
  <si>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</si>
  <si>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</si>
  <si>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</si>
  <si>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</si>
  <si>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</si>
  <si>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</si>
  <si>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</si>
  <si>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</si>
  <si>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</si>
  <si>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</si>
  <si>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</si>
  <si>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</si>
  <si>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</si>
  <si>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</si>
  <si>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</si>
  <si>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</si>
  <si>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</si>
  <si>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</si>
  <si>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</si>
  <si>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</si>
  <si>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</si>
  <si>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</si>
  <si>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</si>
  <si>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</si>
  <si>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</si>
  <si>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</si>
  <si>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</si>
  <si>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</si>
  <si>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</si>
  <si>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</si>
  <si>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</si>
  <si>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</si>
  <si>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</si>
  <si>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</si>
  <si>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</si>
  <si>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</si>
  <si>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</si>
  <si>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</si>
  <si>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</si>
  <si>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</si>
  <si>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</si>
  <si>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</si>
  <si>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</si>
  <si>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</si>
  <si>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</si>
  <si>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</si>
  <si>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</si>
  <si>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</si>
  <si>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</si>
  <si>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</si>
  <si>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</si>
  <si>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</si>
  <si>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</si>
  <si>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</si>
  <si>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</si>
  <si>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</si>
  <si>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</si>
  <si>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</si>
  <si>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</si>
  <si>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</si>
  <si>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</si>
  <si>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</si>
  <si>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</si>
  <si>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</si>
  <si>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</si>
  <si>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</si>
  <si>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</si>
  <si>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</si>
  <si>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</si>
  <si>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</si>
  <si>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</si>
  <si>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</si>
  <si>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</si>
  <si>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</si>
  <si>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</si>
  <si>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</si>
  <si>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</si>
  <si>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</si>
  <si>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</si>
  <si>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</si>
  <si>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</si>
  <si>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</si>
  <si>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</si>
  <si>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</si>
  <si>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</si>
  <si>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</si>
  <si>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</si>
  <si>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</si>
  <si>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</si>
  <si>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</si>
  <si>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</si>
  <si>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</si>
  <si>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</si>
  <si>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</si>
  <si>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</si>
  <si>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</si>
  <si>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</si>
  <si>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</si>
  <si>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</si>
  <si>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</si>
  <si>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</si>
  <si>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</si>
  <si>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</si>
  <si>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</si>
  <si>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</si>
  <si>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</si>
  <si>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</si>
  <si>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</si>
  <si>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</si>
  <si>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</si>
  <si>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</si>
  <si>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</si>
  <si>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</si>
  <si>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</si>
  <si>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</si>
  <si>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</si>
  <si>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</si>
  <si>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</si>
  <si>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</si>
  <si>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</si>
  <si>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</si>
  <si>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</si>
  <si>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</si>
  <si>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</si>
  <si>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</si>
  <si>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</si>
  <si>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</si>
  <si>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</si>
  <si>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</si>
  <si>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</si>
  <si>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</si>
  <si>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</si>
  <si>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</si>
  <si>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</si>
  <si>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</si>
  <si>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</si>
  <si>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</si>
  <si>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</si>
  <si>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</si>
  <si>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</si>
  <si>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</si>
  <si>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</si>
  <si>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</si>
  <si>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</si>
  <si>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</si>
  <si>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</si>
  <si>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</si>
  <si>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</si>
  <si>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</si>
  <si>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</si>
  <si>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</si>
  <si>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</si>
  <si>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</si>
  <si>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</si>
  <si>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</si>
  <si>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</si>
  <si>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</si>
  <si>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</si>
  <si>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</si>
  <si>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</si>
  <si>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</si>
  <si>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</si>
  <si>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</si>
  <si>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</si>
  <si>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</si>
  <si>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</si>
  <si>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</si>
  <si>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</si>
  <si>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</si>
  <si>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</si>
  <si>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</si>
  <si>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</si>
  <si>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</si>
  <si>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</si>
  <si>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</si>
  <si>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</si>
  <si>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</si>
  <si>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</si>
  <si>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</si>
  <si>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</si>
  <si>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</si>
  <si>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</si>
  <si>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</si>
  <si>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</si>
  <si>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</si>
  <si>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</si>
  <si>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</si>
  <si>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</si>
  <si>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</si>
  <si>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</si>
  <si>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</si>
  <si>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</si>
  <si>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</si>
  <si>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</si>
  <si>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</si>
  <si>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</si>
  <si>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</si>
  <si>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</si>
  <si>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</si>
  <si>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</si>
  <si>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</si>
  <si>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</si>
  <si>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</si>
  <si>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</si>
  <si>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</si>
  <si>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</si>
  <si>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</si>
  <si>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</si>
  <si>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</si>
  <si>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</si>
  <si>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</si>
  <si>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</si>
  <si>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</si>
  <si>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</si>
  <si>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</si>
  <si>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</si>
  <si>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</si>
  <si>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</si>
  <si>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</si>
  <si>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</si>
  <si>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</si>
  <si>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</si>
  <si>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</si>
  <si>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</si>
  <si>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</si>
  <si>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</si>
  <si>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</si>
  <si>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</si>
  <si>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</si>
  <si>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</si>
  <si>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</si>
  <si>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</si>
  <si>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</si>
  <si>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</si>
  <si>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</si>
  <si>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</si>
  <si>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</si>
  <si>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</si>
  <si>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</si>
  <si>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</si>
  <si>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</si>
  <si>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</si>
  <si>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</si>
  <si>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</si>
  <si>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</si>
  <si>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</si>
  <si>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</si>
  <si>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</si>
  <si>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</si>
  <si>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</si>
  <si>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</si>
  <si>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</si>
  <si>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</si>
  <si>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</si>
  <si>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</si>
  <si>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</si>
  <si>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</si>
  <si>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</si>
  <si>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</si>
  <si>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</si>
  <si>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</si>
  <si>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</si>
  <si>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</si>
  <si>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</si>
  <si>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</si>
  <si>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</si>
  <si>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</si>
  <si>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</si>
  <si>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</si>
  <si>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</si>
  <si>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</si>
  <si>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</si>
  <si>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</si>
  <si>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</si>
  <si>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</si>
  <si>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</si>
  <si>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</si>
  <si>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</si>
  <si>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</si>
  <si>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</si>
  <si>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</si>
  <si>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</si>
  <si>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</si>
  <si>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</si>
  <si>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</si>
  <si>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</si>
  <si>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</si>
  <si>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</si>
  <si>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</si>
  <si>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</si>
  <si>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</si>
  <si>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</si>
  <si>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</si>
  <si>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</si>
  <si>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</si>
  <si>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</si>
  <si>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</si>
  <si>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</si>
  <si>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</si>
  <si>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</si>
  <si>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</si>
  <si>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</si>
  <si>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</si>
  <si>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</si>
  <si>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</si>
  <si>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</si>
  <si>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</si>
  <si>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</si>
  <si>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</si>
  <si>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</si>
  <si>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</si>
  <si>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</si>
  <si>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</si>
  <si>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</si>
  <si>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</si>
  <si>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</si>
  <si>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</si>
  <si>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</si>
  <si>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</si>
  <si>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</si>
  <si>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</si>
  <si>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</si>
  <si>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</si>
  <si>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</si>
  <si>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</si>
  <si>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</si>
  <si>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</si>
  <si>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</si>
  <si>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</si>
  <si>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</si>
  <si>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</si>
  <si>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</si>
  <si>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</si>
  <si>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</si>
  <si>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</si>
  <si>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</si>
  <si>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</si>
  <si>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</si>
  <si>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</si>
  <si>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</si>
  <si>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</si>
  <si>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</si>
  <si>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</si>
  <si>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</si>
  <si>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</si>
  <si>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</si>
  <si>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</si>
  <si>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</si>
  <si>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</si>
  <si>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</si>
  <si>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</si>
  <si>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</si>
  <si>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</si>
  <si>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</si>
  <si>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</si>
  <si>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</si>
  <si>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</si>
  <si>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</si>
  <si>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</si>
  <si>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</si>
  <si>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</si>
  <si>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</si>
  <si>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</si>
  <si>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</si>
  <si>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</si>
  <si>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</si>
  <si>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</si>
  <si>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</si>
  <si>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</si>
  <si>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</si>
  <si>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</si>
  <si>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</si>
  <si>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</si>
  <si>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</si>
  <si>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</si>
  <si>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</si>
  <si>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</si>
  <si>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</si>
  <si>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</si>
  <si>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</si>
  <si>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</si>
  <si>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</si>
  <si>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</si>
  <si>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</si>
  <si>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</si>
  <si>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</si>
  <si>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</si>
  <si>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</si>
  <si>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</si>
  <si>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</si>
  <si>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</si>
  <si>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</si>
  <si>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</si>
  <si>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</si>
  <si>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</si>
  <si>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</si>
  <si>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</si>
  <si>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</si>
  <si>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</si>
  <si>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</si>
  <si>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</si>
  <si>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</si>
  <si>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</si>
  <si>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</si>
  <si>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</si>
  <si>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</si>
  <si>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</si>
  <si>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</si>
  <si>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</si>
  <si>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</si>
  <si>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</si>
  <si>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</si>
  <si>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</si>
  <si>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</si>
  <si>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</si>
  <si>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</si>
  <si>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</si>
  <si>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</si>
  <si>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</si>
  <si>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</si>
  <si>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</si>
  <si>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</si>
  <si>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</si>
  <si>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</si>
  <si>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</si>
  <si>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</si>
  <si>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</si>
  <si>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</si>
  <si>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</si>
  <si>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</si>
  <si>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</si>
  <si>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</si>
  <si>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</si>
  <si>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</si>
  <si>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</si>
  <si>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</si>
  <si>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</si>
  <si>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</si>
  <si>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</si>
  <si>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</si>
  <si>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</si>
  <si>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</si>
  <si>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</si>
  <si>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</si>
  <si>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</si>
  <si>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</si>
  <si>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</si>
  <si>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</si>
  <si>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</si>
  <si>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</si>
  <si>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</si>
  <si>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</si>
  <si>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</si>
  <si>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</si>
  <si>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</si>
  <si>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</si>
  <si>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</si>
  <si>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</si>
  <si>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</si>
  <si>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</si>
  <si>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</si>
  <si>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</si>
  <si>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</si>
  <si>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</si>
  <si>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</si>
  <si>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</si>
  <si>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</si>
  <si>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</si>
  <si>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</si>
  <si>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</si>
  <si>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</si>
  <si>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</si>
  <si>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</si>
  <si>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</si>
  <si>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</si>
  <si>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</si>
  <si>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</si>
  <si>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</si>
  <si>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</si>
  <si>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</si>
  <si>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</si>
  <si>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</si>
  <si>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</si>
  <si>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</si>
  <si>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</si>
  <si>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</si>
  <si>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</si>
  <si>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</si>
  <si>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</si>
  <si>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</si>
  <si>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</si>
  <si>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</si>
  <si>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</si>
  <si>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</si>
  <si>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</si>
  <si>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</si>
  <si>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</si>
  <si>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</si>
  <si>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</si>
  <si>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</si>
  <si>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</si>
  <si>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</si>
  <si>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</si>
  <si>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</si>
  <si>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</si>
  <si>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</si>
  <si>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</si>
  <si>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</si>
  <si>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</si>
  <si>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</si>
  <si>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</si>
  <si>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</si>
  <si>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</si>
  <si>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</si>
  <si>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</si>
  <si>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</si>
  <si>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</si>
  <si>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</si>
  <si>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</si>
  <si>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</si>
  <si>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</si>
  <si>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</si>
  <si>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</si>
  <si>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</si>
  <si>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</si>
  <si>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</si>
  <si>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</si>
  <si>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</si>
  <si>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</si>
  <si>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</si>
  <si>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</si>
  <si>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</si>
  <si>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</si>
  <si>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</si>
  <si>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</si>
  <si>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</si>
  <si>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</si>
  <si>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</si>
  <si>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</si>
  <si>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</si>
  <si>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</si>
  <si>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</si>
  <si>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</si>
  <si>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</si>
  <si>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</si>
  <si>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</si>
  <si>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</si>
  <si>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</si>
  <si>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</si>
  <si>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</si>
  <si>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</si>
  <si>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</si>
  <si>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</si>
  <si>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</si>
  <si>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</si>
  <si>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</si>
  <si>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</si>
  <si>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</si>
  <si>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</si>
  <si>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</si>
  <si>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</si>
  <si>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</si>
  <si>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</si>
  <si>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</si>
  <si>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</si>
  <si>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</si>
  <si>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</si>
  <si>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</si>
  <si>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</si>
  <si>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</si>
  <si>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</si>
  <si>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</si>
  <si>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</si>
  <si>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</si>
  <si>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</si>
  <si>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</si>
  <si>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</si>
  <si>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</si>
  <si>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</si>
  <si>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</si>
  <si>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</si>
  <si>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</si>
  <si>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</si>
  <si>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</si>
  <si>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</si>
  <si>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</si>
  <si>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</si>
  <si>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</si>
  <si>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</si>
  <si>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</si>
  <si>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</si>
  <si>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</si>
  <si>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</si>
  <si>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</si>
  <si>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</si>
  <si>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</si>
  <si>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</si>
  <si>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</si>
  <si>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</si>
  <si>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</si>
  <si>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</si>
  <si>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</si>
  <si>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</si>
  <si>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</si>
  <si>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</si>
  <si>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</si>
  <si>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</si>
  <si>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</si>
  <si>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</si>
  <si>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</si>
  <si>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</si>
  <si>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</si>
  <si>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</si>
  <si>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</si>
  <si>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</si>
  <si>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</si>
  <si>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</si>
  <si>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</si>
  <si>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</si>
  <si>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</si>
  <si>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</si>
  <si>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</si>
  <si>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</si>
  <si>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</si>
  <si>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</si>
  <si>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</si>
  <si>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</si>
  <si>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</si>
  <si>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</si>
  <si>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</si>
  <si>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</si>
  <si>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</si>
  <si>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</si>
  <si>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</si>
  <si>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</si>
  <si>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</si>
  <si>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</si>
  <si>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</si>
  <si>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</si>
  <si>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</si>
  <si>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</si>
  <si>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</si>
  <si>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</si>
  <si>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</si>
  <si>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</si>
  <si>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</si>
  <si>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</si>
  <si>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</si>
  <si>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</si>
  <si>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</si>
  <si>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</si>
  <si>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</si>
  <si>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</si>
  <si>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</si>
  <si>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</si>
  <si>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</si>
  <si>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</si>
  <si>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</si>
  <si>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</si>
  <si>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</si>
  <si>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</si>
  <si>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</si>
  <si>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</si>
  <si>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</si>
  <si>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</si>
  <si>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</si>
  <si>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</si>
  <si>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</si>
  <si>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</si>
  <si>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</si>
  <si>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</si>
  <si>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</si>
  <si>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</si>
  <si>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</si>
  <si>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</si>
  <si>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</si>
  <si>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</si>
  <si>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</si>
  <si>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</si>
  <si>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</si>
  <si>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</si>
  <si>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</si>
  <si>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</si>
  <si>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</si>
  <si>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</si>
  <si>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</si>
  <si>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</si>
  <si>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</si>
  <si>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</si>
  <si>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</si>
  <si>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</si>
  <si>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</si>
  <si>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</si>
  <si>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</si>
  <si>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</si>
  <si>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</si>
  <si>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</si>
  <si>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</si>
  <si>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</si>
  <si>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</si>
  <si>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</si>
  <si>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</si>
  <si>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</si>
  <si>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</si>
  <si>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</si>
  <si>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</si>
  <si>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</si>
  <si>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</si>
  <si>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</si>
  <si>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</si>
  <si>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</si>
  <si>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</si>
  <si>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</si>
  <si>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</si>
  <si>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</si>
  <si>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</si>
  <si>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</si>
  <si>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</si>
  <si>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</si>
  <si>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</si>
  <si>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</si>
  <si>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</si>
  <si>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</si>
  <si>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</si>
  <si>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</si>
  <si>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</si>
  <si>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</si>
  <si>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</si>
  <si>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</si>
  <si>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</si>
  <si>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</si>
  <si>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</si>
  <si>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</si>
  <si>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</si>
  <si>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</si>
  <si>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</si>
  <si>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</si>
  <si>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</si>
  <si>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</si>
  <si>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</si>
  <si>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</si>
  <si>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</si>
  <si>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</si>
  <si>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</si>
  <si>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</si>
  <si>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</si>
  <si>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</si>
  <si>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</si>
  <si>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</si>
  <si>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</si>
  <si>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</si>
  <si>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</si>
  <si>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</si>
  <si>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</si>
  <si>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</si>
  <si>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</si>
  <si>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</si>
  <si>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</si>
  <si>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</si>
  <si>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</si>
  <si>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</si>
  <si>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</si>
  <si>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</si>
  <si>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</si>
  <si>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</si>
  <si>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</si>
  <si>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</si>
  <si>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</si>
  <si>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</si>
  <si>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</si>
  <si>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</si>
  <si>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</si>
  <si>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</si>
  <si>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</si>
  <si>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</si>
  <si>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</si>
  <si>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</si>
  <si>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</si>
  <si>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</si>
  <si>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</si>
  <si>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</si>
  <si>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</si>
  <si>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</si>
  <si>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</si>
  <si>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</si>
  <si>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</si>
  <si>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</si>
  <si>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</si>
  <si>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</si>
  <si>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</si>
  <si>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</si>
  <si>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</si>
  <si>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</si>
  <si>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</si>
  <si>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</si>
  <si>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</si>
  <si>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</si>
  <si>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</si>
  <si>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</si>
  <si>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</si>
  <si>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</si>
  <si>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</si>
  <si>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</si>
  <si>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</si>
  <si>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</si>
  <si>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</si>
  <si>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</si>
  <si>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</si>
  <si>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</si>
  <si>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</si>
  <si>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</si>
  <si>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</si>
  <si>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</si>
  <si>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</si>
  <si>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</si>
  <si>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</si>
  <si>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</si>
  <si>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</si>
  <si>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</si>
  <si>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</si>
  <si>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</si>
  <si>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</si>
  <si>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</si>
  <si>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</si>
  <si>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</si>
  <si>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</si>
  <si>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</si>
  <si>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</si>
  <si>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</si>
  <si>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</si>
  <si>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</si>
  <si>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</si>
  <si>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</si>
  <si>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</si>
  <si>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</si>
  <si>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</si>
  <si>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</si>
  <si>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</si>
  <si>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</si>
  <si>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</si>
  <si>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</si>
  <si>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</si>
  <si>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</si>
  <si>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</si>
  <si>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</si>
  <si>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</si>
  <si>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</si>
  <si>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</si>
  <si>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</si>
  <si>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</si>
  <si>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</si>
  <si>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</si>
  <si>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</si>
  <si>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</si>
  <si>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</si>
  <si>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</si>
  <si>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</si>
  <si>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</si>
  <si>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</si>
  <si>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抵押</t>
  </si>
  <si>
    <t>房地产抵押价值</t>
  </si>
  <si>
    <t>北京市</t>
  </si>
  <si>
    <t>现房</t>
  </si>
  <si>
    <t>商业项目</t>
  </si>
  <si>
    <t>通路</t>
  </si>
  <si>
    <t>通电</t>
  </si>
  <si>
    <t>通讯</t>
  </si>
  <si>
    <t>通上水</t>
  </si>
  <si>
    <t>通下水</t>
  </si>
  <si>
    <t>平整</t>
  </si>
  <si>
    <t>是</t>
    <phoneticPr fontId="3" type="noConversion"/>
  </si>
  <si>
    <t>地上</t>
  </si>
  <si>
    <t>底商</t>
  </si>
  <si>
    <t>成新度</t>
  </si>
  <si>
    <t>利息：取LPR加浮动点数</t>
  </si>
  <si>
    <t>单套模式</t>
  </si>
  <si>
    <t>售价</t>
  </si>
  <si>
    <t>押一</t>
  </si>
  <si>
    <t>钢混</t>
  </si>
  <si>
    <t>非生产用房</t>
  </si>
  <si>
    <t>未包含在土地购买价格中</t>
  </si>
  <si>
    <t>已包含在土地取得成本中</t>
  </si>
  <si>
    <t>估价对象容积率</t>
  </si>
  <si>
    <t>不临65条商业街</t>
  </si>
  <si>
    <t>与级别开发程度不一致</t>
  </si>
  <si>
    <t>楼层修正</t>
  </si>
  <si>
    <t>比较法-商业</t>
  </si>
  <si>
    <t>北京银行</t>
    <phoneticPr fontId="134" type="noConversion"/>
  </si>
  <si>
    <t>套内面积</t>
    <phoneticPr fontId="134" type="noConversion"/>
  </si>
  <si>
    <t xml:space="preserve"> 租期</t>
    <phoneticPr fontId="134" type="noConversion"/>
  </si>
  <si>
    <t>起租</t>
    <phoneticPr fontId="134" type="noConversion"/>
  </si>
  <si>
    <t>终止</t>
    <phoneticPr fontId="134" type="noConversion"/>
  </si>
  <si>
    <t>保证金</t>
    <phoneticPr fontId="134" type="noConversion"/>
  </si>
  <si>
    <t>无</t>
    <phoneticPr fontId="134" type="noConversion"/>
  </si>
  <si>
    <t>年租金</t>
    <phoneticPr fontId="134" type="noConversion"/>
  </si>
  <si>
    <t>百旺中联</t>
    <phoneticPr fontId="134" type="noConversion"/>
  </si>
  <si>
    <t>兴风共创</t>
    <phoneticPr fontId="134" type="noConversion"/>
  </si>
  <si>
    <r>
      <rPr>
        <sz val="10"/>
        <color theme="9" tint="-0.249977111117893"/>
        <rFont val="宋体"/>
        <family val="3"/>
        <charset val="134"/>
      </rPr>
      <t>崇文区珠市口东大街</t>
    </r>
    <r>
      <rPr>
        <sz val="10"/>
        <color theme="9" tint="-0.249977111117893"/>
        <rFont val="Arial"/>
        <family val="2"/>
      </rPr>
      <t>14</t>
    </r>
    <r>
      <rPr>
        <sz val="10"/>
        <color theme="9" tint="-0.249977111117893"/>
        <rFont val="宋体"/>
        <family val="3"/>
        <charset val="134"/>
      </rPr>
      <t>号</t>
    </r>
    <r>
      <rPr>
        <sz val="10"/>
        <color theme="9" tint="-0.249977111117893"/>
        <rFont val="Arial"/>
        <family val="2"/>
      </rPr>
      <t>1-C</t>
    </r>
    <phoneticPr fontId="6" type="noConversion"/>
  </si>
  <si>
    <t>市场租金</t>
    <phoneticPr fontId="3" type="noConversion"/>
  </si>
  <si>
    <t>建成</t>
    <phoneticPr fontId="3" type="noConversion"/>
  </si>
  <si>
    <t>直线</t>
    <phoneticPr fontId="3" type="noConversion"/>
  </si>
  <si>
    <t>观察</t>
    <phoneticPr fontId="3" type="noConversion"/>
  </si>
  <si>
    <t>综合</t>
    <phoneticPr fontId="3" type="noConversion"/>
  </si>
  <si>
    <t>较好</t>
  </si>
  <si>
    <t>一般</t>
  </si>
  <si>
    <t>好</t>
  </si>
  <si>
    <t xml:space="preserve"> </t>
    <phoneticPr fontId="134" type="noConversion"/>
  </si>
  <si>
    <t>项目名称</t>
    <phoneticPr fontId="134" type="noConversion"/>
  </si>
  <si>
    <t>珠市口东大街</t>
    <phoneticPr fontId="134" type="noConversion"/>
  </si>
  <si>
    <t>北京汇</t>
    <phoneticPr fontId="134" type="noConversion"/>
  </si>
  <si>
    <t>单价</t>
    <phoneticPr fontId="134" type="noConversion"/>
  </si>
  <si>
    <t>面积</t>
    <phoneticPr fontId="134" type="noConversion"/>
  </si>
  <si>
    <t>装修</t>
    <phoneticPr fontId="134" type="noConversion"/>
  </si>
  <si>
    <t>普装</t>
    <phoneticPr fontId="134" type="noConversion"/>
  </si>
  <si>
    <t>北京欣选欣礼商务服务有限公司</t>
    <phoneticPr fontId="6" type="noConversion"/>
  </si>
  <si>
    <t>工行</t>
    <phoneticPr fontId="6" type="noConversion"/>
  </si>
  <si>
    <t>工行</t>
    <phoneticPr fontId="6" type="noConversion"/>
  </si>
  <si>
    <t>企业</t>
  </si>
  <si>
    <t>北京中欣安泰投资有限公司</t>
    <phoneticPr fontId="6" type="noConversion"/>
  </si>
  <si>
    <t>否</t>
  </si>
  <si>
    <t>原件</t>
  </si>
  <si>
    <t>C-1</t>
    <phoneticPr fontId="3" type="noConversion"/>
  </si>
  <si>
    <t>一般</t>
    <phoneticPr fontId="24" type="noConversion"/>
  </si>
  <si>
    <t>较好</t>
    <phoneticPr fontId="40" type="noConversion"/>
  </si>
  <si>
    <t>七通</t>
  </si>
  <si>
    <t>七通</t>
    <phoneticPr fontId="24" type="noConversion"/>
  </si>
  <si>
    <t>中欣银宝通大厦</t>
    <phoneticPr fontId="3" type="noConversion"/>
  </si>
  <si>
    <t>正常</t>
  </si>
  <si>
    <r>
      <t>30-40</t>
    </r>
    <r>
      <rPr>
        <sz val="11"/>
        <rFont val="宋体"/>
        <family val="3"/>
        <charset val="134"/>
      </rPr>
      <t>（含）</t>
    </r>
    <phoneticPr fontId="30" type="noConversion"/>
  </si>
  <si>
    <r>
      <t>20-30</t>
    </r>
    <r>
      <rPr>
        <sz val="11"/>
        <rFont val="宋体"/>
        <family val="3"/>
        <charset val="134"/>
      </rPr>
      <t>（含）</t>
    </r>
    <phoneticPr fontId="30" type="noConversion"/>
  </si>
  <si>
    <r>
      <t>10-20</t>
    </r>
    <r>
      <rPr>
        <sz val="11"/>
        <rFont val="宋体"/>
        <family val="3"/>
        <charset val="134"/>
      </rPr>
      <t>（含）</t>
    </r>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</si>
  <si>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</si>
  <si>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</si>
  <si>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</si>
  <si>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</si>
  <si>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</si>
  <si>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</si>
  <si>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</si>
  <si>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</si>
  <si>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</si>
  <si>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</si>
  <si>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</si>
  <si>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</si>
  <si>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</si>
  <si>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购物中心</t>
    <phoneticPr fontId="30" type="noConversion"/>
  </si>
  <si>
    <t>商业街</t>
    <phoneticPr fontId="30" type="noConversion"/>
  </si>
  <si>
    <t>写字楼配套</t>
  </si>
  <si>
    <t>写字楼配套</t>
    <phoneticPr fontId="30" type="noConversion"/>
  </si>
  <si>
    <t>住宅配套</t>
  </si>
  <si>
    <t>住宅配套</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</si>
  <si>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</si>
  <si>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</si>
  <si>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</si>
  <si>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</si>
  <si>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</si>
  <si>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</si>
  <si>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</si>
  <si>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</si>
  <si>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</si>
  <si>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</si>
  <si>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</si>
  <si>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</si>
  <si>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</si>
  <si>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</si>
  <si>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</si>
  <si>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</si>
  <si>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商业</t>
    <phoneticPr fontId="30" type="noConversion"/>
  </si>
  <si>
    <t>建成</t>
    <phoneticPr fontId="134" type="noConversion"/>
  </si>
  <si>
    <t>幸福家园三期</t>
    <phoneticPr fontId="134" type="noConversion"/>
  </si>
  <si>
    <t>剩余</t>
    <phoneticPr fontId="134" type="noConversion"/>
  </si>
  <si>
    <t>1层</t>
  </si>
  <si>
    <t>五通</t>
  </si>
  <si>
    <t>六通</t>
  </si>
  <si>
    <t>套内</t>
    <phoneticPr fontId="7" type="noConversion"/>
  </si>
  <si>
    <t>产权</t>
    <phoneticPr fontId="7" type="noConversion"/>
  </si>
  <si>
    <t>合同</t>
    <phoneticPr fontId="7" type="noConversion"/>
  </si>
  <si>
    <t>建筑</t>
    <phoneticPr fontId="7" type="noConversion"/>
  </si>
  <si>
    <t>建筑面积</t>
    <phoneticPr fontId="7" type="noConversion"/>
  </si>
  <si>
    <t>北京银行</t>
  </si>
  <si>
    <t>北京银行</t>
    <phoneticPr fontId="7" type="noConversion"/>
  </si>
  <si>
    <t>其他</t>
  </si>
  <si>
    <t>其他</t>
    <phoneticPr fontId="7" type="noConversion"/>
  </si>
  <si>
    <t>收益法-北京银行</t>
  </si>
  <si>
    <t>收益法-北京银行</t>
    <phoneticPr fontId="16" type="noConversion"/>
  </si>
  <si>
    <t>收益法-其他</t>
  </si>
  <si>
    <t>收益法-其他</t>
    <phoneticPr fontId="16" type="noConversion"/>
  </si>
  <si>
    <t>收益法（汇总）</t>
  </si>
  <si>
    <t>项目局部</t>
  </si>
  <si>
    <t>2套打包</t>
    <phoneticPr fontId="134" type="noConversion"/>
  </si>
  <si>
    <r>
      <t>2</t>
    </r>
    <r>
      <rPr>
        <sz val="11"/>
        <color theme="1"/>
        <rFont val="宋体"/>
        <family val="3"/>
        <charset val="134"/>
        <scheme val="minor"/>
      </rPr>
      <t>00平</t>
    </r>
    <phoneticPr fontId="134" type="noConversion"/>
  </si>
  <si>
    <r>
      <t>1</t>
    </r>
    <r>
      <rPr>
        <sz val="11"/>
        <color theme="1"/>
        <rFont val="宋体"/>
        <family val="3"/>
        <charset val="134"/>
        <scheme val="minor"/>
      </rPr>
      <t>00临街</t>
    </r>
    <phoneticPr fontId="134" type="noConversion"/>
  </si>
  <si>
    <r>
      <t>1</t>
    </r>
    <r>
      <rPr>
        <sz val="11"/>
        <color theme="1"/>
        <rFont val="宋体"/>
        <family val="3"/>
        <charset val="134"/>
        <scheme val="minor"/>
      </rPr>
      <t>00不临街</t>
    </r>
    <phoneticPr fontId="134" type="noConversion"/>
  </si>
  <si>
    <t>年租金</t>
    <phoneticPr fontId="134" type="noConversion"/>
  </si>
  <si>
    <t>使用面积单价</t>
    <phoneticPr fontId="134" type="noConversion"/>
  </si>
  <si>
    <t>建筑面积单价</t>
    <phoneticPr fontId="134" type="noConversion"/>
  </si>
  <si>
    <t xml:space="preserve"> </t>
    <phoneticPr fontId="8" type="noConversion"/>
  </si>
  <si>
    <t xml:space="preserve"> </t>
    <phoneticPr fontId="3" type="noConversion"/>
  </si>
  <si>
    <t>价值偏高</t>
    <phoneticPr fontId="8" type="noConversion"/>
  </si>
  <si>
    <t>自定义</t>
  </si>
  <si>
    <t>总价</t>
  </si>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</sst>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2" borderId="2"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14" fontId="0" fillId="0" borderId="0" xfId="0" applyNumberFormat="1">
      <alignmen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0" xfId="0" applyFont="1" applyProtection="1">
      <alignment vertical="center"/>
      <protection locked="0"/>
    </xf>
    <xf numFmtId="0" fontId="100"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9" fillId="7" borderId="0" xfId="0" applyFont="1" applyFill="1" applyProtection="1">
      <alignment vertical="center"/>
      <protection locked="0"/>
    </xf>
    <xf numFmtId="9" fontId="0" fillId="0" borderId="0" xfId="0" applyNumberFormat="1">
      <alignment vertical="center"/>
    </xf>
    <xf numFmtId="178" fontId="47" fillId="6" borderId="0" xfId="0" applyNumberFormat="1" applyFont="1" applyFill="1" applyAlignment="1" applyProtection="1">
      <alignment vertical="center" wrapText="1"/>
      <protection locked="0"/>
    </xf>
    <xf numFmtId="0" fontId="62" fillId="6" borderId="0" xfId="0" applyNumberFormat="1" applyFont="1" applyFill="1" applyBorder="1" applyAlignment="1" applyProtection="1">
      <alignment horizont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18" borderId="0" xfId="0" applyFont="1" applyFill="1" applyAlignment="1" applyProtection="1">
      <alignment vertical="center"/>
      <protection locked="0"/>
    </xf>
    <xf numFmtId="0" fontId="51" fillId="18" borderId="78" xfId="0" applyNumberFormat="1" applyFont="1" applyFill="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0" fontId="44" fillId="18" borderId="3" xfId="0" applyFont="1" applyFill="1" applyBorder="1" applyAlignment="1" applyProtection="1">
      <alignment vertical="center"/>
      <protection locked="0"/>
    </xf>
    <xf numFmtId="0" fontId="44" fillId="18" borderId="3" xfId="0" applyNumberFormat="1" applyFont="1" applyFill="1" applyBorder="1" applyAlignment="1" applyProtection="1">
      <alignment horizontal="center" vertical="center" wrapText="1"/>
      <protection locked="0"/>
    </xf>
    <xf numFmtId="0" fontId="44" fillId="18" borderId="2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11</xdr:row>
      <xdr:rowOff>161925</xdr:rowOff>
    </xdr:from>
    <xdr:to>
      <xdr:col>8</xdr:col>
      <xdr:colOff>220901</xdr:colOff>
      <xdr:row>29</xdr:row>
      <xdr:rowOff>170786</xdr:rowOff>
    </xdr:to>
    <xdr:pic>
      <xdr:nvPicPr>
        <xdr:cNvPr id="5" name="图片 4"/>
        <xdr:cNvPicPr>
          <a:picLocks noChangeAspect="1"/>
        </xdr:cNvPicPr>
      </xdr:nvPicPr>
      <xdr:blipFill>
        <a:blip xmlns:r="http://schemas.openxmlformats.org/officeDocument/2006/relationships" r:embed="rId1"/>
        <a:stretch>
          <a:fillRect/>
        </a:stretch>
      </xdr:blipFill>
      <xdr:spPr>
        <a:xfrm>
          <a:off x="28575" y="2047875"/>
          <a:ext cx="5678726" cy="3094961"/>
        </a:xfrm>
        <a:prstGeom prst="rect">
          <a:avLst/>
        </a:prstGeom>
      </xdr:spPr>
    </xdr:pic>
    <xdr:clientData/>
  </xdr:twoCellAnchor>
  <xdr:twoCellAnchor editAs="oneCell">
    <xdr:from>
      <xdr:col>0</xdr:col>
      <xdr:colOff>0</xdr:colOff>
      <xdr:row>31</xdr:row>
      <xdr:rowOff>0</xdr:rowOff>
    </xdr:from>
    <xdr:to>
      <xdr:col>8</xdr:col>
      <xdr:colOff>38100</xdr:colOff>
      <xdr:row>55</xdr:row>
      <xdr:rowOff>7837</xdr:rowOff>
    </xdr:to>
    <xdr:pic>
      <xdr:nvPicPr>
        <xdr:cNvPr id="6" name="图片 5"/>
        <xdr:cNvPicPr>
          <a:picLocks noChangeAspect="1"/>
        </xdr:cNvPicPr>
      </xdr:nvPicPr>
      <xdr:blipFill>
        <a:blip xmlns:r="http://schemas.openxmlformats.org/officeDocument/2006/relationships" r:embed="rId2"/>
        <a:stretch>
          <a:fillRect/>
        </a:stretch>
      </xdr:blipFill>
      <xdr:spPr>
        <a:xfrm>
          <a:off x="6858000" y="5314950"/>
          <a:ext cx="5524500" cy="4122637"/>
        </a:xfrm>
        <a:prstGeom prst="rect">
          <a:avLst/>
        </a:prstGeom>
      </xdr:spPr>
    </xdr:pic>
    <xdr:clientData/>
  </xdr:twoCellAnchor>
  <xdr:twoCellAnchor editAs="oneCell">
    <xdr:from>
      <xdr:col>8</xdr:col>
      <xdr:colOff>333374</xdr:colOff>
      <xdr:row>11</xdr:row>
      <xdr:rowOff>161925</xdr:rowOff>
    </xdr:from>
    <xdr:to>
      <xdr:col>17</xdr:col>
      <xdr:colOff>302181</xdr:colOff>
      <xdr:row>32</xdr:row>
      <xdr:rowOff>94572</xdr:rowOff>
    </xdr:to>
    <xdr:pic>
      <xdr:nvPicPr>
        <xdr:cNvPr id="7" name="图片 6"/>
        <xdr:cNvPicPr>
          <a:picLocks noChangeAspect="1"/>
        </xdr:cNvPicPr>
      </xdr:nvPicPr>
      <xdr:blipFill>
        <a:blip xmlns:r="http://schemas.openxmlformats.org/officeDocument/2006/relationships" r:embed="rId3"/>
        <a:stretch>
          <a:fillRect/>
        </a:stretch>
      </xdr:blipFill>
      <xdr:spPr>
        <a:xfrm>
          <a:off x="5819774" y="2047875"/>
          <a:ext cx="6141007" cy="3533097"/>
        </a:xfrm>
        <a:prstGeom prst="rect">
          <a:avLst/>
        </a:prstGeom>
      </xdr:spPr>
    </xdr:pic>
    <xdr:clientData/>
  </xdr:twoCellAnchor>
  <xdr:twoCellAnchor editAs="oneCell">
    <xdr:from>
      <xdr:col>8</xdr:col>
      <xdr:colOff>161924</xdr:colOff>
      <xdr:row>33</xdr:row>
      <xdr:rowOff>72376</xdr:rowOff>
    </xdr:from>
    <xdr:to>
      <xdr:col>15</xdr:col>
      <xdr:colOff>294471</xdr:colOff>
      <xdr:row>54</xdr:row>
      <xdr:rowOff>104184</xdr:rowOff>
    </xdr:to>
    <xdr:pic>
      <xdr:nvPicPr>
        <xdr:cNvPr id="8" name="图片 7"/>
        <xdr:cNvPicPr>
          <a:picLocks noChangeAspect="1"/>
        </xdr:cNvPicPr>
      </xdr:nvPicPr>
      <xdr:blipFill>
        <a:blip xmlns:r="http://schemas.openxmlformats.org/officeDocument/2006/relationships" r:embed="rId4"/>
        <a:stretch>
          <a:fillRect/>
        </a:stretch>
      </xdr:blipFill>
      <xdr:spPr>
        <a:xfrm>
          <a:off x="5648324" y="5730226"/>
          <a:ext cx="4933147" cy="3632258"/>
        </a:xfrm>
        <a:prstGeom prst="rect">
          <a:avLst/>
        </a:prstGeom>
      </xdr:spPr>
    </xdr:pic>
    <xdr:clientData/>
  </xdr:twoCellAnchor>
  <xdr:twoCellAnchor editAs="oneCell">
    <xdr:from>
      <xdr:col>17</xdr:col>
      <xdr:colOff>166338</xdr:colOff>
      <xdr:row>11</xdr:row>
      <xdr:rowOff>133350</xdr:rowOff>
    </xdr:from>
    <xdr:to>
      <xdr:col>24</xdr:col>
      <xdr:colOff>462113</xdr:colOff>
      <xdr:row>38</xdr:row>
      <xdr:rowOff>113422</xdr:rowOff>
    </xdr:to>
    <xdr:pic>
      <xdr:nvPicPr>
        <xdr:cNvPr id="9" name="图片 8"/>
        <xdr:cNvPicPr>
          <a:picLocks noChangeAspect="1"/>
        </xdr:cNvPicPr>
      </xdr:nvPicPr>
      <xdr:blipFill>
        <a:blip xmlns:r="http://schemas.openxmlformats.org/officeDocument/2006/relationships" r:embed="rId5"/>
        <a:stretch>
          <a:fillRect/>
        </a:stretch>
      </xdr:blipFill>
      <xdr:spPr>
        <a:xfrm>
          <a:off x="11824938" y="2019300"/>
          <a:ext cx="5096375" cy="46092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14</xdr:col>
      <xdr:colOff>380524</xdr:colOff>
      <xdr:row>10</xdr:row>
      <xdr:rowOff>18833</xdr:rowOff>
    </xdr:to>
    <xdr:pic>
      <xdr:nvPicPr>
        <xdr:cNvPr id="3" name="图片 2"/>
        <xdr:cNvPicPr>
          <a:picLocks noChangeAspect="1"/>
        </xdr:cNvPicPr>
      </xdr:nvPicPr>
      <xdr:blipFill>
        <a:blip xmlns:r="http://schemas.openxmlformats.org/officeDocument/2006/relationships" r:embed="rId1"/>
        <a:stretch>
          <a:fillRect/>
        </a:stretch>
      </xdr:blipFill>
      <xdr:spPr>
        <a:xfrm>
          <a:off x="6400800" y="0"/>
          <a:ext cx="3809524" cy="1733333"/>
        </a:xfrm>
        <a:prstGeom prst="rect">
          <a:avLst/>
        </a:prstGeom>
      </xdr:spPr>
    </xdr:pic>
    <xdr:clientData/>
  </xdr:twoCellAnchor>
  <xdr:twoCellAnchor editAs="oneCell">
    <xdr:from>
      <xdr:col>9</xdr:col>
      <xdr:colOff>0</xdr:colOff>
      <xdr:row>11</xdr:row>
      <xdr:rowOff>0</xdr:rowOff>
    </xdr:from>
    <xdr:to>
      <xdr:col>14</xdr:col>
      <xdr:colOff>675762</xdr:colOff>
      <xdr:row>20</xdr:row>
      <xdr:rowOff>171236</xdr:rowOff>
    </xdr:to>
    <xdr:pic>
      <xdr:nvPicPr>
        <xdr:cNvPr id="4" name="图片 3"/>
        <xdr:cNvPicPr>
          <a:picLocks noChangeAspect="1"/>
        </xdr:cNvPicPr>
      </xdr:nvPicPr>
      <xdr:blipFill>
        <a:blip xmlns:r="http://schemas.openxmlformats.org/officeDocument/2006/relationships" r:embed="rId2"/>
        <a:stretch>
          <a:fillRect/>
        </a:stretch>
      </xdr:blipFill>
      <xdr:spPr>
        <a:xfrm>
          <a:off x="6400800" y="1885950"/>
          <a:ext cx="4104762" cy="1714286"/>
        </a:xfrm>
        <a:prstGeom prst="rect">
          <a:avLst/>
        </a:prstGeom>
      </xdr:spPr>
    </xdr:pic>
    <xdr:clientData/>
  </xdr:twoCellAnchor>
  <xdr:twoCellAnchor editAs="oneCell">
    <xdr:from>
      <xdr:col>9</xdr:col>
      <xdr:colOff>0</xdr:colOff>
      <xdr:row>21</xdr:row>
      <xdr:rowOff>0</xdr:rowOff>
    </xdr:from>
    <xdr:to>
      <xdr:col>15</xdr:col>
      <xdr:colOff>170915</xdr:colOff>
      <xdr:row>31</xdr:row>
      <xdr:rowOff>114072</xdr:rowOff>
    </xdr:to>
    <xdr:pic>
      <xdr:nvPicPr>
        <xdr:cNvPr id="5" name="图片 4"/>
        <xdr:cNvPicPr>
          <a:picLocks noChangeAspect="1"/>
        </xdr:cNvPicPr>
      </xdr:nvPicPr>
      <xdr:blipFill>
        <a:blip xmlns:r="http://schemas.openxmlformats.org/officeDocument/2006/relationships" r:embed="rId3"/>
        <a:stretch>
          <a:fillRect/>
        </a:stretch>
      </xdr:blipFill>
      <xdr:spPr>
        <a:xfrm>
          <a:off x="6400800" y="3600450"/>
          <a:ext cx="4285715" cy="1828572"/>
        </a:xfrm>
        <a:prstGeom prst="rect">
          <a:avLst/>
        </a:prstGeom>
      </xdr:spPr>
    </xdr:pic>
    <xdr:clientData/>
  </xdr:twoCellAnchor>
  <xdr:twoCellAnchor editAs="oneCell">
    <xdr:from>
      <xdr:col>9</xdr:col>
      <xdr:colOff>0</xdr:colOff>
      <xdr:row>32</xdr:row>
      <xdr:rowOff>0</xdr:rowOff>
    </xdr:from>
    <xdr:to>
      <xdr:col>15</xdr:col>
      <xdr:colOff>113772</xdr:colOff>
      <xdr:row>41</xdr:row>
      <xdr:rowOff>142664</xdr:rowOff>
    </xdr:to>
    <xdr:pic>
      <xdr:nvPicPr>
        <xdr:cNvPr id="6" name="图片 5"/>
        <xdr:cNvPicPr>
          <a:picLocks noChangeAspect="1"/>
        </xdr:cNvPicPr>
      </xdr:nvPicPr>
      <xdr:blipFill>
        <a:blip xmlns:r="http://schemas.openxmlformats.org/officeDocument/2006/relationships" r:embed="rId4"/>
        <a:stretch>
          <a:fillRect/>
        </a:stretch>
      </xdr:blipFill>
      <xdr:spPr>
        <a:xfrm>
          <a:off x="6400800" y="5486400"/>
          <a:ext cx="4228572" cy="1685714"/>
        </a:xfrm>
        <a:prstGeom prst="rect">
          <a:avLst/>
        </a:prstGeom>
      </xdr:spPr>
    </xdr:pic>
    <xdr:clientData/>
  </xdr:twoCellAnchor>
  <xdr:twoCellAnchor editAs="oneCell">
    <xdr:from>
      <xdr:col>9</xdr:col>
      <xdr:colOff>0</xdr:colOff>
      <xdr:row>42</xdr:row>
      <xdr:rowOff>0</xdr:rowOff>
    </xdr:from>
    <xdr:to>
      <xdr:col>15</xdr:col>
      <xdr:colOff>28057</xdr:colOff>
      <xdr:row>51</xdr:row>
      <xdr:rowOff>37902</xdr:rowOff>
    </xdr:to>
    <xdr:pic>
      <xdr:nvPicPr>
        <xdr:cNvPr id="7" name="图片 6"/>
        <xdr:cNvPicPr>
          <a:picLocks noChangeAspect="1"/>
        </xdr:cNvPicPr>
      </xdr:nvPicPr>
      <xdr:blipFill>
        <a:blip xmlns:r="http://schemas.openxmlformats.org/officeDocument/2006/relationships" r:embed="rId5"/>
        <a:stretch>
          <a:fillRect/>
        </a:stretch>
      </xdr:blipFill>
      <xdr:spPr>
        <a:xfrm>
          <a:off x="6400800" y="7200900"/>
          <a:ext cx="4142857" cy="1580952"/>
        </a:xfrm>
        <a:prstGeom prst="rect">
          <a:avLst/>
        </a:prstGeom>
      </xdr:spPr>
    </xdr:pic>
    <xdr:clientData/>
  </xdr:twoCellAnchor>
  <xdr:twoCellAnchor editAs="oneCell">
    <xdr:from>
      <xdr:col>15</xdr:col>
      <xdr:colOff>0</xdr:colOff>
      <xdr:row>0</xdr:row>
      <xdr:rowOff>0</xdr:rowOff>
    </xdr:from>
    <xdr:to>
      <xdr:col>21</xdr:col>
      <xdr:colOff>161391</xdr:colOff>
      <xdr:row>9</xdr:row>
      <xdr:rowOff>123617</xdr:rowOff>
    </xdr:to>
    <xdr:pic>
      <xdr:nvPicPr>
        <xdr:cNvPr id="8" name="图片 7"/>
        <xdr:cNvPicPr>
          <a:picLocks noChangeAspect="1"/>
        </xdr:cNvPicPr>
      </xdr:nvPicPr>
      <xdr:blipFill>
        <a:blip xmlns:r="http://schemas.openxmlformats.org/officeDocument/2006/relationships" r:embed="rId6"/>
        <a:stretch>
          <a:fillRect/>
        </a:stretch>
      </xdr:blipFill>
      <xdr:spPr>
        <a:xfrm>
          <a:off x="10515600" y="0"/>
          <a:ext cx="4276191" cy="1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北京市崇文区珠市口东大街14号1-C房地产抵押价值预评估</v>
      </c>
    </row>
    <row r="3" spans="1:2" s="1203" customFormat="1">
      <c r="A3" s="1201" t="s">
        <v>523</v>
      </c>
      <c r="B3" s="1202" t="str">
        <f>'预评函-封皮'!B40</f>
        <v>工行</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受贵公司委托，我公司对北京市崇文区珠市口东大街14号1-C房地产抵押价值进行了预评估。</v>
      </c>
    </row>
    <row r="7" spans="1:2" s="1203" customFormat="1">
      <c r="A7" s="1201" t="s">
        <v>566</v>
      </c>
      <c r="B7" s="1202" t="str">
        <f>'预评函-1'!A7</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2023年2月8日（评估专业人员实地查勘之日）</v>
      </c>
    </row>
    <row r="13" spans="1:2" s="1203" customFormat="1">
      <c r="A13" s="1201" t="s">
        <v>529</v>
      </c>
      <c r="B13" s="1202" t="str">
        <f>'预评函-1'!A18</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7894</v>
      </c>
    </row>
    <row r="21" spans="1:2" s="1203" customFormat="1">
      <c r="A21" s="1201" t="s">
        <v>537</v>
      </c>
      <c r="B21" s="1202">
        <f ca="1">'预评函-2'!D7</f>
        <v>69298</v>
      </c>
    </row>
    <row r="22" spans="1:2" s="1203" customFormat="1">
      <c r="A22" s="1201" t="s">
        <v>538</v>
      </c>
      <c r="B22" s="1202" t="str">
        <f ca="1">'预评函-2'!D6</f>
        <v>柒仟捌佰玖拾肆万元整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7894</v>
      </c>
    </row>
    <row r="31" spans="1:2" s="1203" customFormat="1">
      <c r="A31" s="1201" t="s">
        <v>576</v>
      </c>
      <c r="B31" s="1202">
        <f ca="1">'预评函-2'!D15</f>
        <v>69298</v>
      </c>
    </row>
    <row r="32" spans="1:2" s="1203" customFormat="1">
      <c r="A32" s="1201" t="s">
        <v>543</v>
      </c>
      <c r="B32" s="1202" t="str">
        <f ca="1">'预评函-2'!D14</f>
        <v>柒仟捌佰玖拾肆万元整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北京市崇文区珠市口东大街14号1-C房地产</v>
      </c>
    </row>
    <row r="42" spans="1:2" s="1203" customFormat="1" ht="31.2">
      <c r="A42" s="1201" t="s">
        <v>590</v>
      </c>
      <c r="B42" s="1202" t="str">
        <f>'预评函-3'!B2</f>
        <v>建筑面积</v>
      </c>
    </row>
    <row r="43" spans="1:2" s="1203" customFormat="1">
      <c r="A43" s="1201" t="s">
        <v>591</v>
      </c>
      <c r="B43" s="1202">
        <f>'预评函-3'!B4</f>
        <v>1139.1300000000001</v>
      </c>
    </row>
    <row r="44" spans="1:2" s="1203" customFormat="1" ht="31.2">
      <c r="A44" s="1201" t="s">
        <v>575</v>
      </c>
      <c r="B44" s="1202" t="str">
        <f>'预评函-3'!C2</f>
        <v>(分摊)土地面积</v>
      </c>
    </row>
    <row r="45" spans="1:2" s="1203" customFormat="1">
      <c r="A45" s="1201" t="s">
        <v>547</v>
      </c>
      <c r="B45" s="1202">
        <f>'预评函-3'!C4</f>
        <v>278.54000000000002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2573</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2574</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2286</v>
      </c>
      <c r="C17" s="1547"/>
    </row>
    <row r="18" spans="1:3">
      <c r="A18" s="1546" t="s">
        <v>1046</v>
      </c>
      <c r="B18" s="1546" t="s">
        <v>2429</v>
      </c>
      <c r="C18" s="1547"/>
    </row>
    <row r="19" spans="1:3">
      <c r="A19" s="1546" t="s">
        <v>1047</v>
      </c>
      <c r="B19" s="1546" t="s">
        <v>3497</v>
      </c>
      <c r="C19" s="1547"/>
    </row>
    <row r="20" spans="1:3">
      <c r="A20" s="1546" t="s">
        <v>1048</v>
      </c>
      <c r="B20" s="1546" t="s">
        <v>3499</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1875" defaultRowHeight="14.4"/>
  <cols>
    <col min="1" max="7" width="15.21875" style="3011"/>
    <col min="8" max="8" width="5.44140625" style="3011" customWidth="1"/>
    <col min="9" max="13" width="9.44140625" style="3053" customWidth="1"/>
    <col min="14" max="18" width="9.44140625" style="3011" customWidth="1"/>
    <col min="19" max="16384" width="15.21875" style="3011"/>
  </cols>
  <sheetData>
    <row r="1" spans="1:18">
      <c r="A1" s="3008" t="s">
        <v>2496</v>
      </c>
      <c r="B1" s="3009"/>
      <c r="C1" s="3009"/>
      <c r="D1" s="3009"/>
      <c r="E1" s="3009"/>
      <c r="F1" s="3010"/>
      <c r="I1" s="3432" t="s">
        <v>2589</v>
      </c>
      <c r="J1" s="3221"/>
      <c r="K1" s="3221"/>
      <c r="L1" s="3221"/>
      <c r="M1" s="3221"/>
      <c r="N1" s="3433"/>
      <c r="O1" s="3433"/>
      <c r="P1" s="3433"/>
      <c r="Q1" s="3433"/>
      <c r="R1" s="3433"/>
    </row>
    <row r="2" spans="1:18">
      <c r="A2" s="3012"/>
      <c r="B2" s="3013"/>
      <c r="C2" s="3013"/>
      <c r="D2" s="3013"/>
      <c r="E2" s="3013"/>
      <c r="F2" s="3014"/>
      <c r="I2" s="3531" t="s">
        <v>2576</v>
      </c>
      <c r="J2" s="3531"/>
      <c r="K2" s="3531"/>
      <c r="L2" s="3531"/>
      <c r="M2" s="3531"/>
      <c r="N2" s="3531"/>
      <c r="O2" s="3531"/>
      <c r="P2" s="3531"/>
      <c r="Q2" s="3531"/>
      <c r="R2" s="3531"/>
    </row>
    <row r="3" spans="1:18">
      <c r="A3" s="3015" t="s">
        <v>2497</v>
      </c>
      <c r="B3" s="3016">
        <f>项目基本情况!D3</f>
        <v>44965</v>
      </c>
      <c r="C3" s="3018"/>
      <c r="D3" s="3018"/>
      <c r="E3" s="3018"/>
      <c r="F3" s="3014"/>
      <c r="I3" s="3434"/>
      <c r="J3" s="3434" t="s">
        <v>2580</v>
      </c>
      <c r="K3" s="3434" t="s">
        <v>2581</v>
      </c>
      <c r="L3" s="3434" t="s">
        <v>2582</v>
      </c>
      <c r="M3" s="3434" t="s">
        <v>2583</v>
      </c>
      <c r="N3" s="3435" t="s">
        <v>2584</v>
      </c>
      <c r="O3" s="3435" t="s">
        <v>2585</v>
      </c>
      <c r="P3" s="3435" t="s">
        <v>2586</v>
      </c>
      <c r="Q3" s="3435" t="s">
        <v>2587</v>
      </c>
      <c r="R3" s="3435" t="s">
        <v>2588</v>
      </c>
    </row>
    <row r="4" spans="1:18">
      <c r="A4" s="3015" t="s">
        <v>2498</v>
      </c>
      <c r="B4" s="3018" t="s">
        <v>2499</v>
      </c>
      <c r="C4" s="3018" t="s">
        <v>2500</v>
      </c>
      <c r="D4" s="3018" t="s">
        <v>2501</v>
      </c>
      <c r="E4" s="3018" t="s">
        <v>2502</v>
      </c>
      <c r="F4" s="3014"/>
      <c r="I4" s="3434" t="s">
        <v>2577</v>
      </c>
      <c r="J4" s="3434">
        <v>80</v>
      </c>
      <c r="K4" s="3434">
        <v>70</v>
      </c>
      <c r="L4" s="3434">
        <v>20</v>
      </c>
      <c r="M4" s="3434">
        <v>30</v>
      </c>
      <c r="N4" s="3018">
        <v>45</v>
      </c>
      <c r="O4" s="3018">
        <v>60</v>
      </c>
      <c r="P4" s="3018">
        <v>50</v>
      </c>
      <c r="Q4" s="3018">
        <v>20</v>
      </c>
      <c r="R4" s="3018">
        <v>375</v>
      </c>
    </row>
    <row r="5" spans="1:18">
      <c r="A5" s="3019">
        <v>40</v>
      </c>
      <c r="B5" s="3016">
        <v>46375</v>
      </c>
      <c r="C5" s="3018">
        <f>ROUNDDOWN(MIN((B5-B3)/365,A5),2)</f>
        <v>3.86</v>
      </c>
      <c r="D5" s="3020">
        <f>IF(ISERROR(ROUND(POWER(1+E5,A5-C5)*(POWER(1+E5,C5)-1)/(POWER(1+E5,A5)-1),3)),0,ROUND(POWER(1+E5,A5-C5)*(POWER(1+E5,C5)-1)/(POWER(1+E5,A5)-1),4))</f>
        <v>0.17749999999999999</v>
      </c>
      <c r="E5" s="3021">
        <v>0.04</v>
      </c>
      <c r="F5" s="3014"/>
      <c r="I5" s="3434" t="s">
        <v>2578</v>
      </c>
      <c r="J5" s="3434">
        <v>70</v>
      </c>
      <c r="K5" s="3434">
        <v>60</v>
      </c>
      <c r="L5" s="3434">
        <v>15</v>
      </c>
      <c r="M5" s="3434">
        <v>25</v>
      </c>
      <c r="N5" s="3018">
        <v>40</v>
      </c>
      <c r="O5" s="3018">
        <v>50</v>
      </c>
      <c r="P5" s="3018">
        <v>40</v>
      </c>
      <c r="Q5" s="3018">
        <v>15</v>
      </c>
      <c r="R5" s="3018">
        <v>315</v>
      </c>
    </row>
    <row r="6" spans="1:18">
      <c r="A6" s="3019">
        <v>50</v>
      </c>
      <c r="B6" s="3016">
        <v>50028</v>
      </c>
      <c r="C6" s="3018">
        <f>ROUNDDOWN(MIN((B6-B3)/365,A6),2)</f>
        <v>13.87</v>
      </c>
      <c r="D6" s="3020">
        <f>IF(ISERROR(ROUND(POWER(1+E6,A6-C6)*(POWER(1+E6,C6)-1)/(POWER(1+E6,A6)-1),3)),0,ROUND(POWER(1+E6,A6-C6)*(POWER(1+E6,C6)-1)/(POWER(1+E6,A6)-1),4))</f>
        <v>0.48830000000000001</v>
      </c>
      <c r="E6" s="3021">
        <v>0.04</v>
      </c>
      <c r="F6" s="3014"/>
      <c r="I6" s="3434" t="s">
        <v>2579</v>
      </c>
      <c r="J6" s="3434">
        <v>60</v>
      </c>
      <c r="K6" s="3434">
        <v>50</v>
      </c>
      <c r="L6" s="3434">
        <v>10</v>
      </c>
      <c r="M6" s="3434">
        <v>20</v>
      </c>
      <c r="N6" s="3018">
        <v>35</v>
      </c>
      <c r="O6" s="3018">
        <v>40</v>
      </c>
      <c r="P6" s="3018">
        <v>30</v>
      </c>
      <c r="Q6" s="3018">
        <v>10</v>
      </c>
      <c r="R6" s="3018">
        <v>255</v>
      </c>
    </row>
    <row r="7" spans="1:18">
      <c r="A7" s="3019">
        <v>70</v>
      </c>
      <c r="B7" s="3016">
        <v>57333</v>
      </c>
      <c r="C7" s="3018">
        <f>ROUNDDOWN(MIN((B7-B3)/365,A7),2)</f>
        <v>33.880000000000003</v>
      </c>
      <c r="D7" s="3020">
        <f>IF(ISERROR(ROUND(POWER(1+E7,A7-C7)*(POWER(1+E7,C7)-1)/(POWER(1+E7,A7)-1),3)),0,ROUND(POWER(1+E7,A7-C7)*(POWER(1+E7,C7)-1)/(POWER(1+E7,A7)-1),4))</f>
        <v>0.78569999999999995</v>
      </c>
      <c r="E7" s="3021">
        <v>0.04</v>
      </c>
      <c r="F7" s="3014"/>
    </row>
    <row r="8" spans="1:18">
      <c r="A8" s="3012"/>
      <c r="B8" s="3013"/>
      <c r="C8" s="3013"/>
      <c r="D8" s="3013"/>
      <c r="E8" s="3013"/>
      <c r="F8" s="3014"/>
    </row>
    <row r="9" spans="1:18">
      <c r="A9" s="3015" t="s">
        <v>2503</v>
      </c>
      <c r="B9" s="3018"/>
      <c r="C9" s="3018"/>
      <c r="D9" s="3018"/>
      <c r="E9" s="3018"/>
      <c r="F9" s="3022"/>
    </row>
    <row r="10" spans="1:18">
      <c r="A10" s="3015" t="s">
        <v>2504</v>
      </c>
      <c r="B10" s="3018"/>
      <c r="C10" s="3018"/>
      <c r="D10" s="3018" t="s">
        <v>2502</v>
      </c>
      <c r="E10" s="3018"/>
      <c r="F10" s="3022" t="s">
        <v>2501</v>
      </c>
    </row>
    <row r="11" spans="1:18">
      <c r="A11" s="3015" t="s">
        <v>2505</v>
      </c>
      <c r="B11" s="3023">
        <v>70</v>
      </c>
      <c r="C11" s="3018" t="s">
        <v>2506</v>
      </c>
      <c r="D11" s="3024">
        <v>4.4999999999999998E-2</v>
      </c>
      <c r="E11" s="3018" t="s">
        <v>2507</v>
      </c>
      <c r="F11" s="3025">
        <f>ROUND(1-(1/(POWER(1+D11,B11))),4)</f>
        <v>0.95409999999999995</v>
      </c>
    </row>
    <row r="12" spans="1:18">
      <c r="A12" s="3015" t="s">
        <v>2508</v>
      </c>
      <c r="B12" s="3023">
        <v>40</v>
      </c>
      <c r="C12" s="3018" t="s">
        <v>2509</v>
      </c>
      <c r="D12" s="3024">
        <v>4.4999999999999998E-2</v>
      </c>
      <c r="E12" s="3018" t="s">
        <v>2510</v>
      </c>
      <c r="F12" s="3025">
        <f>ROUND(1-(1/(POWER(1+D12,B12))),4)</f>
        <v>0.82809999999999995</v>
      </c>
    </row>
    <row r="13" spans="1:18">
      <c r="A13" s="3015" t="s">
        <v>2511</v>
      </c>
      <c r="B13" s="3018"/>
      <c r="C13" s="3018"/>
      <c r="D13" s="3013"/>
      <c r="E13" s="3013"/>
      <c r="F13" s="3014"/>
    </row>
    <row r="14" spans="1:18">
      <c r="A14" s="3015" t="s">
        <v>2512</v>
      </c>
      <c r="B14" s="3023">
        <v>5000</v>
      </c>
      <c r="C14" s="3017"/>
      <c r="D14" s="3013"/>
      <c r="E14" s="3013"/>
      <c r="F14" s="3014"/>
    </row>
    <row r="15" spans="1:18">
      <c r="A15" s="3015" t="s">
        <v>2513</v>
      </c>
      <c r="B15" s="3018">
        <f>ROUND(B14*F12/F11,2)</f>
        <v>4339.6899999999996</v>
      </c>
      <c r="C15" s="3018">
        <f>ROUND(F12/F11,4)</f>
        <v>0.8679</v>
      </c>
      <c r="D15" s="3013"/>
      <c r="E15" s="3013"/>
      <c r="F15" s="3014"/>
    </row>
    <row r="16" spans="1:18">
      <c r="A16" s="3015" t="s">
        <v>2514</v>
      </c>
      <c r="B16" s="3018"/>
      <c r="C16" s="3018"/>
      <c r="D16" s="3013"/>
      <c r="E16" s="3013"/>
      <c r="F16" s="3014"/>
    </row>
    <row r="17" spans="1:13">
      <c r="A17" s="3015" t="s">
        <v>2513</v>
      </c>
      <c r="B17" s="3024">
        <v>4810</v>
      </c>
      <c r="C17" s="3017"/>
      <c r="D17" s="3013"/>
      <c r="E17" s="3013"/>
      <c r="F17" s="3014"/>
    </row>
    <row r="18" spans="1:13" ht="15" thickBot="1">
      <c r="A18" s="3026" t="s">
        <v>2512</v>
      </c>
      <c r="B18" s="3027">
        <f>ROUND(B17*F11/F12,2)</f>
        <v>5541.87</v>
      </c>
      <c r="C18" s="3027">
        <f>ROUND(F11/F12,4)</f>
        <v>1.1521999999999999</v>
      </c>
      <c r="D18" s="3028"/>
      <c r="E18" s="3028"/>
      <c r="F18" s="3029"/>
    </row>
    <row r="19" spans="1:13" ht="15" thickBot="1"/>
    <row r="20" spans="1:13" s="3064" customFormat="1" ht="15" thickTop="1">
      <c r="A20" s="3061" t="s">
        <v>2515</v>
      </c>
      <c r="B20" s="3062"/>
      <c r="C20" s="3062"/>
      <c r="D20" s="3062"/>
      <c r="E20" s="3062"/>
      <c r="F20" s="3062"/>
      <c r="G20" s="3063"/>
      <c r="I20" s="3065" t="s">
        <v>2560</v>
      </c>
      <c r="J20" s="3065" t="s">
        <v>2565</v>
      </c>
      <c r="K20" s="3065"/>
      <c r="L20" s="3065"/>
      <c r="M20" s="3065"/>
    </row>
    <row r="21" spans="1:13">
      <c r="A21" s="3030"/>
      <c r="B21" s="3031" t="s">
        <v>2516</v>
      </c>
      <c r="C21" s="3031" t="s">
        <v>2517</v>
      </c>
      <c r="D21" s="3031" t="s">
        <v>2518</v>
      </c>
      <c r="E21" s="3031" t="s">
        <v>2519</v>
      </c>
      <c r="F21" s="3031" t="s">
        <v>2520</v>
      </c>
      <c r="G21" s="3032" t="s">
        <v>2521</v>
      </c>
      <c r="I21" s="3053">
        <v>5</v>
      </c>
      <c r="J21" s="3053">
        <v>54.2</v>
      </c>
    </row>
    <row r="22" spans="1:13">
      <c r="A22" s="3030" t="s">
        <v>2522</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2523</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2563</v>
      </c>
      <c r="M23" s="3053" t="s">
        <v>2564</v>
      </c>
    </row>
    <row r="24" spans="1:13">
      <c r="A24" s="3030" t="s">
        <v>2524</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2562</v>
      </c>
      <c r="M24" s="3053">
        <v>10</v>
      </c>
    </row>
    <row r="25" spans="1:13">
      <c r="A25" s="3030" t="s">
        <v>2525</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2566</v>
      </c>
      <c r="M25" s="3053">
        <v>8</v>
      </c>
    </row>
    <row r="26" spans="1:13">
      <c r="A26" s="3035"/>
      <c r="B26" s="3036"/>
      <c r="C26" s="3036"/>
      <c r="D26" s="3036"/>
      <c r="E26" s="3036"/>
      <c r="F26" s="3036"/>
      <c r="G26" s="3037"/>
      <c r="I26" s="3053">
        <v>30</v>
      </c>
      <c r="J26" s="3053">
        <v>90.5</v>
      </c>
      <c r="K26" s="3053">
        <f t="shared" si="2"/>
        <v>4.2000000000000028</v>
      </c>
      <c r="L26" s="3053" t="s">
        <v>2567</v>
      </c>
      <c r="M26" s="3053">
        <v>5</v>
      </c>
    </row>
    <row r="27" spans="1:13">
      <c r="A27" s="3035" t="s">
        <v>2526</v>
      </c>
      <c r="B27" s="3036"/>
      <c r="C27" s="3036"/>
      <c r="D27" s="3036"/>
      <c r="E27" s="3036"/>
      <c r="F27" s="3036"/>
      <c r="G27" s="3037"/>
      <c r="I27" s="3053">
        <v>35</v>
      </c>
      <c r="J27" s="3053">
        <v>93.8</v>
      </c>
      <c r="K27" s="3053">
        <f t="shared" si="2"/>
        <v>3.2999999999999972</v>
      </c>
      <c r="L27" s="3053" t="s">
        <v>2568</v>
      </c>
      <c r="M27" s="3053">
        <v>3</v>
      </c>
    </row>
    <row r="28" spans="1:13">
      <c r="A28" s="3035" t="s">
        <v>2527</v>
      </c>
      <c r="B28" s="3036"/>
      <c r="C28" s="3036"/>
      <c r="D28" s="3036"/>
      <c r="E28" s="3036"/>
      <c r="F28" s="3036"/>
      <c r="G28" s="3037"/>
      <c r="I28" s="3053">
        <v>40</v>
      </c>
      <c r="J28" s="3053">
        <v>96.4</v>
      </c>
      <c r="K28" s="3053">
        <f t="shared" si="2"/>
        <v>2.6000000000000085</v>
      </c>
      <c r="L28" s="3053" t="s">
        <v>2569</v>
      </c>
      <c r="M28" s="3053">
        <v>2</v>
      </c>
    </row>
    <row r="29" spans="1:13">
      <c r="A29" s="3035" t="s">
        <v>2528</v>
      </c>
      <c r="B29" s="3036"/>
      <c r="C29" s="3036"/>
      <c r="D29" s="3036"/>
      <c r="E29" s="3036"/>
      <c r="F29" s="3036"/>
      <c r="G29" s="3037"/>
      <c r="I29" s="3053">
        <v>45</v>
      </c>
      <c r="J29" s="3053">
        <v>98.4</v>
      </c>
      <c r="K29" s="3053">
        <f t="shared" si="2"/>
        <v>2</v>
      </c>
    </row>
    <row r="30" spans="1:13">
      <c r="A30" s="3035" t="s">
        <v>2529</v>
      </c>
      <c r="B30" s="3036"/>
      <c r="C30" s="3036"/>
      <c r="D30" s="3036"/>
      <c r="E30" s="3036"/>
      <c r="F30" s="3036"/>
      <c r="G30" s="3037"/>
      <c r="I30" s="3053">
        <v>50</v>
      </c>
      <c r="J30" s="3053">
        <v>100</v>
      </c>
      <c r="K30" s="3053">
        <f t="shared" si="2"/>
        <v>1.5999999999999943</v>
      </c>
    </row>
    <row r="31" spans="1:13">
      <c r="A31" s="3035" t="s">
        <v>2530</v>
      </c>
      <c r="B31" s="3036"/>
      <c r="C31" s="3036"/>
      <c r="D31" s="3036"/>
      <c r="E31" s="3036"/>
      <c r="F31" s="3036"/>
      <c r="G31" s="3037"/>
      <c r="I31" s="3053" t="s">
        <v>2561</v>
      </c>
    </row>
    <row r="32" spans="1:13">
      <c r="A32" s="3035" t="s">
        <v>2531</v>
      </c>
      <c r="B32" s="3036"/>
      <c r="C32" s="3036"/>
      <c r="D32" s="3036"/>
      <c r="E32" s="3036"/>
      <c r="F32" s="3036"/>
      <c r="G32" s="3037"/>
    </row>
    <row r="33" spans="1:13">
      <c r="A33" s="3035" t="s">
        <v>2532</v>
      </c>
      <c r="B33" s="3036"/>
      <c r="C33" s="3036"/>
      <c r="D33" s="3036"/>
      <c r="E33" s="3036"/>
      <c r="F33" s="3036"/>
      <c r="G33" s="3037"/>
      <c r="I33" s="3053" t="s">
        <v>2560</v>
      </c>
      <c r="J33" s="3053" t="s">
        <v>2570</v>
      </c>
    </row>
    <row r="34" spans="1:13">
      <c r="A34" s="3035" t="s">
        <v>2533</v>
      </c>
      <c r="B34" s="3036"/>
      <c r="C34" s="3036"/>
      <c r="D34" s="3036"/>
      <c r="E34" s="3036"/>
      <c r="F34" s="3036"/>
      <c r="G34" s="3037"/>
      <c r="I34" s="3053">
        <v>5</v>
      </c>
      <c r="J34" s="3053">
        <v>55.1</v>
      </c>
    </row>
    <row r="35" spans="1:13">
      <c r="A35" s="3035" t="s">
        <v>2534</v>
      </c>
      <c r="B35" s="3036"/>
      <c r="C35" s="3036"/>
      <c r="D35" s="3036"/>
      <c r="E35" s="3036"/>
      <c r="F35" s="3036"/>
      <c r="G35" s="3037"/>
      <c r="I35" s="3053">
        <v>10</v>
      </c>
      <c r="J35" s="3053">
        <v>67</v>
      </c>
      <c r="K35" s="3053">
        <f>J35-J34</f>
        <v>11.899999999999999</v>
      </c>
    </row>
    <row r="36" spans="1:13">
      <c r="A36" s="3035" t="s">
        <v>2535</v>
      </c>
      <c r="B36" s="3036"/>
      <c r="C36" s="3036"/>
      <c r="D36" s="3036"/>
      <c r="E36" s="3036"/>
      <c r="F36" s="3036"/>
      <c r="G36" s="3037"/>
      <c r="I36" s="3053">
        <v>15</v>
      </c>
      <c r="J36" s="3053">
        <v>76.3</v>
      </c>
      <c r="K36" s="3053">
        <f t="shared" ref="K36:K41" si="3">J36-J35</f>
        <v>9.2999999999999972</v>
      </c>
      <c r="L36" s="3053" t="s">
        <v>2563</v>
      </c>
      <c r="M36" s="3053" t="s">
        <v>2564</v>
      </c>
    </row>
    <row r="37" spans="1:13">
      <c r="A37" s="3035" t="s">
        <v>2536</v>
      </c>
      <c r="B37" s="3036"/>
      <c r="C37" s="3036"/>
      <c r="D37" s="3036"/>
      <c r="E37" s="3036"/>
      <c r="F37" s="3036"/>
      <c r="G37" s="3037"/>
      <c r="I37" s="3053">
        <v>20</v>
      </c>
      <c r="J37" s="3053">
        <v>83.6</v>
      </c>
      <c r="K37" s="3053">
        <f t="shared" si="3"/>
        <v>7.2999999999999972</v>
      </c>
      <c r="L37" s="3053" t="s">
        <v>2562</v>
      </c>
      <c r="M37" s="3053">
        <v>10</v>
      </c>
    </row>
    <row r="38" spans="1:13">
      <c r="A38" s="3035" t="s">
        <v>2537</v>
      </c>
      <c r="B38" s="3036"/>
      <c r="C38" s="3036"/>
      <c r="D38" s="3036"/>
      <c r="E38" s="3036"/>
      <c r="F38" s="3036"/>
      <c r="G38" s="3037"/>
      <c r="I38" s="3053">
        <v>25</v>
      </c>
      <c r="J38" s="3053">
        <v>89.3</v>
      </c>
      <c r="K38" s="3053">
        <f t="shared" si="3"/>
        <v>5.7000000000000028</v>
      </c>
      <c r="L38" s="3053" t="s">
        <v>2566</v>
      </c>
      <c r="M38" s="3053">
        <v>8</v>
      </c>
    </row>
    <row r="39" spans="1:13">
      <c r="A39" s="3035"/>
      <c r="B39" s="3036"/>
      <c r="C39" s="3036"/>
      <c r="D39" s="3036"/>
      <c r="E39" s="3036"/>
      <c r="F39" s="3036"/>
      <c r="G39" s="3037"/>
      <c r="I39" s="3053">
        <v>30</v>
      </c>
      <c r="J39" s="3053">
        <v>93.8</v>
      </c>
      <c r="K39" s="3053">
        <f t="shared" si="3"/>
        <v>4.5</v>
      </c>
      <c r="L39" s="3053" t="s">
        <v>2567</v>
      </c>
      <c r="M39" s="3053">
        <v>6</v>
      </c>
    </row>
    <row r="40" spans="1:13">
      <c r="A40" s="3038" t="s">
        <v>2538</v>
      </c>
      <c r="B40" s="3039"/>
      <c r="C40" s="3039"/>
      <c r="D40" s="3039"/>
      <c r="E40" s="3039"/>
      <c r="F40" s="3039"/>
      <c r="G40" s="3040"/>
      <c r="I40" s="3053">
        <v>35</v>
      </c>
      <c r="J40" s="3053">
        <v>97.2</v>
      </c>
      <c r="K40" s="3053">
        <f t="shared" si="3"/>
        <v>3.4000000000000057</v>
      </c>
      <c r="L40" s="3053" t="s">
        <v>2568</v>
      </c>
      <c r="M40" s="3053">
        <v>3</v>
      </c>
    </row>
    <row r="41" spans="1:13">
      <c r="A41" s="3041" t="s">
        <v>2539</v>
      </c>
      <c r="B41" s="3042" t="s">
        <v>2540</v>
      </c>
      <c r="C41" s="3043" t="s">
        <v>2541</v>
      </c>
      <c r="D41" s="3043" t="s">
        <v>2542</v>
      </c>
      <c r="E41" s="3044"/>
      <c r="F41" s="3045"/>
      <c r="G41" s="3046"/>
      <c r="I41" s="3053">
        <v>40</v>
      </c>
      <c r="J41" s="3053">
        <v>100</v>
      </c>
      <c r="K41" s="3053">
        <f t="shared" si="3"/>
        <v>2.7999999999999972</v>
      </c>
    </row>
    <row r="42" spans="1:13">
      <c r="A42" s="3041" t="s">
        <v>2543</v>
      </c>
      <c r="B42" s="3042" t="s">
        <v>2544</v>
      </c>
      <c r="C42" s="3043" t="s">
        <v>2545</v>
      </c>
      <c r="D42" s="3047" t="s">
        <v>2546</v>
      </c>
      <c r="E42" s="3039" t="s">
        <v>2547</v>
      </c>
      <c r="F42" s="3039"/>
      <c r="G42" s="3040"/>
    </row>
    <row r="43" spans="1:13">
      <c r="A43" s="3041" t="s">
        <v>2548</v>
      </c>
      <c r="B43" s="3042" t="s">
        <v>2549</v>
      </c>
      <c r="C43" s="3043" t="s">
        <v>2550</v>
      </c>
      <c r="D43" s="3043" t="s">
        <v>2551</v>
      </c>
      <c r="E43" s="3044" t="s">
        <v>2552</v>
      </c>
      <c r="F43" s="3045"/>
      <c r="G43" s="3046"/>
      <c r="I43" s="3053" t="s">
        <v>2560</v>
      </c>
      <c r="J43" s="3053" t="s">
        <v>2571</v>
      </c>
    </row>
    <row r="44" spans="1:13">
      <c r="A44" s="3041" t="s">
        <v>2553</v>
      </c>
      <c r="B44" s="3042" t="s">
        <v>2554</v>
      </c>
      <c r="C44" s="3043" t="s">
        <v>2555</v>
      </c>
      <c r="D44" s="3047">
        <v>0.5</v>
      </c>
      <c r="E44" s="3044" t="s">
        <v>2556</v>
      </c>
      <c r="F44" s="3045"/>
      <c r="G44" s="3046"/>
      <c r="I44" s="3053">
        <v>30</v>
      </c>
      <c r="J44" s="3053">
        <v>81.7</v>
      </c>
    </row>
    <row r="45" spans="1:13" ht="15" thickBot="1">
      <c r="A45" s="3048" t="s">
        <v>2557</v>
      </c>
      <c r="B45" s="3049" t="s">
        <v>2544</v>
      </c>
      <c r="C45" s="3050" t="s">
        <v>2544</v>
      </c>
      <c r="D45" s="3050" t="s">
        <v>2558</v>
      </c>
      <c r="E45" s="3051" t="s">
        <v>2559</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4" sqref="E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40" t="str">
        <f>IF(B10="北京市","北京市",C10)&amp;F10&amp;IF(结果表!G1="在建","出让国有建设用地使用权及在建建筑物",IF(结果表!G1="土地","出让国有建设用地使用权",))&amp;B9&amp;"预评估"</f>
        <v>北京市崇文区珠市口东大街14号1-C房地产抵押价值预评估</v>
      </c>
      <c r="C1" s="3541"/>
      <c r="D1" s="3541"/>
      <c r="E1" s="3541"/>
      <c r="F1" s="3541"/>
      <c r="G1" s="3541"/>
      <c r="H1" s="3541"/>
      <c r="I1" s="3542"/>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北京市崇文区珠市口东大街14号1-C房地产抵押价值</v>
      </c>
      <c r="T1" s="1745"/>
      <c r="U1" s="1745"/>
      <c r="V1" s="1745"/>
      <c r="W1" s="1745"/>
      <c r="X1" s="1745"/>
      <c r="Y1" s="1745"/>
      <c r="Z1" s="1745"/>
      <c r="AA1" s="1745"/>
      <c r="AB1" s="1745"/>
    </row>
    <row r="2" spans="1:30">
      <c r="A2" s="2367" t="s">
        <v>2168</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北京市崇文区珠市口东大街14号1-C房地产</v>
      </c>
      <c r="T2" s="1745"/>
      <c r="U2" s="1745"/>
      <c r="V2" s="1745"/>
      <c r="W2" s="1745"/>
      <c r="X2" s="1745"/>
      <c r="Y2" s="1745"/>
      <c r="Z2" s="1745"/>
      <c r="AA2" s="1745"/>
      <c r="AB2" s="1745"/>
    </row>
    <row r="3" spans="1:30">
      <c r="A3" s="302" t="s">
        <v>2169</v>
      </c>
      <c r="B3" s="2373">
        <v>44965</v>
      </c>
      <c r="C3" s="2374" t="s">
        <v>2170</v>
      </c>
      <c r="D3" s="2373">
        <f>B3</f>
        <v>44965</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t="s">
        <v>3371</v>
      </c>
      <c r="C4" s="2376">
        <f ca="1">SUMIF(注册房地产估价师,B4,估价师及机构信息!B3:B24)</f>
        <v>1120100036</v>
      </c>
      <c r="D4" s="2375" t="s">
        <v>3372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5"/>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2172</v>
      </c>
      <c r="B5" s="3461" t="s">
        <v>3430</v>
      </c>
      <c r="C5" s="2380"/>
      <c r="D5" s="2381"/>
      <c r="E5" s="2659"/>
      <c r="F5" s="2659"/>
      <c r="G5" s="2659"/>
      <c r="H5" s="2659"/>
      <c r="I5" s="2659"/>
      <c r="J5" s="2435"/>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62" t="s">
        <v>3429</v>
      </c>
      <c r="C6" s="2383"/>
      <c r="D6" s="2384"/>
      <c r="E6" s="2657"/>
      <c r="F6" s="2659"/>
      <c r="G6" s="2659"/>
      <c r="H6" s="2659"/>
      <c r="I6" s="2659"/>
      <c r="J6" s="2435"/>
      <c r="K6" s="2610" t="str">
        <f>IF(COUNTIF(B6,"*上海银行*"),"上海银行","")</f>
        <v/>
      </c>
      <c r="L6" s="2608"/>
      <c r="M6" s="2608"/>
      <c r="N6" s="2435"/>
      <c r="O6" s="2446"/>
      <c r="P6" s="2435"/>
      <c r="Q6" s="2435"/>
      <c r="R6" s="2435"/>
    </row>
    <row r="7" spans="1:30" ht="48">
      <c r="A7" s="2382" t="s">
        <v>2174</v>
      </c>
      <c r="B7" s="3463" t="s">
        <v>3428</v>
      </c>
      <c r="C7" s="2383"/>
      <c r="D7" s="2384"/>
      <c r="E7" s="2657"/>
      <c r="F7" s="2659"/>
      <c r="G7" s="2659"/>
      <c r="H7" s="2659"/>
      <c r="I7" s="2659"/>
      <c r="J7" s="2435"/>
      <c r="K7" s="2611"/>
      <c r="L7" s="2608"/>
      <c r="M7" s="2608"/>
      <c r="N7" s="2435"/>
      <c r="O7" s="2446"/>
      <c r="P7" s="2435"/>
      <c r="Q7" s="2435"/>
      <c r="R7" s="2435"/>
    </row>
    <row r="8" spans="1:30">
      <c r="A8" s="2385" t="s">
        <v>2175</v>
      </c>
      <c r="B8" s="2386" t="s">
        <v>3373</v>
      </c>
      <c r="C8" s="2387"/>
      <c r="D8" s="3543" t="s">
        <v>2176</v>
      </c>
      <c r="E8" s="2388" t="s">
        <v>3374</v>
      </c>
      <c r="F8" s="2389"/>
      <c r="G8" s="2658"/>
      <c r="H8" s="2658"/>
      <c r="I8" s="2658"/>
      <c r="J8" s="2435"/>
      <c r="K8" s="2609"/>
      <c r="L8" s="2608"/>
      <c r="M8" s="2608"/>
      <c r="N8" s="2435"/>
      <c r="O8" s="2446"/>
      <c r="P8" s="2435"/>
      <c r="Q8" s="2435"/>
      <c r="R8" s="2435"/>
    </row>
    <row r="9" spans="1:30" ht="13.8" thickBot="1">
      <c r="A9" s="2390" t="s">
        <v>2177</v>
      </c>
      <c r="B9" s="2391" t="s">
        <v>3374</v>
      </c>
      <c r="C9" s="2392"/>
      <c r="D9" s="3544"/>
      <c r="E9" s="2391" t="s">
        <v>43</v>
      </c>
      <c r="F9" s="2393"/>
      <c r="G9" s="2660"/>
      <c r="H9" s="2660"/>
      <c r="I9" s="2660"/>
      <c r="J9" s="2435"/>
      <c r="K9" s="2611"/>
      <c r="L9" s="2608"/>
      <c r="M9" s="2608"/>
      <c r="N9" s="2435"/>
      <c r="O9" s="2446"/>
      <c r="P9" s="2435"/>
      <c r="Q9" s="2435"/>
      <c r="R9" s="2435"/>
    </row>
    <row r="10" spans="1:30" ht="13.8" thickTop="1">
      <c r="A10" s="2394" t="s">
        <v>2178</v>
      </c>
      <c r="B10" s="2395" t="s">
        <v>3375</v>
      </c>
      <c r="C10" s="2396"/>
      <c r="D10" s="2381"/>
      <c r="E10" s="2397" t="s">
        <v>2179</v>
      </c>
      <c r="F10" s="2661" t="s">
        <v>3411</v>
      </c>
      <c r="G10" s="2662"/>
      <c r="H10" s="2663"/>
      <c r="I10" s="2664"/>
      <c r="J10" s="2435"/>
      <c r="K10" s="2611"/>
      <c r="L10" s="2608"/>
      <c r="M10" s="2608"/>
      <c r="N10" s="2435"/>
      <c r="O10" s="2446"/>
      <c r="P10" s="2435"/>
      <c r="Q10" s="2435"/>
      <c r="R10" s="2435"/>
    </row>
    <row r="11" spans="1:30" ht="36">
      <c r="A11" s="2398" t="s">
        <v>2180</v>
      </c>
      <c r="B11" s="2399" t="s">
        <v>3431</v>
      </c>
      <c r="C11" s="3464" t="s">
        <v>3432</v>
      </c>
      <c r="D11" s="2400"/>
      <c r="E11" s="2370"/>
      <c r="F11" s="2370"/>
      <c r="G11" s="2370"/>
      <c r="H11" s="2370"/>
      <c r="I11" s="2370"/>
      <c r="J11" s="3056"/>
      <c r="K11" s="3055"/>
      <c r="L11" s="2608"/>
      <c r="M11" s="2608"/>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4" t="s">
        <v>2572</v>
      </c>
      <c r="J12" s="3057"/>
      <c r="K12" s="2608"/>
      <c r="L12" s="2608"/>
      <c r="M12" s="2435"/>
      <c r="N12" s="2446"/>
      <c r="O12" s="2435"/>
      <c r="P12" s="2435"/>
      <c r="Q12" s="2435"/>
      <c r="AD12" s="1745"/>
    </row>
    <row r="13" spans="1:30">
      <c r="A13" s="3418" t="s">
        <v>3332</v>
      </c>
      <c r="B13" s="2403" t="s">
        <v>2189</v>
      </c>
      <c r="C13" s="856"/>
      <c r="D13" s="856">
        <v>51648</v>
      </c>
      <c r="E13" s="856"/>
      <c r="F13" s="856"/>
      <c r="G13" s="856"/>
      <c r="H13" s="856"/>
      <c r="I13" s="856">
        <f>租约!E3</f>
        <v>47269</v>
      </c>
      <c r="J13" s="3057"/>
      <c r="K13" s="2608"/>
      <c r="L13" s="2608"/>
      <c r="M13" s="2435"/>
      <c r="N13" s="2446"/>
      <c r="O13" s="2435"/>
      <c r="P13" s="2435"/>
      <c r="Q13" s="2435"/>
      <c r="AD13" s="1745"/>
    </row>
    <row r="14" spans="1:30">
      <c r="A14" s="1081"/>
      <c r="B14" s="2403" t="s">
        <v>2190</v>
      </c>
      <c r="C14" s="2404"/>
      <c r="D14" s="2404">
        <v>40</v>
      </c>
      <c r="E14" s="2404"/>
      <c r="F14" s="2404"/>
      <c r="G14" s="2404"/>
      <c r="H14" s="2404"/>
      <c r="I14" s="2404"/>
      <c r="J14" s="3058"/>
      <c r="K14" s="2608"/>
      <c r="L14" s="2608"/>
      <c r="M14" s="3488">
        <f>D14-D15</f>
        <v>21.7</v>
      </c>
      <c r="N14" s="2446"/>
      <c r="O14" s="2435"/>
      <c r="P14" s="2435"/>
      <c r="Q14" s="2435"/>
      <c r="AD14" s="1745"/>
    </row>
    <row r="15" spans="1:30">
      <c r="A15" s="320"/>
      <c r="B15" s="2405" t="s">
        <v>2191</v>
      </c>
      <c r="C15" s="2406" t="str">
        <f>IF(A13="出让",IF(C13="","",ROUNDDOWN(MIN((C13-$D$3)/365,C14),2)),C14)</f>
        <v/>
      </c>
      <c r="D15" s="2406">
        <f>IF(A13="出让",IF(D13="","",ROUNDDOWN(MIN((D13-$D$3)/365,D14),2)),D14)</f>
        <v>18.3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f>IF(A13="出让",IF(I13="","",ROUNDDOWN(MIN((I13-$D$3)/365,I14),2)),I14)</f>
        <v>6.31</v>
      </c>
      <c r="J15" s="3059"/>
      <c r="K15" s="2447"/>
      <c r="L15" s="2447"/>
      <c r="M15" s="2504"/>
      <c r="N15" s="2447"/>
      <c r="O15" s="2504"/>
      <c r="P15" s="2435"/>
      <c r="Q15" s="2435"/>
      <c r="AD15" s="1745"/>
    </row>
    <row r="16" spans="1:30">
      <c r="A16" s="2397" t="s">
        <v>2192</v>
      </c>
      <c r="B16" s="3550"/>
      <c r="C16" s="3551"/>
      <c r="D16" s="3552"/>
      <c r="E16" s="2409" t="s">
        <v>2193</v>
      </c>
      <c r="F16" s="3553"/>
      <c r="G16" s="3554"/>
      <c r="H16" s="3554"/>
      <c r="I16" s="3555"/>
      <c r="J16" s="2435"/>
      <c r="K16" s="2612"/>
      <c r="L16" s="2447"/>
      <c r="M16" s="2447"/>
      <c r="N16" s="2504"/>
      <c r="O16" s="2447"/>
      <c r="P16" s="2504"/>
      <c r="Q16" s="2435"/>
      <c r="R16" s="2435"/>
    </row>
    <row r="17" spans="1:28">
      <c r="A17" s="313" t="s">
        <v>2194</v>
      </c>
      <c r="B17" s="302" t="s">
        <v>2195</v>
      </c>
      <c r="C17" s="8">
        <f>'数据-汇总表'!E3</f>
        <v>1139.1300000000001</v>
      </c>
      <c r="D17" s="2322" t="s">
        <v>2196</v>
      </c>
      <c r="E17" s="3556" t="s">
        <v>2197</v>
      </c>
      <c r="F17" s="3557"/>
      <c r="G17" s="3557"/>
      <c r="H17" s="3557"/>
      <c r="I17" s="3558"/>
      <c r="J17" s="2435"/>
      <c r="K17" s="2613"/>
      <c r="L17" s="2447"/>
      <c r="M17" s="2447"/>
      <c r="N17" s="2504"/>
      <c r="O17" s="2447"/>
      <c r="P17" s="2504"/>
      <c r="Q17" s="2435"/>
      <c r="R17" s="2435"/>
      <c r="S17" s="2435"/>
      <c r="T17" s="2435"/>
      <c r="U17" s="2435"/>
      <c r="V17" s="2435"/>
    </row>
    <row r="18" spans="1:28" ht="13.8" thickBot="1">
      <c r="A18" s="2410" t="s">
        <v>43</v>
      </c>
      <c r="B18" s="1090" t="s">
        <v>2198</v>
      </c>
      <c r="C18" s="2411">
        <f>'数据-汇总表'!D3</f>
        <v>278.54000000000002</v>
      </c>
      <c r="D18" s="1092" t="s">
        <v>2199</v>
      </c>
      <c r="E18" s="3559" t="s">
        <v>2200</v>
      </c>
      <c r="F18" s="3560"/>
      <c r="G18" s="3560"/>
      <c r="H18" s="3560"/>
      <c r="I18" s="3561"/>
      <c r="J18" s="2435"/>
      <c r="K18" s="2613"/>
      <c r="L18" s="2447"/>
      <c r="M18" s="2447"/>
      <c r="N18" s="2504"/>
      <c r="O18" s="2447"/>
      <c r="P18" s="2504"/>
      <c r="Q18" s="2435"/>
      <c r="R18" s="2435"/>
      <c r="S18" s="2435"/>
      <c r="T18" s="2435"/>
      <c r="U18" s="2435"/>
      <c r="V18" s="2435"/>
    </row>
    <row r="19" spans="1:28" ht="37.200000000000003" thickTop="1" thickBot="1">
      <c r="A19" s="327" t="s">
        <v>1055</v>
      </c>
      <c r="B19" s="307" t="s">
        <v>2201</v>
      </c>
      <c r="C19" s="1563" t="s">
        <v>3433</v>
      </c>
      <c r="D19" s="1564" t="s">
        <v>2202</v>
      </c>
      <c r="E19" s="1565"/>
      <c r="F19" s="1566" t="str">
        <f>IF(AND(C19="是",E19="否"),"是否提供他项权证或相关说明","")</f>
        <v/>
      </c>
      <c r="G19" s="1567"/>
      <c r="H19" s="2659"/>
      <c r="I19" s="2659"/>
      <c r="J19" s="2435"/>
      <c r="K19" s="2611"/>
      <c r="L19" s="2608"/>
      <c r="M19" s="2608"/>
      <c r="N19" s="2504"/>
      <c r="O19" s="2447"/>
      <c r="P19" s="2504"/>
      <c r="Q19" s="2435"/>
      <c r="R19" s="2435"/>
      <c r="S19" s="2435"/>
      <c r="T19" s="2435"/>
      <c r="U19" s="2435"/>
      <c r="V19" s="2435"/>
    </row>
    <row r="20" spans="1:28">
      <c r="A20" s="2627" t="s">
        <v>2203</v>
      </c>
      <c r="B20" s="3546" t="s">
        <v>2204</v>
      </c>
      <c r="C20" s="3547"/>
      <c r="D20" s="3548" t="s">
        <v>2205</v>
      </c>
      <c r="E20" s="3549"/>
      <c r="F20" s="2642" t="s">
        <v>1056</v>
      </c>
      <c r="G20" s="2659"/>
      <c r="H20" s="2659"/>
      <c r="I20" s="2659"/>
      <c r="J20" s="2435"/>
      <c r="K20" s="3545" t="s">
        <v>2206</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08"/>
      <c r="O20" s="2407"/>
      <c r="P20" s="2408"/>
      <c r="Q20" s="2370"/>
      <c r="R20" s="2370"/>
      <c r="S20" s="2370"/>
      <c r="T20" s="2370"/>
      <c r="U20" s="2370"/>
      <c r="V20" s="2370"/>
      <c r="W20" s="1745"/>
      <c r="X20" s="1745"/>
      <c r="Y20" s="1745"/>
      <c r="Z20" s="1745"/>
      <c r="AA20" s="1745"/>
      <c r="AB20" s="1745"/>
    </row>
    <row r="21" spans="1:28" ht="24.6" thickBot="1">
      <c r="A21" s="2627"/>
      <c r="B21" s="2628" t="s">
        <v>2207</v>
      </c>
      <c r="C21" s="2629" t="s">
        <v>1057</v>
      </c>
      <c r="D21" s="1568"/>
      <c r="E21" s="2630"/>
      <c r="F21" s="2643"/>
      <c r="G21" s="2659"/>
      <c r="H21" s="2659"/>
      <c r="I21" s="2659"/>
      <c r="J21" s="2435"/>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8"/>
      <c r="O21" s="2407"/>
      <c r="P21" s="2408"/>
      <c r="Q21" s="2370"/>
      <c r="R21" s="2370"/>
      <c r="S21" s="2370"/>
      <c r="T21" s="2370"/>
      <c r="U21" s="2370"/>
      <c r="V21" s="2370"/>
      <c r="W21" s="1745"/>
      <c r="X21" s="1745"/>
      <c r="Y21" s="1745"/>
      <c r="Z21" s="1745"/>
      <c r="AA21" s="1745"/>
      <c r="AB21" s="1745"/>
    </row>
    <row r="22" spans="1:28" ht="36.6" thickBot="1">
      <c r="A22" s="2627"/>
      <c r="B22" s="2631" t="s">
        <v>2208</v>
      </c>
      <c r="C22" s="2629" t="s">
        <v>3434</v>
      </c>
      <c r="D22" s="2658"/>
      <c r="E22" s="2658"/>
      <c r="F22" s="2658"/>
      <c r="G22" s="2659"/>
      <c r="H22" s="2659"/>
      <c r="I22" s="2659"/>
      <c r="J22" s="2435"/>
      <c r="K22" s="354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8"/>
      <c r="O22" s="2407"/>
      <c r="P22" s="2408"/>
      <c r="Q22" s="2370"/>
      <c r="R22" s="2370"/>
      <c r="S22" s="2370"/>
      <c r="T22" s="2370"/>
      <c r="U22" s="2370"/>
      <c r="V22" s="2370"/>
      <c r="W22" s="1745"/>
      <c r="X22" s="1745"/>
      <c r="Y22" s="1745"/>
      <c r="Z22" s="1745"/>
      <c r="AA22" s="1745"/>
      <c r="AB22" s="1745"/>
    </row>
    <row r="23" spans="1:28">
      <c r="A23" s="2632" t="s">
        <v>2209</v>
      </c>
      <c r="B23" s="2497" t="s">
        <v>2210</v>
      </c>
      <c r="C23" s="2633"/>
      <c r="D23" s="2634" t="s">
        <v>2210</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1058</v>
      </c>
      <c r="C24" s="2636"/>
      <c r="D24" s="2632" t="s">
        <v>1058</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1059</v>
      </c>
      <c r="C25" s="2636"/>
      <c r="D25" s="2632" t="s">
        <v>1059</v>
      </c>
      <c r="E25" s="2637"/>
      <c r="F25" s="2658"/>
      <c r="G25" s="2659"/>
      <c r="H25" s="2659"/>
      <c r="I25" s="2659"/>
      <c r="J25" s="2435"/>
      <c r="K25" s="2611"/>
      <c r="L25" s="2608"/>
      <c r="M25" s="2608"/>
      <c r="N25" s="2504"/>
      <c r="O25" s="2447"/>
      <c r="P25" s="2504"/>
      <c r="Q25" s="2435"/>
      <c r="R25" s="2435"/>
      <c r="S25" s="2435"/>
      <c r="T25" s="2435"/>
      <c r="U25" s="2435"/>
      <c r="V25" s="2435"/>
    </row>
    <row r="26" spans="1:28" ht="13.8" thickBot="1">
      <c r="A26" s="2638"/>
      <c r="B26" s="2639" t="s">
        <v>1060</v>
      </c>
      <c r="C26" s="2640"/>
      <c r="D26" s="2638" t="s">
        <v>1060</v>
      </c>
      <c r="E26" s="2641"/>
      <c r="F26" s="2660"/>
      <c r="G26" s="2660"/>
      <c r="H26" s="2660"/>
      <c r="I26" s="2660"/>
      <c r="J26" s="2435"/>
      <c r="K26" s="2611"/>
      <c r="L26" s="2608"/>
      <c r="M26" s="2608"/>
      <c r="N26" s="2504"/>
      <c r="O26" s="2447"/>
      <c r="P26" s="2504"/>
      <c r="Q26" s="2435"/>
      <c r="R26" s="2435"/>
      <c r="S26" s="2435"/>
      <c r="T26" s="2435"/>
      <c r="U26" s="2435"/>
      <c r="V26" s="2435"/>
    </row>
    <row r="27" spans="1:28" ht="13.8" thickTop="1">
      <c r="A27" s="3533" t="s">
        <v>2211</v>
      </c>
      <c r="B27" s="320" t="s">
        <v>2212</v>
      </c>
      <c r="C27" s="2412" t="s">
        <v>3377</v>
      </c>
      <c r="D27" s="2413"/>
      <c r="E27" s="2659"/>
      <c r="F27" s="2659"/>
      <c r="G27" s="2659"/>
      <c r="H27" s="2659"/>
      <c r="I27" s="2659"/>
      <c r="J27" s="2435"/>
      <c r="K27" s="2612"/>
      <c r="L27" s="2447"/>
      <c r="M27" s="2447"/>
      <c r="N27" s="2504"/>
      <c r="O27" s="2447"/>
      <c r="P27" s="2504"/>
      <c r="Q27" s="2435"/>
      <c r="R27" s="2435"/>
      <c r="S27" s="2435"/>
      <c r="T27" s="2435"/>
      <c r="U27" s="2435"/>
      <c r="V27" s="2435"/>
    </row>
    <row r="28" spans="1:28">
      <c r="A28" s="3533"/>
      <c r="B28" s="302" t="s">
        <v>2213</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33"/>
      <c r="B29" s="302" t="s">
        <v>2214</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34"/>
      <c r="B30" s="302" t="s">
        <v>2215</v>
      </c>
      <c r="C30" s="3535"/>
      <c r="D30" s="3536"/>
      <c r="E30" s="2659"/>
      <c r="F30" s="2659"/>
      <c r="G30" s="2659"/>
      <c r="H30" s="2659"/>
      <c r="I30" s="2659"/>
      <c r="J30" s="2435"/>
      <c r="K30" s="2611"/>
      <c r="L30" s="2608"/>
      <c r="M30" s="2608"/>
      <c r="N30" s="2435"/>
      <c r="O30" s="2446"/>
      <c r="P30" s="2435"/>
      <c r="Q30" s="2435"/>
      <c r="R30" s="2435"/>
      <c r="S30" s="2435"/>
      <c r="T30" s="2435"/>
      <c r="U30" s="2435"/>
      <c r="V30" s="2435"/>
    </row>
    <row r="31" spans="1:28">
      <c r="A31" s="3537" t="s">
        <v>2216</v>
      </c>
      <c r="B31" s="2418" t="s">
        <v>3376</v>
      </c>
      <c r="C31" s="2323" t="str">
        <f>IF(B31="现房","成新及维护状况正常否",IF(B31="在建","工程状态是否正常",IF(B31="土地","是否闲置","-")))</f>
        <v>成新及维护状况正常否</v>
      </c>
      <c r="D31" s="1373"/>
      <c r="E31" s="2419"/>
      <c r="F31" s="2659"/>
      <c r="G31" s="2659"/>
      <c r="H31" s="2659"/>
      <c r="I31" s="2659"/>
      <c r="J31" s="2435"/>
      <c r="K31" s="2610"/>
      <c r="L31" s="2608"/>
      <c r="M31" s="2608"/>
      <c r="N31" s="2435"/>
      <c r="O31" s="2446"/>
      <c r="P31" s="2435"/>
      <c r="Q31" s="2435"/>
      <c r="R31" s="2435"/>
      <c r="S31" s="2435"/>
      <c r="T31" s="2435"/>
      <c r="U31" s="2435"/>
      <c r="V31" s="2435"/>
    </row>
    <row r="32" spans="1:28">
      <c r="A32" s="3538"/>
      <c r="B32" s="2418"/>
      <c r="C32" s="2323" t="str">
        <f>IF(B32="现房","成新及维护状况是否正常",IF(B32="在建","工程状态是否正常",IF(B32="土地","是否闲置","-")))</f>
        <v>-</v>
      </c>
      <c r="D32" s="1373"/>
      <c r="E32" s="2419"/>
      <c r="F32" s="2659"/>
      <c r="G32" s="2659"/>
      <c r="H32" s="2659"/>
      <c r="I32" s="2659"/>
      <c r="J32" s="2435"/>
      <c r="K32" s="2611"/>
      <c r="L32" s="2608"/>
      <c r="M32" s="2608"/>
      <c r="N32" s="2435"/>
      <c r="O32" s="2446"/>
      <c r="P32" s="2435"/>
      <c r="Q32" s="2435"/>
      <c r="R32" s="2435"/>
      <c r="S32" s="2435"/>
      <c r="T32" s="2435"/>
      <c r="U32" s="2435"/>
      <c r="V32" s="2435"/>
    </row>
    <row r="33" spans="1:30">
      <c r="A33" s="3538"/>
      <c r="B33" s="2421"/>
      <c r="C33" s="1590" t="str">
        <f>IF(B33="现房","成新及维护状况是否正常",IF(B33="在建","工程状态是否正常",IF(B33="土地","是否闲置","-")))</f>
        <v>-</v>
      </c>
      <c r="D33" s="1365"/>
      <c r="E33" s="2422"/>
      <c r="F33" s="2659"/>
      <c r="G33" s="2659"/>
      <c r="H33" s="2659"/>
      <c r="I33" s="2659"/>
      <c r="J33" s="2435"/>
      <c r="K33" s="2611"/>
      <c r="L33" s="2608"/>
      <c r="M33" s="2608"/>
      <c r="N33" s="2435"/>
      <c r="O33" s="2446"/>
      <c r="P33" s="2435"/>
      <c r="Q33" s="2435"/>
      <c r="R33" s="2435"/>
      <c r="S33" s="2435"/>
      <c r="T33" s="2435"/>
      <c r="U33" s="2435"/>
      <c r="V33" s="2435"/>
    </row>
    <row r="34" spans="1:30">
      <c r="A34" s="302" t="s">
        <v>2217</v>
      </c>
      <c r="B34" s="2026" t="s">
        <v>3378</v>
      </c>
      <c r="C34" s="2026" t="s">
        <v>3379</v>
      </c>
      <c r="D34" s="2026" t="s">
        <v>3380</v>
      </c>
      <c r="E34" s="2026" t="s">
        <v>3381</v>
      </c>
      <c r="F34" s="2026" t="s">
        <v>3382</v>
      </c>
      <c r="G34" s="2026" t="s">
        <v>3383</v>
      </c>
      <c r="H34" s="2026" t="s">
        <v>43</v>
      </c>
      <c r="I34" s="2659"/>
      <c r="J34" s="2435"/>
      <c r="K34" s="2423">
        <f>COUNTIF(B34:H34,"——")</f>
        <v>1</v>
      </c>
      <c r="L34" s="323" t="s">
        <v>2218</v>
      </c>
      <c r="M34" s="323" t="s">
        <v>2219</v>
      </c>
      <c r="N34" s="323" t="s">
        <v>2220</v>
      </c>
      <c r="O34" s="323" t="s">
        <v>2221</v>
      </c>
      <c r="P34" s="323" t="s">
        <v>2222</v>
      </c>
      <c r="Q34" s="323" t="s">
        <v>2223</v>
      </c>
      <c r="R34" s="323" t="s">
        <v>2224</v>
      </c>
      <c r="S34" s="3532" t="s">
        <v>2225</v>
      </c>
      <c r="T34" s="2424" t="str">
        <f>NUMBERSTRING(7-K34,1)&amp;"通"</f>
        <v>六通</v>
      </c>
      <c r="U34" s="2435"/>
      <c r="V34" s="2435"/>
    </row>
    <row r="35" spans="1:30">
      <c r="A35" s="2425"/>
      <c r="B35" s="3539" t="s">
        <v>2226</v>
      </c>
      <c r="C35" s="3539"/>
      <c r="D35" s="3539"/>
      <c r="E35" s="3539"/>
      <c r="F35" s="664">
        <f>C10</f>
        <v>0</v>
      </c>
      <c r="G35" s="2659"/>
      <c r="H35" s="2659"/>
      <c r="I35" s="265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2"/>
      <c r="T35" s="329" t="str">
        <f>IF(T34="一通",L35,IF(T34="二通",M35,IF(T34="三通",N35,IF(T34="四通",O35,IF(T34="五通",P35,IF(T34="六通",Q35,R35))))))</f>
        <v>通路、通电、通讯、通上水、通下水、平整</v>
      </c>
      <c r="U35" s="2435"/>
      <c r="V35" s="2435"/>
    </row>
    <row r="36" spans="1:30">
      <c r="A36" s="2426"/>
      <c r="B36" s="664" t="s">
        <v>2184</v>
      </c>
      <c r="C36" s="664" t="s">
        <v>2185</v>
      </c>
      <c r="D36" s="664" t="s">
        <v>2183</v>
      </c>
      <c r="E36" s="664" t="s">
        <v>2188</v>
      </c>
      <c r="F36" s="3060" t="s">
        <v>2575</v>
      </c>
      <c r="G36" s="2659"/>
      <c r="H36" s="2659"/>
      <c r="I36" s="2659"/>
      <c r="J36" s="2435"/>
      <c r="K36" s="2611"/>
      <c r="L36" s="2608"/>
      <c r="M36" s="2608"/>
      <c r="N36" s="2435"/>
      <c r="O36" s="2446"/>
      <c r="P36" s="2435"/>
      <c r="Q36" s="2435"/>
      <c r="R36" s="2435"/>
      <c r="S36" s="2435"/>
      <c r="T36" s="2435"/>
      <c r="U36" s="2435"/>
      <c r="V36" s="2435"/>
    </row>
    <row r="37" spans="1:30">
      <c r="A37" s="2625" t="s">
        <v>2227</v>
      </c>
      <c r="B37" s="2427" t="s">
        <v>184</v>
      </c>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8" thickBot="1">
      <c r="A38" s="2626" t="s">
        <v>2228</v>
      </c>
      <c r="B38" s="2428" t="s">
        <v>185</v>
      </c>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4" thickTop="1" thickBot="1">
      <c r="A39" s="2429" t="s">
        <v>2229</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7"/>
      <c r="M40" s="2447"/>
      <c r="N40" s="2504"/>
      <c r="O40" s="2447"/>
      <c r="P40" s="2435"/>
      <c r="Q40" s="2435"/>
      <c r="R40" s="2435"/>
      <c r="S40" s="2435"/>
      <c r="T40" s="2435"/>
      <c r="U40" s="2435"/>
      <c r="V40" s="2435"/>
    </row>
    <row r="41" spans="1:30">
      <c r="A41" s="2432" t="s">
        <v>2230</v>
      </c>
      <c r="B41" s="1757"/>
      <c r="C41" s="1373"/>
      <c r="D41" s="2370"/>
      <c r="E41" s="2370"/>
      <c r="F41" s="2370"/>
      <c r="G41" s="2370"/>
      <c r="H41" s="2370"/>
      <c r="I41" s="1576"/>
      <c r="J41" s="2435"/>
      <c r="K41" s="2611"/>
      <c r="L41" s="2608"/>
      <c r="M41" s="2608"/>
      <c r="N41" s="2435"/>
      <c r="O41" s="2446"/>
      <c r="P41" s="2435"/>
      <c r="Q41" s="2435"/>
      <c r="R41" s="2435"/>
      <c r="S41" s="2435"/>
      <c r="T41" s="2435"/>
      <c r="U41" s="2435"/>
      <c r="V41" s="2435"/>
    </row>
    <row r="42" spans="1:30" ht="25.2">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M27" sqref="M27"/>
      <selection pane="topRight" activeCell="M27" sqref="M27"/>
      <selection pane="bottomLeft" activeCell="M27" sqref="M27"/>
      <selection pane="bottomRight" activeCell="D43" sqref="D4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278.54000000000002</v>
      </c>
      <c r="B3" s="11">
        <f>IF(C3="否",G5-AT5,G5)</f>
        <v>1139.1300000000001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1139.1300000000001</v>
      </c>
      <c r="H5" s="13">
        <f t="shared" ref="H5:AT5" si="0">SUM(H13:H656)</f>
        <v>1139.1300000000001</v>
      </c>
      <c r="I5" s="13">
        <f t="shared" si="0"/>
        <v>1139.1300000000001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1139.1300000000001</v>
      </c>
      <c r="BA5" s="15">
        <f t="shared" si="1"/>
        <v>1139.1300000000001</v>
      </c>
      <c r="BB5" s="15">
        <f t="shared" si="1"/>
        <v>1139.1300000000001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278.54000000000002</v>
      </c>
      <c r="F6" s="13" t="s">
        <v>0</v>
      </c>
      <c r="G6" s="13" t="s">
        <v>1</v>
      </c>
      <c r="H6" s="17">
        <f>SUMIF(I$12:AB$12,"总值",I6:AB6)</f>
        <v>278.54000000000002</v>
      </c>
      <c r="I6" s="13">
        <f t="shared" ref="I6:AB6" si="2">ROUND($A$3*I5/$B$3,2)</f>
        <v>278.54000000000002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278.54000000000002</v>
      </c>
      <c r="AZ6" s="13" t="s">
        <v>2</v>
      </c>
      <c r="BA6" s="13">
        <f>ROUND($AY$6*BA5/$AZ$5,2)</f>
        <v>278.54000000000002</v>
      </c>
      <c r="BB6" s="13">
        <f>ROUND($AY$6*BB5/$AZ$5,2)</f>
        <v>278.54000000000002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t="s">
        <v>3435</v>
      </c>
      <c r="D13" s="3445" t="s">
        <v>3384</v>
      </c>
      <c r="E13" s="13">
        <f>IF($C$3="是",ROUND($A$3*G13/$B$3,2),ROUND($A$3*(G13-AT13)/$B$3,2))</f>
        <v>278.54000000000002</v>
      </c>
      <c r="F13" s="29"/>
      <c r="G13" s="30">
        <f>H13+AC13+AT13</f>
        <v>1139.1300000000001</v>
      </c>
      <c r="H13" s="17">
        <f>SUMIF(I$12:AB$12,"总值",I13:AB13)</f>
        <v>1139.1300000000001</v>
      </c>
      <c r="I13" s="1626">
        <v>1139.1300000000001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C-1</v>
      </c>
      <c r="AY13" s="1349">
        <f>ROUND($AY$6*AZ13/$AZ$5,2)</f>
        <v>278.54000000000002</v>
      </c>
      <c r="AZ13" s="13">
        <f>BA13+BL13</f>
        <v>1139.1300000000001</v>
      </c>
      <c r="BA13" s="13">
        <f>SUM(BB13:BK13)</f>
        <v>1139.1300000000001</v>
      </c>
      <c r="BB13" s="13">
        <f>IF($D13="是",I13-J13,0)</f>
        <v>1139.1300000000001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90" zoomScaleNormal="100" zoomScaleSheetLayoutView="9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4"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71" t="s">
        <v>1130</v>
      </c>
      <c r="B2" s="3571"/>
      <c r="C2" s="3571"/>
      <c r="D2" s="796" t="s">
        <v>1106</v>
      </c>
      <c r="E2" s="1639" t="s">
        <v>1107</v>
      </c>
      <c r="F2" s="2654"/>
      <c r="G2" s="2645"/>
      <c r="H2" s="2646"/>
      <c r="I2" s="2325" t="s">
        <v>1131</v>
      </c>
      <c r="J2" s="2654"/>
      <c r="K2" s="2654"/>
      <c r="L2" s="2654"/>
      <c r="M2" s="2654"/>
      <c r="N2" s="2656"/>
      <c r="O2" s="2654"/>
      <c r="P2" s="2654"/>
    </row>
    <row r="3" spans="1:16" ht="15" thickBot="1">
      <c r="A3" s="3572" t="s">
        <v>1104</v>
      </c>
      <c r="B3" s="3572"/>
      <c r="C3" s="3572"/>
      <c r="D3" s="43">
        <f>'数据-基础表'!AY6</f>
        <v>278.54000000000002</v>
      </c>
      <c r="E3" s="43">
        <f>'数据-基础表'!AZ5</f>
        <v>1139.1300000000001</v>
      </c>
      <c r="F3" s="2654"/>
      <c r="G3" s="1145"/>
      <c r="H3" s="1026" t="s">
        <v>1105</v>
      </c>
      <c r="I3" s="855">
        <f>ROUND('数据-基础表'!B3/'数据-基础表'!A3,2)</f>
        <v>4.09</v>
      </c>
      <c r="J3" s="2654"/>
      <c r="K3" s="2654"/>
      <c r="L3" s="2654"/>
      <c r="M3" s="2654"/>
      <c r="N3" s="2656"/>
      <c r="O3" s="2654"/>
      <c r="P3" s="2654"/>
    </row>
    <row r="4" spans="1:16" ht="14.4">
      <c r="A4" s="3573"/>
      <c r="B4" s="3574"/>
      <c r="C4" s="3575"/>
      <c r="D4" s="1641" t="s">
        <v>1106</v>
      </c>
      <c r="E4" s="1642" t="s">
        <v>1107</v>
      </c>
      <c r="F4" s="2654"/>
      <c r="G4" s="2647" t="s">
        <v>1132</v>
      </c>
      <c r="H4" s="1026" t="s">
        <v>1112</v>
      </c>
      <c r="I4" s="855">
        <f>ROUND(SUMIF('数据-基础表'!I9:AS9,"地上",'数据-基础表'!I5:AS5)/'数据-基础表'!A3,2)</f>
        <v>4.09</v>
      </c>
      <c r="J4" s="2654"/>
      <c r="K4" s="2654"/>
      <c r="L4" s="2654"/>
      <c r="M4" s="2654"/>
      <c r="N4" s="2656"/>
      <c r="O4" s="2654"/>
      <c r="P4" s="2654"/>
    </row>
    <row r="5" spans="1:16" ht="14.4">
      <c r="A5" s="44" t="s">
        <v>1108</v>
      </c>
      <c r="B5" s="3576" t="s">
        <v>1109</v>
      </c>
      <c r="C5" s="3576"/>
      <c r="D5" s="45">
        <f>ROUND($D$3*E5/$E$3,2)</f>
        <v>0</v>
      </c>
      <c r="E5" s="46">
        <f>SUMIF('数据-基础表'!$11:$11,"住宅",'数据-基础表'!$5:$5)</f>
        <v>0</v>
      </c>
      <c r="F5" s="2654"/>
      <c r="G5" s="1145"/>
      <c r="H5" s="1026" t="s">
        <v>1105</v>
      </c>
      <c r="I5" s="855">
        <f>ROUND(E31/D31,2)</f>
        <v>4.09</v>
      </c>
      <c r="J5" s="2654"/>
      <c r="K5" s="2654"/>
      <c r="L5" s="2654"/>
      <c r="M5" s="2654"/>
      <c r="N5" s="2654"/>
      <c r="O5" s="2654"/>
      <c r="P5" s="2654"/>
    </row>
    <row r="6" spans="1:16" ht="15" thickBot="1">
      <c r="A6" s="1644"/>
      <c r="B6" s="3576" t="s">
        <v>1110</v>
      </c>
      <c r="C6" s="3576"/>
      <c r="D6" s="45">
        <f>ROUND($D$3*E6/$E$3,2)</f>
        <v>278.54000000000002</v>
      </c>
      <c r="E6" s="46">
        <f>E3-E5</f>
        <v>1139.1300000000001</v>
      </c>
      <c r="F6" s="2654"/>
      <c r="G6" s="2648" t="s">
        <v>1111</v>
      </c>
      <c r="H6" s="1146" t="s">
        <v>1112</v>
      </c>
      <c r="I6" s="2649">
        <f>ROUND(F31/D31,2)</f>
        <v>4.09</v>
      </c>
      <c r="J6" s="2654"/>
      <c r="K6" s="2654"/>
      <c r="L6" s="2654"/>
      <c r="M6" s="2654"/>
      <c r="N6" s="2654"/>
      <c r="O6" s="2654"/>
      <c r="P6" s="2654"/>
    </row>
    <row r="7" spans="1:16" ht="15" thickBot="1">
      <c r="A7" s="3568"/>
      <c r="B7" s="3569"/>
      <c r="C7" s="3570"/>
      <c r="D7" s="1641" t="s">
        <v>1106</v>
      </c>
      <c r="E7" s="1645" t="s">
        <v>1113</v>
      </c>
      <c r="F7" s="2654"/>
      <c r="G7" s="2650" t="s">
        <v>1114</v>
      </c>
      <c r="H7" s="2651"/>
      <c r="I7" s="2652"/>
      <c r="J7" s="2654"/>
      <c r="K7" s="2654"/>
      <c r="L7" s="2654"/>
      <c r="M7" s="2654"/>
      <c r="N7" s="2654"/>
      <c r="O7" s="2654"/>
      <c r="P7" s="2654"/>
    </row>
    <row r="8" spans="1:16" ht="14.4">
      <c r="A8" s="44" t="s">
        <v>1115</v>
      </c>
      <c r="B8" s="47" t="s">
        <v>1116</v>
      </c>
      <c r="C8" s="45" t="s">
        <v>1117</v>
      </c>
      <c r="D8" s="45">
        <f t="shared" ref="D8:D15" si="0">ROUND($D$3*E8/$E$3,2)</f>
        <v>278.54000000000002</v>
      </c>
      <c r="E8" s="48">
        <f>SUMIF('数据-基础表'!BB10:BK10,"地上",'数据-基础表'!BB5:BK5)</f>
        <v>1139.1300000000001</v>
      </c>
      <c r="F8" s="2654"/>
      <c r="G8" s="2655"/>
      <c r="H8" s="2655"/>
      <c r="I8" s="2654"/>
      <c r="J8" s="2654"/>
      <c r="K8" s="2654"/>
      <c r="L8" s="2654"/>
      <c r="M8" s="2654"/>
      <c r="N8" s="2654"/>
      <c r="O8" s="2654"/>
      <c r="P8" s="2654"/>
    </row>
    <row r="9" spans="1:16" ht="14.4">
      <c r="A9" s="1646"/>
      <c r="B9" s="1647"/>
      <c r="C9" s="45" t="s">
        <v>1118</v>
      </c>
      <c r="D9" s="45">
        <f t="shared" si="0"/>
        <v>0</v>
      </c>
      <c r="E9" s="49">
        <v>0</v>
      </c>
      <c r="F9" s="2654"/>
      <c r="G9" s="2655"/>
      <c r="H9" s="2655"/>
      <c r="I9" s="2654"/>
      <c r="J9" s="2654"/>
      <c r="K9" s="2654"/>
      <c r="L9" s="2654"/>
      <c r="M9" s="2654"/>
      <c r="N9" s="2654"/>
      <c r="O9" s="2654"/>
      <c r="P9" s="2654"/>
    </row>
    <row r="10" spans="1:16" ht="14.4">
      <c r="A10" s="1646"/>
      <c r="B10" s="1647"/>
      <c r="C10" s="45" t="s">
        <v>1127</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ht="14.4">
      <c r="A11" s="1646"/>
      <c r="B11" s="1647"/>
      <c r="C11" s="45" t="s">
        <v>1119</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ht="14.4">
      <c r="A12" s="1646"/>
      <c r="B12" s="1647"/>
      <c r="C12" s="45" t="s">
        <v>1120</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ht="14.4">
      <c r="A13" s="1646"/>
      <c r="B13" s="1647"/>
      <c r="C13" s="45" t="s">
        <v>1121</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ht="14.4">
      <c r="A14" s="1646"/>
      <c r="B14" s="1647"/>
      <c r="C14" s="45" t="s">
        <v>1133</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1128</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 thickBot="1">
      <c r="A16" s="1644"/>
      <c r="B16" s="1647"/>
      <c r="C16" s="47" t="s">
        <v>1122</v>
      </c>
      <c r="D16" s="47">
        <f>SUM(D8:D15)</f>
        <v>278.54000000000002</v>
      </c>
      <c r="E16" s="50">
        <f>SUM(E8:E15)</f>
        <v>1139.1300000000001</v>
      </c>
      <c r="F16" s="2654"/>
      <c r="G16" s="2655"/>
      <c r="H16" s="1648" t="s">
        <v>1134</v>
      </c>
      <c r="I16" s="1649"/>
      <c r="J16" s="1139"/>
      <c r="K16" s="3565" t="s">
        <v>1134</v>
      </c>
      <c r="L16" s="3566"/>
      <c r="M16" s="3566"/>
      <c r="N16" s="3566"/>
      <c r="O16" s="3566"/>
      <c r="P16" s="3567"/>
    </row>
    <row r="17" spans="1:19" ht="14.4">
      <c r="A17" s="1650" t="s">
        <v>1135</v>
      </c>
      <c r="B17" s="1651" t="s">
        <v>1136</v>
      </c>
      <c r="C17" s="1652" t="s">
        <v>1137</v>
      </c>
      <c r="D17" s="1653" t="s">
        <v>1125</v>
      </c>
      <c r="E17" s="1654" t="s">
        <v>1126</v>
      </c>
      <c r="F17" s="1655"/>
      <c r="G17" s="1656"/>
      <c r="H17" s="1657" t="s">
        <v>1138</v>
      </c>
      <c r="I17" s="1658" t="s">
        <v>1123</v>
      </c>
      <c r="J17" s="1139"/>
      <c r="K17" s="3562" t="s">
        <v>1139</v>
      </c>
      <c r="L17" s="3563"/>
      <c r="M17" s="3564"/>
      <c r="N17" s="3562" t="s">
        <v>1140</v>
      </c>
      <c r="O17" s="3563"/>
      <c r="P17" s="3564"/>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2" t="s">
        <v>3493</v>
      </c>
      <c r="D19" s="45">
        <f>ROUND($D$3*E19/$E$3,2)</f>
        <v>263.48</v>
      </c>
      <c r="E19" s="53">
        <f t="shared" ref="E19:E26" si="1">SUM(F19:G19)</f>
        <v>1077.56</v>
      </c>
      <c r="F19" s="2790">
        <f>H37</f>
        <v>1077.56</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263.48</v>
      </c>
      <c r="S19" s="1027">
        <f t="shared" si="5"/>
        <v>1077.56</v>
      </c>
    </row>
    <row r="20" spans="1:19" ht="14.4">
      <c r="A20" s="1670"/>
      <c r="B20" s="47" t="s">
        <v>1152</v>
      </c>
      <c r="C20" s="3412" t="s">
        <v>3495</v>
      </c>
      <c r="D20" s="45">
        <f t="shared" ref="D20:D26" si="6">ROUND($D$3*E20/$E$3,2)</f>
        <v>15.06</v>
      </c>
      <c r="E20" s="53">
        <f t="shared" si="1"/>
        <v>61.57</v>
      </c>
      <c r="F20" s="2790">
        <f>H38+H39</f>
        <v>61.57</v>
      </c>
      <c r="G20" s="279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15.06</v>
      </c>
      <c r="S20" s="1027">
        <f t="shared" si="5"/>
        <v>61.57</v>
      </c>
    </row>
    <row r="21" spans="1:19" ht="14.4">
      <c r="A21" s="1670"/>
      <c r="B21" s="47" t="s">
        <v>1152</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278.54000000000002</v>
      </c>
      <c r="E27" s="1141">
        <f>IF(SUM(E19:E26)='数据-基础表'!BA5,SUM(E19:E26),IF(F27="地上面积有误","面积有误","地下面积有误"))</f>
        <v>1139.1299999999999</v>
      </c>
      <c r="F27" s="1140">
        <f>IF(SUM(F19:F26)=E8,SUM(F19:F26),"地上面积有误")</f>
        <v>1139.1299999999999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278.54000000000002</v>
      </c>
      <c r="S27" s="1026">
        <f>IF(SUM(S19:S26)=$E$3,SUM(S19:S26),SUM(S19:S26)&amp;"误差"&amp;ROUND(SUM(S19:S26)-E3,2))</f>
        <v>1139.1299999999999</v>
      </c>
    </row>
    <row r="28" spans="1:19" ht="14.4">
      <c r="A28" s="1670"/>
      <c r="B28" s="47" t="s">
        <v>1154</v>
      </c>
      <c r="C28" s="1038" t="s">
        <v>1155</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ht="14.4">
      <c r="A29" s="1670"/>
      <c r="B29" s="47" t="s">
        <v>1154</v>
      </c>
      <c r="C29" s="1674" t="s">
        <v>1156</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4.4">
      <c r="A30" s="1670"/>
      <c r="B30" s="47"/>
      <c r="C30" s="1675" t="s">
        <v>1153</v>
      </c>
      <c r="D30" s="1140">
        <f>SUM(D28:D29)</f>
        <v>0</v>
      </c>
      <c r="E30" s="1140">
        <f>SUM(E28:E29)</f>
        <v>0</v>
      </c>
      <c r="F30" s="1140">
        <f>SUM(F28:F29)</f>
        <v>0</v>
      </c>
      <c r="G30" s="1142">
        <f>SUM(G28:G29)</f>
        <v>0</v>
      </c>
      <c r="H30" s="2654"/>
      <c r="I30" s="2654"/>
      <c r="J30" s="2654"/>
      <c r="K30" s="2654"/>
      <c r="L30" s="2654"/>
      <c r="M30" s="2654"/>
      <c r="N30" s="2654"/>
      <c r="O30" s="2654"/>
      <c r="P30" s="2654"/>
    </row>
    <row r="31" spans="1:19" ht="15" thickBot="1">
      <c r="A31" s="1676"/>
      <c r="B31" s="1677"/>
      <c r="C31" s="835" t="s">
        <v>1157</v>
      </c>
      <c r="D31" s="676">
        <f>D27+D30</f>
        <v>278.54000000000002</v>
      </c>
      <c r="E31" s="676">
        <f>E27+E30</f>
        <v>1139.1299999999999</v>
      </c>
      <c r="F31" s="677">
        <f>F27+F30</f>
        <v>1139.1299999999999</v>
      </c>
      <c r="G31" s="678">
        <f>G27+G30</f>
        <v>0</v>
      </c>
      <c r="H31" s="2654"/>
      <c r="I31" s="2654"/>
      <c r="J31" s="2654"/>
      <c r="K31" s="2654"/>
      <c r="L31" s="2654"/>
      <c r="M31" s="2654"/>
      <c r="N31" s="2654"/>
      <c r="O31" s="2654"/>
      <c r="P31" s="2654"/>
    </row>
    <row r="32" spans="1:19" ht="14.4">
      <c r="A32" s="1643"/>
      <c r="B32" s="1643" t="s">
        <v>1158</v>
      </c>
      <c r="C32" s="1643"/>
      <c r="D32" s="1643"/>
      <c r="E32" s="1053">
        <f>SUMIF(C19:C26,"*住宅*",E19:E26)</f>
        <v>0</v>
      </c>
      <c r="F32" s="1643"/>
      <c r="G32" s="1643"/>
      <c r="H32" s="2654"/>
      <c r="I32" s="2654"/>
      <c r="J32" s="2654"/>
      <c r="K32" s="2654"/>
      <c r="L32" s="2654"/>
      <c r="M32" s="2654"/>
      <c r="N32" s="2654"/>
      <c r="O32" s="2654"/>
      <c r="P32" s="2654"/>
    </row>
    <row r="33" spans="4:8">
      <c r="D33" s="1678"/>
    </row>
    <row r="36" spans="4:8" ht="14.4">
      <c r="F36" s="3473" t="s">
        <v>3488</v>
      </c>
      <c r="G36" s="3473" t="s">
        <v>3489</v>
      </c>
      <c r="H36" s="3473" t="s">
        <v>3491</v>
      </c>
    </row>
    <row r="37" spans="4:8" ht="14.4">
      <c r="E37" s="3473" t="s">
        <v>3487</v>
      </c>
      <c r="F37" s="1638">
        <v>765.7</v>
      </c>
      <c r="G37" s="1638">
        <v>1</v>
      </c>
      <c r="H37" s="1638">
        <f>ROUND(租约!B3/租约!B6*'数据-汇总表'!F38,2)</f>
        <v>1077.56</v>
      </c>
    </row>
    <row r="38" spans="4:8" ht="14.4">
      <c r="E38" s="3473" t="s">
        <v>3490</v>
      </c>
      <c r="F38" s="1678">
        <f>E3</f>
        <v>1139.1300000000001</v>
      </c>
      <c r="G38" s="1638">
        <v>2</v>
      </c>
      <c r="H38" s="1638">
        <f>ROUND(租约!B4/租约!B6*'数据-汇总表'!F38,2)</f>
        <v>44.78</v>
      </c>
    </row>
    <row r="39" spans="4:8">
      <c r="G39" s="1638">
        <v>3</v>
      </c>
      <c r="H39" s="1638">
        <f>ROUND(租约!B5/租约!B6*'数据-汇总表'!F38,2)</f>
        <v>16.79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M27" sqref="M27"/>
      <selection pane="topRight" activeCell="M27" sqref="M27"/>
      <selection pane="bottomLeft" activeCell="M27" sqref="M27"/>
      <selection pane="bottomRight" activeCell="AK21" sqref="AK2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 thickBot="1">
      <c r="A2" s="1683" t="s">
        <v>1160</v>
      </c>
      <c r="B2" s="1045">
        <f>项目基本情况!D3</f>
        <v>44965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北京银行</v>
      </c>
      <c r="B6" s="1713" t="str">
        <f>IF(A6=0,"","经营性")</f>
        <v>经营性</v>
      </c>
      <c r="C6" s="1714" t="s">
        <v>673</v>
      </c>
      <c r="D6" s="858">
        <f>SUMIF(项目基本情况!C$12:I$12,C6,项目基本情况!C$14:I$14)</f>
        <v>40</v>
      </c>
      <c r="E6" s="857">
        <f>IF(B6="","",SUMIF(项目基本情况!C$12:I$12,C6,项目基本情况!C$13:I$13))</f>
        <v>51648</v>
      </c>
      <c r="F6" s="64">
        <f>SUMIF(项目基本情况!C$12:I$12,C6,项目基本情况!C$15:I$15)</f>
        <v>18.3</v>
      </c>
      <c r="G6" s="65">
        <f>IF(ISERROR(ROUND(POWER(1+H6,D6-F6)*(POWER(1+H6,F6)-1)/(POWER(1+H6,D6)-1),3)),0,ROUND(POWER(1+H6,D6-F6)*(POWER(1+H6,F6)-1)/(POWER(1+H6,D6)-1),3))</f>
        <v>0.68799999999999994</v>
      </c>
      <c r="H6" s="732">
        <v>0.05</v>
      </c>
      <c r="I6" s="732">
        <v>5.5E-2</v>
      </c>
      <c r="J6" s="66">
        <v>7.0000000000000007E-2</v>
      </c>
      <c r="K6" s="1030">
        <f>SUMIF('数据-汇总表'!C$19:C$33,A6,'数据-汇总表'!E$19:E$33)</f>
        <v>1077.56</v>
      </c>
      <c r="L6" s="733">
        <v>5000</v>
      </c>
      <c r="M6" s="67">
        <f t="shared" ref="M6:M14" si="0">ROUND(K6*L6/10000,0)</f>
        <v>539</v>
      </c>
      <c r="N6" s="731">
        <f>N21</f>
        <v>0.85</v>
      </c>
      <c r="O6" s="67" t="str">
        <f>IF($N$5="成新度","——",ROUND(M6*N6,0))</f>
        <v>——</v>
      </c>
      <c r="P6" s="68" t="str">
        <f>IF($N$5="成新度","——",M6-O6)</f>
        <v>——</v>
      </c>
      <c r="Q6" s="734">
        <v>0.2</v>
      </c>
      <c r="R6" s="69">
        <f ca="1">SUMIF('数据-汇总表'!C$19:C$33,A6,'数据-汇总表'!R$19:R$27)</f>
        <v>263.48</v>
      </c>
      <c r="S6" s="51">
        <f>IF('数据-汇总表'!$I$17="按面积比例",SUMIF('数据-汇总表'!C$19:C$33,A6,'数据-汇总表'!K$19:K$33),SUMIF('数据-汇总表'!C$19:C$33,A6,'数据-汇总表'!N$19:N$33))</f>
        <v>0</v>
      </c>
      <c r="T6" s="1172">
        <f>ROUND($L$14*S6/10000,0)</f>
        <v>0</v>
      </c>
      <c r="U6" s="3423">
        <f>租约!H3</f>
        <v>10.199999999999999</v>
      </c>
      <c r="V6" s="70">
        <v>0</v>
      </c>
      <c r="W6" s="70">
        <v>0</v>
      </c>
      <c r="X6" s="1040"/>
      <c r="Y6" s="71">
        <f>N6</f>
        <v>0.85</v>
      </c>
      <c r="Z6" s="3833">
        <f>ROUND(AA19*(1+AA6)^AF6,1)</f>
        <v>14.5</v>
      </c>
      <c r="AA6" s="66">
        <v>0.03</v>
      </c>
      <c r="AB6" s="66">
        <v>0.05</v>
      </c>
      <c r="AC6" s="1040"/>
      <c r="AD6" s="73">
        <f>N6-0.06</f>
        <v>0.79</v>
      </c>
      <c r="AE6" s="1041">
        <f ca="1">IF(AN6="",0,SUMIF(INDIRECT("'"&amp;AN6&amp;"'"&amp;"!E:E"),$AE$5,INDIRECT("'"&amp;AN6&amp;"'"&amp;"!F:F")))</f>
        <v>18.3</v>
      </c>
      <c r="AF6" s="1348">
        <f>项目基本情况!I15</f>
        <v>6.31</v>
      </c>
      <c r="AG6" s="138">
        <f ca="1">IF(AF6="",0,AE6-AF6)</f>
        <v>11.990000000000002</v>
      </c>
      <c r="AH6" s="74"/>
      <c r="AI6" s="76">
        <v>365</v>
      </c>
      <c r="AJ6" s="77"/>
      <c r="AK6" s="78">
        <v>0.01</v>
      </c>
      <c r="AL6" s="79">
        <v>1E-3</v>
      </c>
      <c r="AM6" s="80">
        <v>0.01</v>
      </c>
      <c r="AN6" s="1715" t="s">
        <v>3496</v>
      </c>
      <c r="AO6" s="52">
        <f ca="1">SUMIF(INDIRECT("'"&amp;AN6&amp;"'"&amp;"!A:A"),"总价",INDIRECT("'"&amp;AN6&amp;"'"&amp;"!B:B"))</f>
        <v>4876.6448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其他</v>
      </c>
      <c r="B7" s="1713" t="str">
        <f t="shared" ref="B7:B13" si="1">IF(A7=0,"","经营性")</f>
        <v>经营性</v>
      </c>
      <c r="C7" s="1714" t="s">
        <v>673</v>
      </c>
      <c r="D7" s="858">
        <f>SUMIF(项目基本情况!C$12:I$12,C7,项目基本情况!C$14:I$14)</f>
        <v>40</v>
      </c>
      <c r="E7" s="857">
        <f>IF(B7="","",SUMIF(项目基本情况!C$12:I$12,C7,项目基本情况!C$13:I$13))</f>
        <v>51648</v>
      </c>
      <c r="F7" s="64">
        <f>SUMIF(项目基本情况!C$12:I$12,C7,项目基本情况!C$15:I$15)</f>
        <v>18.3</v>
      </c>
      <c r="G7" s="65">
        <f t="shared" ref="G7:G11" si="2">IF(ISERROR(ROUND(POWER(1+H7,D7-F7)*(POWER(1+H7,F7)-1)/(POWER(1+H7,D7)-1),3)),0,ROUND(POWER(1+H7,D7-F7)*(POWER(1+H7,F7)-1)/(POWER(1+H7,D7)-1),3))</f>
        <v>0.68799999999999994</v>
      </c>
      <c r="H7" s="732">
        <f>H6</f>
        <v>0.05</v>
      </c>
      <c r="I7" s="732">
        <f>I6</f>
        <v>5.5E-2</v>
      </c>
      <c r="J7" s="66">
        <f>J6</f>
        <v>7.0000000000000007E-2</v>
      </c>
      <c r="K7" s="1030">
        <f>SUMIF('数据-汇总表'!C$19:C$33,A7,'数据-汇总表'!E$19:E$33)</f>
        <v>61.57</v>
      </c>
      <c r="L7" s="733">
        <v>4200</v>
      </c>
      <c r="M7" s="67">
        <f t="shared" si="0"/>
        <v>26</v>
      </c>
      <c r="N7" s="731">
        <f>N6</f>
        <v>0.85</v>
      </c>
      <c r="O7" s="67" t="str">
        <f t="shared" ref="O7:O14" si="3">IF($N$5="成新度","——",ROUND(M7*N7,0))</f>
        <v>——</v>
      </c>
      <c r="P7" s="68" t="str">
        <f t="shared" ref="P7:P14" si="4">IF($N$5="成新度","——",M7-O7)</f>
        <v>——</v>
      </c>
      <c r="Q7" s="734">
        <f>Q6</f>
        <v>0.2</v>
      </c>
      <c r="R7" s="69">
        <f ca="1">SUMIF('数据-汇总表'!C$19:C$33,A7,'数据-汇总表'!R$19:R$27)</f>
        <v>15.06</v>
      </c>
      <c r="S7" s="51">
        <f>IF('数据-汇总表'!$I$17="按面积比例",SUMIF('数据-汇总表'!C$19:C$33,A7,'数据-汇总表'!K$19:K$33),SUMIF('数据-汇总表'!C$19:C$33,A7,'数据-汇总表'!N$19:N$33))</f>
        <v>0</v>
      </c>
      <c r="T7" s="1172">
        <f t="shared" ref="T7:T13" si="5">ROUND($L$14*S7/10000,0)</f>
        <v>0</v>
      </c>
      <c r="U7" s="3832">
        <f>AA19</f>
        <v>12</v>
      </c>
      <c r="V7" s="70">
        <f>AA6</f>
        <v>0.03</v>
      </c>
      <c r="W7" s="70">
        <f>AB6</f>
        <v>0.05</v>
      </c>
      <c r="X7" s="1040"/>
      <c r="Y7" s="71">
        <f>Y6</f>
        <v>0.85</v>
      </c>
      <c r="Z7" s="72"/>
      <c r="AA7" s="66"/>
      <c r="AB7" s="66"/>
      <c r="AC7" s="1040"/>
      <c r="AD7" s="73"/>
      <c r="AE7" s="1041">
        <f t="shared" ref="AE7:AE13" ca="1" si="6">IF(AN7="",0,SUMIF(INDIRECT("'"&amp;AN7&amp;"'"&amp;"!E:E"),$AE$5,INDIRECT("'"&amp;AN7&amp;"'"&amp;"!F:F")))</f>
        <v>18.3</v>
      </c>
      <c r="AF7" s="1348"/>
      <c r="AG7" s="138">
        <f t="shared" ref="AG7:AG13" si="7">IF(AF7="",0,AE7-AF7)</f>
        <v>0</v>
      </c>
      <c r="AH7" s="74"/>
      <c r="AI7" s="76">
        <v>365</v>
      </c>
      <c r="AJ7" s="77"/>
      <c r="AK7" s="78">
        <f>AK6</f>
        <v>0.01</v>
      </c>
      <c r="AL7" s="79">
        <f>AL6</f>
        <v>1E-3</v>
      </c>
      <c r="AM7" s="80">
        <f>AM6</f>
        <v>0.01</v>
      </c>
      <c r="AN7" s="1715" t="s">
        <v>3498</v>
      </c>
      <c r="AO7" s="52">
        <f t="shared" ref="AO7:AO13" ca="1" si="8">SUMIF(INDIRECT("'"&amp;AN7&amp;"'"&amp;"!A:A"),"总价",INDIRECT("'"&amp;AN7&amp;"'"&amp;"!B:B"))</f>
        <v>297.91239999999999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0.68799999999999994</v>
      </c>
      <c r="H16" s="90">
        <f>ROUND(SUMPRODUCT(H6:H13,K6:K13)/SUMPRODUCT((H6:H13&gt;0)*(K6:K13)),3)</f>
        <v>0.05</v>
      </c>
      <c r="I16" s="91"/>
      <c r="J16" s="91"/>
      <c r="K16" s="92">
        <f>SUM(K6:K15)</f>
        <v>1139.1299999999999</v>
      </c>
      <c r="L16" s="93">
        <f>ROUND(M16*10000/SUM(K6:K14),0)</f>
        <v>4960</v>
      </c>
      <c r="M16" s="93">
        <f>SUM(M6:M14)</f>
        <v>565</v>
      </c>
      <c r="N16" s="94">
        <f>ROUND(SUMPRODUCT(M6:M14,N6:N14)/M16,3)</f>
        <v>0.85</v>
      </c>
      <c r="O16" s="93">
        <f>SUM(O6:O14)</f>
        <v>0</v>
      </c>
      <c r="P16" s="93">
        <f>SUM(P6:P14)</f>
        <v>0</v>
      </c>
      <c r="Q16" s="95">
        <f>ROUND(SUMPRODUCT(Q6:Q13,K6:K13)/SUMPRODUCT((Q6:Q13&gt;0)*(K6:K13)),2)</f>
        <v>0.2</v>
      </c>
      <c r="R16" s="1034">
        <f ca="1">SUM(R6:R13)</f>
        <v>278.54000000000002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1209</v>
      </c>
      <c r="B18" s="2680"/>
      <c r="C18" s="2668"/>
      <c r="D18" s="2671"/>
      <c r="E18" s="2668"/>
      <c r="F18" s="2668"/>
      <c r="G18" s="2668"/>
      <c r="H18" s="2668"/>
      <c r="I18" s="2668"/>
      <c r="J18" s="2668"/>
      <c r="K18" s="2667"/>
      <c r="L18" s="2667"/>
      <c r="M18" s="2666"/>
      <c r="N18" s="2666">
        <v>2023</v>
      </c>
      <c r="O18" s="2666">
        <v>2029</v>
      </c>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4">
      <c r="A19" s="1722" t="s">
        <v>1210</v>
      </c>
      <c r="B19" s="103">
        <v>0</v>
      </c>
      <c r="C19" s="2794" t="s">
        <v>2298</v>
      </c>
      <c r="D19" s="2671"/>
      <c r="E19" s="2668"/>
      <c r="F19" s="2668"/>
      <c r="G19" s="2668"/>
      <c r="H19" s="2668"/>
      <c r="I19" s="2668"/>
      <c r="J19" s="2668"/>
      <c r="K19" s="2667"/>
      <c r="L19" s="2667"/>
      <c r="M19" s="3459" t="s">
        <v>3413</v>
      </c>
      <c r="N19" s="2666">
        <v>2003</v>
      </c>
      <c r="O19" s="2666">
        <v>2003</v>
      </c>
      <c r="P19" s="2666"/>
      <c r="Q19" s="2666"/>
      <c r="R19" s="2666"/>
      <c r="S19" s="2666"/>
      <c r="T19" s="2666"/>
      <c r="U19" s="2666"/>
      <c r="V19" s="2666"/>
      <c r="W19" s="2666"/>
      <c r="X19" s="2666"/>
      <c r="Y19" s="2666"/>
      <c r="Z19" s="3459" t="s">
        <v>3412</v>
      </c>
      <c r="AA19" s="3830">
        <v>12</v>
      </c>
      <c r="AB19" s="2666"/>
      <c r="AC19" s="2666"/>
      <c r="AD19" s="2666"/>
      <c r="AE19" s="2666"/>
      <c r="AF19" s="2666"/>
      <c r="AG19" s="2666"/>
      <c r="AH19" s="2666"/>
      <c r="AI19" s="2666"/>
      <c r="AJ19" s="2666"/>
      <c r="AK19" s="2666"/>
      <c r="AL19" s="2666"/>
      <c r="AM19" s="2666"/>
      <c r="AN19" s="2666"/>
      <c r="AO19" s="2666"/>
      <c r="AP19" s="2666"/>
      <c r="AQ19" s="2666"/>
      <c r="AR19" s="2666"/>
    </row>
    <row r="20" spans="1:67" ht="14.4">
      <c r="A20" s="1723" t="s">
        <v>1211</v>
      </c>
      <c r="B20" s="104">
        <v>2</v>
      </c>
      <c r="C20" s="2795" t="s">
        <v>2296</v>
      </c>
      <c r="D20" s="2671"/>
      <c r="E20" s="2668"/>
      <c r="F20" s="2668"/>
      <c r="G20" s="2668"/>
      <c r="H20" s="2668"/>
      <c r="I20" s="2668"/>
      <c r="J20" s="2668"/>
      <c r="K20" s="2667"/>
      <c r="L20" s="2667"/>
      <c r="M20" s="3459" t="s">
        <v>3414</v>
      </c>
      <c r="N20" s="2666">
        <f>ROUND(1-(1-0%)*(N18-N19)/60,3)</f>
        <v>0.66700000000000004</v>
      </c>
      <c r="O20" s="2666">
        <f>ROUND(1-(1-0%)*(O18-O19)/60,3)</f>
        <v>0.56699999999999995</v>
      </c>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4">
      <c r="A21" s="1724" t="s">
        <v>1212</v>
      </c>
      <c r="B21" s="104">
        <v>2</v>
      </c>
      <c r="C21" s="2668"/>
      <c r="D21" s="2671"/>
      <c r="E21" s="2668"/>
      <c r="F21" s="2668"/>
      <c r="G21" s="2668"/>
      <c r="H21" s="2668"/>
      <c r="I21" s="2668"/>
      <c r="J21" s="2668"/>
      <c r="K21" s="2667"/>
      <c r="L21" s="2667"/>
      <c r="M21" s="3459" t="s">
        <v>3415</v>
      </c>
      <c r="N21" s="3460">
        <v>0.85</v>
      </c>
      <c r="O21" s="3460">
        <v>0.8</v>
      </c>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4">
      <c r="A22" s="1723" t="s">
        <v>1213</v>
      </c>
      <c r="B22" s="105">
        <f>B19+B20</f>
        <v>2</v>
      </c>
      <c r="C22" s="2668"/>
      <c r="D22" s="2671"/>
      <c r="E22" s="2668"/>
      <c r="F22" s="2668"/>
      <c r="G22" s="2668"/>
      <c r="H22" s="2668"/>
      <c r="I22" s="2668"/>
      <c r="J22" s="2668"/>
      <c r="K22" s="2667"/>
      <c r="L22" s="2667"/>
      <c r="M22" s="3459" t="s">
        <v>3416</v>
      </c>
      <c r="N22" s="2666">
        <f>ROUND((N20+N21)/2,3)</f>
        <v>0.75900000000000001</v>
      </c>
      <c r="O22" s="2666">
        <f>ROUND((O20+O21)/2,3)</f>
        <v>0.68400000000000005</v>
      </c>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4">
      <c r="A23" s="1724" t="s">
        <v>1214</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1215</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4.4" thickBot="1">
      <c r="A25" s="1557"/>
      <c r="B25" s="1687"/>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1216</v>
      </c>
      <c r="B26" s="1726" t="s">
        <v>1217</v>
      </c>
      <c r="C26" s="2672" t="s">
        <v>1218</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8.8">
      <c r="A27" s="1727" t="s">
        <v>1219</v>
      </c>
      <c r="B27" s="107">
        <v>160</v>
      </c>
      <c r="C27" s="2796" t="s">
        <v>2300</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200</v>
      </c>
      <c r="C28" s="2675"/>
      <c r="D28" s="2674"/>
      <c r="E28" s="2656"/>
      <c r="F28" s="2656"/>
      <c r="G28" s="2668"/>
      <c r="H28" s="2668"/>
      <c r="I28" s="2668"/>
      <c r="J28" s="2668"/>
      <c r="K28" s="2667"/>
      <c r="L28" s="2667"/>
      <c r="M28" s="2666"/>
      <c r="N28" s="2666">
        <f ca="1">结果表!G20</f>
        <v>69301</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f ca="1">成本法!C10</f>
        <v>23</v>
      </c>
      <c r="C29" s="2797" t="s">
        <v>2287</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798" t="s">
        <v>2288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v>
      </c>
      <c r="C34" s="2798" t="s">
        <v>2289</v>
      </c>
      <c r="D34" s="2679" t="s">
        <v>2297</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f>B30</f>
        <v>200</v>
      </c>
      <c r="C35" s="2798" t="s">
        <v>2290</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8" t="s">
        <v>2291</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4">
      <c r="A37" s="1731" t="s">
        <v>1229</v>
      </c>
      <c r="B37" s="115">
        <v>0.02</v>
      </c>
      <c r="C37" s="2798" t="s">
        <v>2292</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4">
      <c r="A38" s="1729" t="s">
        <v>1230</v>
      </c>
      <c r="B38" s="113">
        <v>0.02</v>
      </c>
      <c r="C38" s="2798" t="s">
        <v>2292</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4">
      <c r="A39" s="1732" t="s">
        <v>1231</v>
      </c>
      <c r="B39" s="317">
        <f ca="1">存贷款利率!I1</f>
        <v>1.4999999999999999E-2</v>
      </c>
      <c r="C39" s="2676"/>
      <c r="D39" s="2671"/>
      <c r="E39" s="2668"/>
      <c r="F39" s="2668"/>
      <c r="G39" s="2668"/>
      <c r="H39" s="2668"/>
      <c r="I39" s="2668"/>
      <c r="J39" s="2668"/>
      <c r="K39" s="2667"/>
      <c r="L39" s="2667"/>
      <c r="M39" s="2666"/>
      <c r="N39" s="2666"/>
      <c r="O39" s="2666"/>
      <c r="P39" s="2666"/>
      <c r="Q39" s="2666"/>
      <c r="R39" s="2666" t="s">
        <v>3510</v>
      </c>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8.2" thickBot="1">
      <c r="A40" s="2810" t="s">
        <v>3388</v>
      </c>
      <c r="B40" s="1078">
        <f ca="1">IF(A40="利息：取LPR",存贷款利率!G1,存贷款利率!G1+C40)</f>
        <v>4.1499999999999995E-2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4">
      <c r="A41" s="1727" t="s">
        <v>1232</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4">
      <c r="A42" s="1733" t="s">
        <v>1233</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4">
      <c r="A43" s="1733" t="s">
        <v>1234</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4">
      <c r="A44" s="1734" t="s">
        <v>1235</v>
      </c>
      <c r="B44" s="119">
        <v>7.0000000000000007E-2</v>
      </c>
      <c r="C44" s="2798" t="s">
        <v>2301</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4">
      <c r="A45" s="1734" t="s">
        <v>1236</v>
      </c>
      <c r="B45" s="117">
        <v>0.03</v>
      </c>
      <c r="C45" s="2797" t="s">
        <v>2293</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4">
      <c r="A46" s="1734" t="s">
        <v>1237</v>
      </c>
      <c r="B46" s="117">
        <v>0.02</v>
      </c>
      <c r="C46" s="2797" t="s">
        <v>2294</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1238</v>
      </c>
      <c r="B47" s="120">
        <v>0</v>
      </c>
      <c r="C47" s="2800" t="s">
        <v>2302</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4">
      <c r="A48" s="1736" t="s">
        <v>1239</v>
      </c>
      <c r="B48" s="121">
        <v>0.03</v>
      </c>
      <c r="C48" s="2797" t="s">
        <v>2293</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1240</v>
      </c>
      <c r="B49" s="117">
        <v>5.0000000000000001E-4</v>
      </c>
      <c r="C49" s="2797" t="s">
        <v>2295</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4">
      <c r="A50" s="1737" t="s">
        <v>1241</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1242</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4">
      <c r="A52" s="1737" t="s">
        <v>1243</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8.8">
      <c r="A53" s="1729" t="s">
        <v>1244</v>
      </c>
      <c r="B53" s="1738" t="s">
        <v>184</v>
      </c>
      <c r="C53" s="2656" t="s">
        <v>1245</v>
      </c>
      <c r="D53" s="2799" t="s">
        <v>2299</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4">
      <c r="A54" s="1739" t="s">
        <v>1246</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4">
      <c r="A55" s="1739" t="s">
        <v>1247</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4">
      <c r="A56" s="1739" t="s">
        <v>1248</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4">
      <c r="A57" s="1739" t="s">
        <v>1249</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4">
      <c r="A58" s="1739" t="s">
        <v>1250</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4">
      <c r="A59" s="1739" t="s">
        <v>1251</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4">
      <c r="A60" s="1739" t="s">
        <v>1252</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4">
      <c r="A61" s="1739" t="s">
        <v>1253</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4">
      <c r="A62" s="1739" t="s">
        <v>1254</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1255</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M27" sqref="M27"/>
      <selection pane="topRight" activeCell="M27" sqref="M27"/>
      <selection pane="bottomLeft" activeCell="M27" sqref="M27"/>
      <selection pane="bottomRight" activeCell="G30" sqref="G30"/>
    </sheetView>
  </sheetViews>
  <sheetFormatPr defaultColWidth="9" defaultRowHeight="13.8"/>
  <cols>
    <col min="1" max="1" width="9.44140625" style="1686" customWidth="1"/>
    <col min="2" max="2" width="24.44140625" style="1572" customWidth="1"/>
    <col min="3" max="3" width="24.44140625" style="2505" customWidth="1"/>
    <col min="4" max="4" width="2.6640625" style="2505" customWidth="1"/>
    <col min="5" max="5" width="5.88671875" style="2505" customWidth="1"/>
    <col min="6" max="6" width="27" style="1572" customWidth="1"/>
    <col min="7" max="7" width="27" style="2506" customWidth="1"/>
    <col min="8" max="8" width="11.88671875" style="2486" customWidth="1"/>
    <col min="9" max="9" width="16.77734375" style="2487" customWidth="1"/>
    <col min="10" max="10" width="2.6640625" style="2486" customWidth="1"/>
    <col min="11" max="11" width="11.88671875" style="2486" customWidth="1"/>
    <col min="12" max="12" width="16.77734375" style="2487" customWidth="1"/>
    <col min="13" max="13" width="2.6640625" style="2486" customWidth="1"/>
    <col min="14" max="14" width="11.88671875" style="2486" customWidth="1"/>
    <col min="15" max="15" width="16.77734375" style="2487" customWidth="1"/>
    <col min="16" max="16" width="2.6640625" style="2486" customWidth="1"/>
    <col min="17" max="17" width="11.88671875" style="2486" customWidth="1"/>
    <col min="18" max="18" width="16.77734375" style="2488" customWidth="1"/>
    <col min="19" max="29" width="9" style="799"/>
    <col min="30" max="16384" width="9" style="1686"/>
  </cols>
  <sheetData>
    <row r="1" spans="1:29" s="2453" customFormat="1" ht="18" thickBot="1">
      <c r="A1" s="3577" t="s">
        <v>2279</v>
      </c>
      <c r="B1" s="3578"/>
      <c r="C1" s="3578"/>
      <c r="D1" s="3578"/>
      <c r="E1" s="3578"/>
      <c r="F1" s="3578"/>
      <c r="G1" s="357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2275</v>
      </c>
      <c r="D2" s="2457"/>
      <c r="E2" s="2454"/>
      <c r="F2" s="2458"/>
      <c r="G2" s="2456" t="s">
        <v>2276</v>
      </c>
      <c r="H2" s="799"/>
      <c r="I2" s="799"/>
      <c r="J2" s="799"/>
      <c r="K2" s="799"/>
      <c r="L2" s="799"/>
      <c r="M2" s="799"/>
      <c r="N2" s="799"/>
      <c r="O2" s="799"/>
      <c r="P2" s="799"/>
      <c r="Q2" s="799"/>
      <c r="R2" s="799"/>
    </row>
    <row r="3" spans="1:29" ht="39.6">
      <c r="A3" s="2437" t="s">
        <v>2277</v>
      </c>
      <c r="B3" s="2459" t="s">
        <v>2249</v>
      </c>
      <c r="C3" s="2460"/>
      <c r="D3" s="2461"/>
      <c r="E3" s="2438" t="s">
        <v>2277</v>
      </c>
      <c r="F3" s="2462" t="s">
        <v>2250</v>
      </c>
      <c r="G3" s="2463" t="s">
        <v>2278</v>
      </c>
      <c r="H3" s="799"/>
      <c r="I3" s="799"/>
      <c r="J3" s="799"/>
      <c r="K3" s="799"/>
      <c r="L3" s="799"/>
      <c r="M3" s="799"/>
      <c r="N3" s="799"/>
      <c r="O3" s="799"/>
      <c r="P3" s="799"/>
      <c r="Q3" s="799"/>
      <c r="R3" s="799"/>
    </row>
    <row r="4" spans="1:29" ht="36">
      <c r="A4" s="2438"/>
      <c r="B4" s="323" t="s">
        <v>2251</v>
      </c>
      <c r="C4" s="3465" t="s">
        <v>3436</v>
      </c>
      <c r="D4" s="2461"/>
      <c r="E4" s="2464"/>
      <c r="F4" s="1373" t="s">
        <v>2252</v>
      </c>
      <c r="G4" s="2465" t="s">
        <v>2253</v>
      </c>
      <c r="H4" s="799"/>
      <c r="I4" s="799"/>
      <c r="J4" s="799"/>
      <c r="K4" s="799"/>
      <c r="L4" s="799"/>
      <c r="M4" s="799"/>
      <c r="N4" s="799"/>
      <c r="O4" s="799"/>
      <c r="P4" s="799"/>
      <c r="Q4" s="799"/>
      <c r="R4" s="799"/>
    </row>
    <row r="5" spans="1:29" ht="24">
      <c r="A5" s="2438"/>
      <c r="B5" s="323" t="s">
        <v>2254</v>
      </c>
      <c r="C5" s="3465" t="s">
        <v>3436</v>
      </c>
      <c r="D5" s="2461"/>
      <c r="E5" s="2464"/>
      <c r="F5" s="323" t="s">
        <v>2255</v>
      </c>
      <c r="G5" s="2465" t="s">
        <v>2256</v>
      </c>
      <c r="H5" s="799"/>
      <c r="I5" s="799"/>
      <c r="J5" s="799"/>
      <c r="K5" s="799"/>
      <c r="L5" s="799"/>
      <c r="M5" s="799"/>
      <c r="N5" s="799"/>
      <c r="O5" s="799"/>
      <c r="P5" s="799"/>
      <c r="Q5" s="799"/>
      <c r="R5" s="799"/>
    </row>
    <row r="6" spans="1:29" ht="24">
      <c r="A6" s="2438"/>
      <c r="B6" s="323" t="s">
        <v>2257</v>
      </c>
      <c r="C6" s="3466" t="s">
        <v>3437</v>
      </c>
      <c r="D6" s="2461"/>
      <c r="E6" s="2464"/>
      <c r="F6" s="323" t="s">
        <v>2258</v>
      </c>
      <c r="G6" s="2465" t="s">
        <v>2259</v>
      </c>
      <c r="H6" s="799"/>
      <c r="I6" s="799"/>
      <c r="J6" s="799"/>
      <c r="K6" s="799"/>
      <c r="L6" s="799"/>
      <c r="M6" s="799"/>
      <c r="N6" s="799"/>
      <c r="O6" s="799"/>
      <c r="P6" s="799"/>
      <c r="Q6" s="799"/>
      <c r="R6" s="799"/>
    </row>
    <row r="7" spans="1:29" ht="36.6" thickBot="1">
      <c r="A7" s="2438"/>
      <c r="B7" s="323" t="s">
        <v>2255</v>
      </c>
      <c r="C7" s="3466" t="s">
        <v>3437</v>
      </c>
      <c r="D7" s="2466"/>
      <c r="E7" s="2467"/>
      <c r="F7" s="2468" t="s">
        <v>2260</v>
      </c>
      <c r="G7" s="2469" t="s">
        <v>2261</v>
      </c>
      <c r="H7" s="799"/>
      <c r="I7" s="799"/>
      <c r="J7" s="799"/>
      <c r="K7" s="799"/>
      <c r="L7" s="799"/>
      <c r="M7" s="799"/>
      <c r="N7" s="799"/>
      <c r="O7" s="799"/>
      <c r="P7" s="799"/>
      <c r="Q7" s="799"/>
      <c r="R7" s="799"/>
    </row>
    <row r="8" spans="1:29">
      <c r="A8" s="2438"/>
      <c r="B8" s="323" t="s">
        <v>2258</v>
      </c>
      <c r="C8" s="3466" t="s">
        <v>3439</v>
      </c>
      <c r="D8" s="2466"/>
      <c r="E8" s="2466"/>
      <c r="F8" s="2470"/>
      <c r="G8" s="2470"/>
      <c r="H8" s="799"/>
      <c r="I8" s="799"/>
      <c r="J8" s="799"/>
      <c r="K8" s="799"/>
      <c r="L8" s="799"/>
      <c r="M8" s="799"/>
      <c r="N8" s="799"/>
      <c r="O8" s="799"/>
      <c r="P8" s="799"/>
      <c r="Q8" s="799"/>
      <c r="R8" s="799"/>
    </row>
    <row r="9" spans="1:29">
      <c r="A9" s="2438"/>
      <c r="B9" s="323" t="s">
        <v>2262</v>
      </c>
      <c r="C9" s="3465" t="s">
        <v>3437</v>
      </c>
      <c r="D9" s="2461"/>
      <c r="E9" s="2466"/>
      <c r="F9" s="2470"/>
      <c r="G9" s="2470"/>
      <c r="H9" s="799"/>
      <c r="I9" s="799"/>
      <c r="J9" s="799"/>
      <c r="K9" s="799"/>
      <c r="L9" s="799"/>
      <c r="M9" s="799"/>
      <c r="N9" s="799"/>
      <c r="O9" s="799"/>
      <c r="P9" s="799"/>
      <c r="Q9" s="799"/>
      <c r="R9" s="799"/>
    </row>
    <row r="10" spans="1:29" s="2476" customFormat="1" ht="14.4" thickBot="1">
      <c r="A10" s="2439"/>
      <c r="B10" s="2471" t="s">
        <v>2263</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7.399999999999999">
      <c r="A12" s="2477"/>
      <c r="B12" s="2466"/>
      <c r="C12" s="2461"/>
      <c r="D12" s="2479"/>
      <c r="E12" s="2461"/>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 thickBot="1">
      <c r="A13" s="2485" t="s">
        <v>2280</v>
      </c>
      <c r="B13" s="2479"/>
      <c r="C13" s="2479"/>
      <c r="D13" s="2477"/>
      <c r="E13" s="2479"/>
      <c r="F13" s="2479"/>
      <c r="G13" s="2479"/>
    </row>
    <row r="14" spans="1:29" ht="14.4" thickBot="1">
      <c r="A14" s="2489"/>
      <c r="B14" s="2489"/>
      <c r="C14" s="2490" t="s">
        <v>2264</v>
      </c>
      <c r="D14" s="2461"/>
      <c r="E14" s="2491"/>
      <c r="F14" s="2491"/>
      <c r="G14" s="2456" t="s">
        <v>2265</v>
      </c>
    </row>
    <row r="15" spans="1:29" ht="39.6">
      <c r="A15" s="2440" t="s">
        <v>2266</v>
      </c>
      <c r="B15" s="2492" t="s">
        <v>2249</v>
      </c>
      <c r="C15" s="2493">
        <f>C3</f>
        <v>0</v>
      </c>
      <c r="D15" s="2461"/>
      <c r="E15" s="2441" t="s">
        <v>2267</v>
      </c>
      <c r="F15" s="2492" t="s">
        <v>2268</v>
      </c>
      <c r="G15" s="2494" t="str">
        <f>G3</f>
        <v>估价对象位于XX开发区，园区建设成熟度XX，产业集聚程度XX</v>
      </c>
    </row>
    <row r="16" spans="1:29" ht="39.6">
      <c r="A16" s="2442"/>
      <c r="B16" s="2495" t="s">
        <v>2251</v>
      </c>
      <c r="C16" s="2496" t="str">
        <f>C4</f>
        <v>一般</v>
      </c>
      <c r="D16" s="2461"/>
      <c r="E16" s="2443"/>
      <c r="F16" s="2497" t="s">
        <v>2252</v>
      </c>
      <c r="G16" s="2498" t="str">
        <f>G4</f>
        <v>估价对象周边道路状况、公共交通通达情况、停车便捷程度，综合评价交通便捷度较好</v>
      </c>
    </row>
    <row r="17" spans="1:18">
      <c r="A17" s="2442"/>
      <c r="B17" s="2495" t="s">
        <v>2254</v>
      </c>
      <c r="C17" s="2496" t="str">
        <f>C5</f>
        <v>一般</v>
      </c>
      <c r="D17" s="2466"/>
      <c r="E17" s="2443"/>
      <c r="F17" s="2497" t="s">
        <v>2269</v>
      </c>
      <c r="G17" s="2499"/>
    </row>
    <row r="18" spans="1:18" ht="39.6">
      <c r="A18" s="2442"/>
      <c r="B18" s="2497" t="s">
        <v>2257</v>
      </c>
      <c r="C18" s="2498" t="str">
        <f>C6</f>
        <v>较好</v>
      </c>
      <c r="D18" s="2466"/>
      <c r="E18" s="2443"/>
      <c r="F18" s="2497" t="s">
        <v>2260</v>
      </c>
      <c r="G18" s="2498" t="str">
        <f>G7</f>
        <v>该园区内是否有污染型企业，绿化情况，卫生条件，整体环境状况判断</v>
      </c>
    </row>
    <row r="19" spans="1:18" ht="26.4">
      <c r="A19" s="2442"/>
      <c r="B19" s="2497" t="s">
        <v>2270</v>
      </c>
      <c r="C19" s="2499"/>
      <c r="D19" s="2461"/>
      <c r="E19" s="2443"/>
      <c r="F19" s="323" t="s">
        <v>2255</v>
      </c>
      <c r="G19" s="2498" t="str">
        <f>G5</f>
        <v>估价对象所在区域公共配套设施齐备情况</v>
      </c>
    </row>
    <row r="20" spans="1:18" ht="26.4">
      <c r="A20" s="2442"/>
      <c r="B20" s="2497" t="s">
        <v>2271</v>
      </c>
      <c r="C20" s="2496" t="str">
        <f>C9</f>
        <v>较好</v>
      </c>
      <c r="D20" s="2466"/>
      <c r="E20" s="2443"/>
      <c r="F20" s="323" t="s">
        <v>2258</v>
      </c>
      <c r="G20" s="2498" t="str">
        <f>G6</f>
        <v>估价对象所在区域基础设施水平</v>
      </c>
    </row>
    <row r="21" spans="1:18">
      <c r="A21" s="2442"/>
      <c r="B21" s="323" t="s">
        <v>2255</v>
      </c>
      <c r="C21" s="2498" t="str">
        <f>C7</f>
        <v>较好</v>
      </c>
      <c r="D21" s="2461"/>
      <c r="E21" s="2443"/>
      <c r="F21" s="2497" t="s">
        <v>2272</v>
      </c>
      <c r="G21" s="2500"/>
    </row>
    <row r="22" spans="1:18" ht="13.5" customHeight="1">
      <c r="A22" s="2442"/>
      <c r="B22" s="323" t="s">
        <v>2258</v>
      </c>
      <c r="C22" s="2498" t="str">
        <f>C8</f>
        <v>七通</v>
      </c>
      <c r="D22" s="2461"/>
      <c r="E22" s="2443"/>
      <c r="F22" s="2497" t="s">
        <v>2263</v>
      </c>
      <c r="G22" s="2499"/>
    </row>
    <row r="23" spans="1:18" s="799" customFormat="1" ht="14.4" thickBot="1">
      <c r="A23" s="2442"/>
      <c r="B23" s="2497" t="s">
        <v>2272</v>
      </c>
      <c r="C23" s="2500"/>
      <c r="D23" s="1741"/>
      <c r="E23" s="2444"/>
      <c r="F23" s="2501" t="s">
        <v>2273</v>
      </c>
      <c r="G23" s="2502"/>
      <c r="H23" s="2486"/>
      <c r="I23" s="2487"/>
      <c r="J23" s="2486"/>
      <c r="K23" s="2486"/>
      <c r="L23" s="2487"/>
      <c r="M23" s="2486"/>
      <c r="N23" s="2486"/>
      <c r="O23" s="2487"/>
      <c r="P23" s="2486"/>
      <c r="Q23" s="2486"/>
      <c r="R23" s="2488"/>
    </row>
    <row r="24" spans="1:18" s="799" customFormat="1" ht="14.4" thickBot="1">
      <c r="A24" s="2445"/>
      <c r="B24" s="2501" t="s">
        <v>2274</v>
      </c>
      <c r="C24" s="2503">
        <f>C10</f>
        <v>0</v>
      </c>
      <c r="D24" s="1741"/>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28" sqref="F28"/>
    </sheetView>
  </sheetViews>
  <sheetFormatPr defaultColWidth="9" defaultRowHeight="14.4"/>
  <cols>
    <col min="1" max="1" width="25" style="2508" customWidth="1"/>
    <col min="2" max="9" width="15.77734375" style="2508" customWidth="1"/>
    <col min="10" max="16384" width="9" style="2508"/>
  </cols>
  <sheetData>
    <row r="1" spans="1:11" ht="16.2">
      <c r="A1" s="2507" t="s">
        <v>665</v>
      </c>
      <c r="B1" s="2507">
        <f>SUM(B14:B23)</f>
        <v>1139.1300000000001</v>
      </c>
      <c r="C1" s="2681"/>
      <c r="D1" s="2681"/>
      <c r="E1" s="2681"/>
      <c r="F1" s="2681"/>
      <c r="G1" s="2682"/>
      <c r="H1" s="2683"/>
      <c r="I1" s="2683"/>
      <c r="J1" s="2683"/>
      <c r="K1" s="2683"/>
    </row>
    <row r="2" spans="1:11" ht="16.2">
      <c r="A2" s="2507" t="s">
        <v>653</v>
      </c>
      <c r="B2" s="2507">
        <f>SUM(C14:C23)</f>
        <v>278.54000000000002</v>
      </c>
      <c r="C2" s="2681"/>
      <c r="D2" s="2681"/>
      <c r="E2" s="2681"/>
      <c r="F2" s="2681"/>
      <c r="G2" s="2682"/>
      <c r="H2" s="2683"/>
      <c r="I2" s="2683"/>
      <c r="J2" s="2683"/>
      <c r="K2" s="2683"/>
    </row>
    <row r="3" spans="1:11" ht="15.6">
      <c r="A3" s="2507" t="s">
        <v>662</v>
      </c>
      <c r="B3" s="2509">
        <f>项目基本情况!D3</f>
        <v>44965</v>
      </c>
      <c r="C3" s="2681"/>
      <c r="D3" s="2681"/>
      <c r="E3" s="2681"/>
      <c r="F3" s="2681"/>
      <c r="G3" s="2682"/>
      <c r="H3" s="2683"/>
      <c r="I3" s="2683"/>
      <c r="J3" s="2683"/>
      <c r="K3" s="2683"/>
    </row>
    <row r="4" spans="1:11" ht="31.2">
      <c r="A4" s="2507" t="s">
        <v>661</v>
      </c>
      <c r="B4" s="2507" t="s">
        <v>660</v>
      </c>
      <c r="C4" s="2507" t="s">
        <v>659</v>
      </c>
      <c r="D4" s="2507" t="s">
        <v>658</v>
      </c>
      <c r="E4" s="2681"/>
      <c r="F4" s="2682"/>
      <c r="G4" s="2682"/>
      <c r="H4" s="2683"/>
      <c r="I4" s="2683"/>
      <c r="J4" s="2683"/>
      <c r="K4" s="2683"/>
    </row>
    <row r="5" spans="1:11" ht="15.6">
      <c r="A5" s="2507" t="s">
        <v>657</v>
      </c>
      <c r="B5" s="2507">
        <f ca="1">SUM(D14:D23)</f>
        <v>7894</v>
      </c>
      <c r="C5" s="2507">
        <f ca="1">IF(B5=D14,结果表!H102,ROUND(B5*10000/$B$1,0))</f>
        <v>69298</v>
      </c>
      <c r="D5" s="2507">
        <f ca="1">ROUND(B5*10000/$B$2,0)</f>
        <v>283406</v>
      </c>
      <c r="E5" s="2681"/>
      <c r="F5" s="2682"/>
      <c r="G5" s="2682"/>
      <c r="H5" s="2683"/>
      <c r="I5" s="2683"/>
      <c r="J5" s="2683"/>
      <c r="K5" s="2683"/>
    </row>
    <row r="6" spans="1:11" ht="15.6">
      <c r="A6" s="2507" t="s">
        <v>656</v>
      </c>
      <c r="B6" s="2507">
        <f ca="1">SUM(G14:G23)</f>
        <v>7894</v>
      </c>
      <c r="C6" s="2507">
        <f ca="1">IF(B6=G14,结果表!H108,ROUND(B6*10000/$B$1,0))</f>
        <v>69298</v>
      </c>
      <c r="D6" s="2507">
        <f ca="1">ROUND(B6*10000/$B$2,0)</f>
        <v>283406</v>
      </c>
      <c r="E6" s="2681"/>
      <c r="F6" s="2682"/>
      <c r="G6" s="2682"/>
      <c r="H6" s="2683"/>
      <c r="I6" s="2683"/>
      <c r="J6" s="2683"/>
      <c r="K6" s="2683"/>
    </row>
    <row r="7" spans="1:11" ht="15.6">
      <c r="A7" s="2507" t="s">
        <v>664</v>
      </c>
      <c r="B7" s="2507">
        <f>SUM(H14:H23)</f>
        <v>0</v>
      </c>
      <c r="C7" s="2507">
        <f>IF(B7=H14,结果表!H110,ROUND(B7*10000/$B$1,0))</f>
        <v>0</v>
      </c>
      <c r="D7" s="2507">
        <f>ROUND(B7*10000/$B$2,0)</f>
        <v>0</v>
      </c>
      <c r="E7" s="2681"/>
      <c r="F7" s="2682"/>
      <c r="G7" s="2682"/>
      <c r="H7" s="2683"/>
      <c r="I7" s="2683"/>
      <c r="J7" s="2683"/>
      <c r="K7" s="2683"/>
    </row>
    <row r="8" spans="1:11" ht="15.6">
      <c r="A8" s="2507" t="s">
        <v>587</v>
      </c>
      <c r="B8" s="2507">
        <f>SUM(I14:I23)</f>
        <v>0</v>
      </c>
      <c r="C8" s="2507">
        <f>IF(B8=I14,结果表!H112,ROUND(B8*10000/$B$1,0))</f>
        <v>0</v>
      </c>
      <c r="D8" s="2507">
        <f>ROUND(B8*10000/$B$2,0)</f>
        <v>0</v>
      </c>
      <c r="E8" s="2681"/>
      <c r="F8" s="2682"/>
      <c r="G8" s="2682"/>
      <c r="H8" s="2683"/>
      <c r="I8" s="2683"/>
      <c r="J8" s="2683"/>
      <c r="K8" s="2683"/>
    </row>
    <row r="9" spans="1:11" ht="15.6">
      <c r="A9" s="2507" t="s">
        <v>655</v>
      </c>
      <c r="B9" s="2515"/>
      <c r="C9" s="2681"/>
      <c r="D9" s="2681"/>
      <c r="E9" s="2681"/>
      <c r="F9" s="2682"/>
      <c r="G9" s="2682"/>
      <c r="H9" s="2683"/>
      <c r="I9" s="2683"/>
      <c r="J9" s="2683"/>
      <c r="K9" s="2683"/>
    </row>
    <row r="10" spans="1:11" ht="15.6">
      <c r="A10" s="2507" t="s">
        <v>654</v>
      </c>
      <c r="B10" s="2507">
        <f>IF(E10="",0,ROUND(B1*(E10*365/G10)/10000,0))</f>
        <v>0</v>
      </c>
      <c r="C10" s="2507" t="s">
        <v>3355</v>
      </c>
      <c r="D10" s="2507" t="s">
        <v>3356</v>
      </c>
      <c r="E10" s="3436"/>
      <c r="F10" s="3440" t="s">
        <v>3357</v>
      </c>
      <c r="G10" s="3437"/>
      <c r="H10" s="2683"/>
      <c r="I10" s="2683"/>
      <c r="J10" s="2683"/>
      <c r="K10" s="2683"/>
    </row>
    <row r="11" spans="1:11" ht="15.6">
      <c r="A11" s="2507" t="s">
        <v>670</v>
      </c>
      <c r="B11" s="2515"/>
      <c r="C11" s="2681"/>
      <c r="D11" s="2681"/>
      <c r="E11" s="2681"/>
      <c r="F11" s="2682"/>
      <c r="G11" s="2682"/>
      <c r="H11" s="2683"/>
      <c r="I11" s="2683"/>
      <c r="J11" s="2683"/>
      <c r="K11" s="2683"/>
    </row>
    <row r="12" spans="1:11" ht="15.6">
      <c r="A12" s="2681"/>
      <c r="B12" s="2681"/>
      <c r="C12" s="2681"/>
      <c r="D12" s="2681"/>
      <c r="E12" s="2681"/>
      <c r="F12" s="2682"/>
      <c r="G12" s="2682"/>
      <c r="H12" s="2683"/>
      <c r="I12" s="2683"/>
      <c r="J12" s="2683"/>
      <c r="K12" s="2683"/>
    </row>
    <row r="13" spans="1:11" ht="31.8">
      <c r="A13" s="2510" t="s">
        <v>669</v>
      </c>
      <c r="B13" s="2511" t="s">
        <v>666</v>
      </c>
      <c r="C13" s="2511" t="s">
        <v>668</v>
      </c>
      <c r="D13" s="2511" t="s">
        <v>667</v>
      </c>
      <c r="E13" s="2507" t="s">
        <v>659</v>
      </c>
      <c r="F13" s="2507" t="s">
        <v>658</v>
      </c>
      <c r="G13" s="2511" t="s">
        <v>652</v>
      </c>
      <c r="H13" s="2511" t="s">
        <v>663</v>
      </c>
      <c r="I13" s="2511" t="s">
        <v>651</v>
      </c>
      <c r="J13" s="2682"/>
      <c r="K13" s="2683"/>
    </row>
    <row r="14" spans="1:11" ht="15.6">
      <c r="A14" s="2512" t="s">
        <v>650</v>
      </c>
      <c r="B14" s="2513">
        <f>结果表!B118</f>
        <v>1139.1300000000001</v>
      </c>
      <c r="C14" s="2513">
        <f>结果表!C118</f>
        <v>278.54000000000002</v>
      </c>
      <c r="D14" s="2513">
        <f ca="1">结果表!H118</f>
        <v>7894</v>
      </c>
      <c r="E14" s="2513">
        <f ca="1">结果表!I118</f>
        <v>69298</v>
      </c>
      <c r="F14" s="2513">
        <f ca="1">ROUND(D14*10000/C14,0)</f>
        <v>283406</v>
      </c>
      <c r="G14" s="2513">
        <f ca="1">结果表!D122</f>
        <v>7894</v>
      </c>
      <c r="H14" s="2513" t="str">
        <f>结果表!D124</f>
        <v>——</v>
      </c>
      <c r="I14" s="2513" t="str">
        <f>结果表!D126</f>
        <v>——</v>
      </c>
      <c r="J14" s="2682"/>
      <c r="K14" s="2683"/>
    </row>
    <row r="15" spans="1:11" ht="15.6">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5.6">
      <c r="A16" s="2512" t="s">
        <v>648</v>
      </c>
      <c r="B16" s="2514"/>
      <c r="C16" s="2514"/>
      <c r="D16" s="2514"/>
      <c r="E16" s="2513" t="e">
        <f t="shared" si="0"/>
        <v>#DIV/0!</v>
      </c>
      <c r="F16" s="2513" t="e">
        <f t="shared" si="1"/>
        <v>#DIV/0!</v>
      </c>
      <c r="G16" s="1331"/>
      <c r="H16" s="1331"/>
      <c r="I16" s="2514"/>
      <c r="J16" s="2683"/>
      <c r="K16" s="2683"/>
    </row>
    <row r="17" spans="1:11" ht="15.6">
      <c r="A17" s="2512" t="s">
        <v>647</v>
      </c>
      <c r="B17" s="2514"/>
      <c r="C17" s="2514"/>
      <c r="D17" s="2514"/>
      <c r="E17" s="2513" t="e">
        <f t="shared" si="0"/>
        <v>#DIV/0!</v>
      </c>
      <c r="F17" s="2513" t="e">
        <f t="shared" si="1"/>
        <v>#DIV/0!</v>
      </c>
      <c r="G17" s="1331"/>
      <c r="H17" s="1331"/>
      <c r="I17" s="2514"/>
      <c r="J17" s="2683"/>
      <c r="K17" s="2683"/>
    </row>
    <row r="18" spans="1:11" ht="15.6">
      <c r="A18" s="2512" t="s">
        <v>646</v>
      </c>
      <c r="B18" s="2514"/>
      <c r="C18" s="2514"/>
      <c r="D18" s="2514"/>
      <c r="E18" s="2513" t="e">
        <f t="shared" si="0"/>
        <v>#DIV/0!</v>
      </c>
      <c r="F18" s="2513" t="e">
        <f t="shared" si="1"/>
        <v>#DIV/0!</v>
      </c>
      <c r="G18" s="2514"/>
      <c r="H18" s="2514"/>
      <c r="I18" s="2514"/>
      <c r="J18" s="2683"/>
      <c r="K18" s="2683"/>
    </row>
    <row r="19" spans="1:11" ht="15.6">
      <c r="A19" s="2512" t="s">
        <v>645</v>
      </c>
      <c r="B19" s="2514"/>
      <c r="C19" s="2514"/>
      <c r="D19" s="2514"/>
      <c r="E19" s="2513" t="e">
        <f t="shared" si="0"/>
        <v>#DIV/0!</v>
      </c>
      <c r="F19" s="2513" t="e">
        <f t="shared" si="1"/>
        <v>#DIV/0!</v>
      </c>
      <c r="G19" s="2514"/>
      <c r="H19" s="2514"/>
      <c r="I19" s="2514"/>
      <c r="J19" s="2683"/>
      <c r="K19" s="2683"/>
    </row>
    <row r="20" spans="1:11" ht="15.6">
      <c r="A20" s="2512" t="s">
        <v>644</v>
      </c>
      <c r="B20" s="2514"/>
      <c r="C20" s="2514"/>
      <c r="D20" s="2514"/>
      <c r="E20" s="2513" t="e">
        <f t="shared" si="0"/>
        <v>#DIV/0!</v>
      </c>
      <c r="F20" s="2513" t="e">
        <f t="shared" si="1"/>
        <v>#DIV/0!</v>
      </c>
      <c r="G20" s="2514"/>
      <c r="H20" s="2514"/>
      <c r="I20" s="2514"/>
      <c r="J20" s="2683"/>
      <c r="K20" s="2683"/>
    </row>
    <row r="21" spans="1:11" ht="15.6">
      <c r="A21" s="2512" t="s">
        <v>643</v>
      </c>
      <c r="B21" s="2514"/>
      <c r="C21" s="2514"/>
      <c r="D21" s="2514"/>
      <c r="E21" s="2513" t="e">
        <f t="shared" si="0"/>
        <v>#DIV/0!</v>
      </c>
      <c r="F21" s="2513" t="e">
        <f t="shared" si="1"/>
        <v>#DIV/0!</v>
      </c>
      <c r="G21" s="2514"/>
      <c r="H21" s="2514"/>
      <c r="I21" s="2514"/>
      <c r="J21" s="2683"/>
      <c r="K21" s="2683"/>
    </row>
    <row r="22" spans="1:11" ht="15.6">
      <c r="A22" s="2512" t="s">
        <v>642</v>
      </c>
      <c r="B22" s="2514"/>
      <c r="C22" s="2514"/>
      <c r="D22" s="2514"/>
      <c r="E22" s="2513" t="e">
        <f t="shared" si="0"/>
        <v>#DIV/0!</v>
      </c>
      <c r="F22" s="2513" t="e">
        <f t="shared" si="1"/>
        <v>#DIV/0!</v>
      </c>
      <c r="G22" s="2514"/>
      <c r="H22" s="2514"/>
      <c r="I22" s="2514"/>
      <c r="J22" s="2683"/>
      <c r="K22" s="2683"/>
    </row>
    <row r="23" spans="1:11" ht="15.6">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6" sqref="G26"/>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c r="D1" s="1747"/>
      <c r="E1" s="1747"/>
      <c r="F1" s="1749" t="s">
        <v>1262</v>
      </c>
      <c r="G1" s="1561" t="s">
        <v>3376</v>
      </c>
      <c r="H1" s="1750" t="str">
        <f>IF(G1="现房","——","估价对象范围")</f>
        <v>——</v>
      </c>
      <c r="I1" s="1751" t="s">
        <v>3501</v>
      </c>
    </row>
    <row r="2" spans="1:12" ht="21.75" customHeight="1" thickBot="1">
      <c r="A2" s="3613" t="str">
        <f>项目基本情况!S2</f>
        <v>北京市崇文区珠市口东大街14号1-C房地产</v>
      </c>
      <c r="B2" s="3614"/>
      <c r="C2" s="3614"/>
      <c r="D2" s="3614"/>
      <c r="E2" s="3614"/>
      <c r="F2" s="3614"/>
      <c r="G2" s="3614"/>
      <c r="H2" s="3614"/>
      <c r="I2" s="3615"/>
    </row>
    <row r="3" spans="1:12" ht="13.2">
      <c r="A3" s="3617" t="s">
        <v>1263</v>
      </c>
      <c r="B3" s="3618"/>
      <c r="C3" s="3618"/>
      <c r="D3" s="3618"/>
      <c r="E3" s="3618"/>
      <c r="F3" s="3618"/>
      <c r="G3" s="3618"/>
      <c r="H3" s="3618"/>
      <c r="I3" s="3618"/>
    </row>
    <row r="4" spans="1:12" ht="14.4">
      <c r="A4" s="1754" t="s">
        <v>1264</v>
      </c>
      <c r="B4" s="1755" t="s">
        <v>1265</v>
      </c>
      <c r="C4" s="1756" t="s">
        <v>3400</v>
      </c>
      <c r="D4" s="1756" t="s">
        <v>3500</v>
      </c>
      <c r="E4" s="3619" t="s">
        <v>1266</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3" t="s">
        <v>1267</v>
      </c>
      <c r="B5" s="3580">
        <v>25</v>
      </c>
      <c r="C5" s="3596"/>
      <c r="D5" s="3616"/>
      <c r="E5" s="131" t="s">
        <v>1268</v>
      </c>
      <c r="F5" s="1757"/>
      <c r="G5" s="1757"/>
      <c r="H5" s="1757"/>
      <c r="I5" s="1373"/>
    </row>
    <row r="6" spans="1:12" ht="13.2">
      <c r="A6" s="3593"/>
      <c r="B6" s="3580"/>
      <c r="C6" s="3597"/>
      <c r="D6" s="3616"/>
      <c r="E6" s="131" t="s">
        <v>1269</v>
      </c>
      <c r="F6" s="1757"/>
      <c r="G6" s="1757"/>
      <c r="H6" s="1757"/>
      <c r="I6" s="1373"/>
    </row>
    <row r="7" spans="1:12" ht="13.2">
      <c r="A7" s="3593"/>
      <c r="B7" s="3580"/>
      <c r="C7" s="3598"/>
      <c r="D7" s="3616"/>
      <c r="E7" s="131" t="s">
        <v>1270</v>
      </c>
      <c r="F7" s="1757"/>
      <c r="G7" s="1757"/>
      <c r="H7" s="1757"/>
      <c r="I7" s="1373"/>
    </row>
    <row r="8" spans="1:12" ht="13.2">
      <c r="A8" s="3593" t="s">
        <v>1271</v>
      </c>
      <c r="B8" s="3580">
        <v>15</v>
      </c>
      <c r="C8" s="3596"/>
      <c r="D8" s="3616"/>
      <c r="E8" s="131" t="s">
        <v>1272</v>
      </c>
      <c r="F8" s="1757"/>
      <c r="G8" s="1757"/>
      <c r="H8" s="1757"/>
      <c r="I8" s="1373"/>
    </row>
    <row r="9" spans="1:12" ht="13.2">
      <c r="A9" s="3593"/>
      <c r="B9" s="3580"/>
      <c r="C9" s="3598"/>
      <c r="D9" s="3616"/>
      <c r="E9" s="131" t="s">
        <v>1273</v>
      </c>
      <c r="F9" s="1757"/>
      <c r="G9" s="1757"/>
      <c r="H9" s="1757"/>
      <c r="I9" s="1373"/>
    </row>
    <row r="10" spans="1:12" ht="13.2">
      <c r="A10" s="3593" t="s">
        <v>1274</v>
      </c>
      <c r="B10" s="3580">
        <v>15</v>
      </c>
      <c r="C10" s="3596"/>
      <c r="D10" s="3616"/>
      <c r="E10" s="131" t="s">
        <v>1275</v>
      </c>
      <c r="F10" s="1757"/>
      <c r="G10" s="1757"/>
      <c r="H10" s="1757"/>
      <c r="I10" s="1373"/>
    </row>
    <row r="11" spans="1:12" ht="13.2">
      <c r="A11" s="3593"/>
      <c r="B11" s="3580"/>
      <c r="C11" s="3598"/>
      <c r="D11" s="3616"/>
      <c r="E11" s="131" t="s">
        <v>1276</v>
      </c>
      <c r="F11" s="1757"/>
      <c r="G11" s="1757"/>
      <c r="H11" s="1757"/>
      <c r="I11" s="1373"/>
    </row>
    <row r="12" spans="1:12" ht="13.2">
      <c r="A12" s="3593" t="s">
        <v>1277</v>
      </c>
      <c r="B12" s="3580">
        <v>15</v>
      </c>
      <c r="C12" s="3596"/>
      <c r="D12" s="3616"/>
      <c r="E12" s="131" t="s">
        <v>1278</v>
      </c>
      <c r="F12" s="1757"/>
      <c r="G12" s="1757"/>
      <c r="H12" s="1757"/>
      <c r="I12" s="1373"/>
    </row>
    <row r="13" spans="1:12" ht="13.2">
      <c r="A13" s="3593"/>
      <c r="B13" s="3580"/>
      <c r="C13" s="3598"/>
      <c r="D13" s="3616"/>
      <c r="E13" s="131" t="s">
        <v>1279</v>
      </c>
      <c r="F13" s="1757"/>
      <c r="G13" s="1757"/>
      <c r="H13" s="1757"/>
      <c r="I13" s="1373"/>
    </row>
    <row r="14" spans="1:12" ht="13.2">
      <c r="A14" s="3593" t="s">
        <v>1280</v>
      </c>
      <c r="B14" s="3580">
        <v>30</v>
      </c>
      <c r="C14" s="3596">
        <v>7</v>
      </c>
      <c r="D14" s="3616">
        <v>3</v>
      </c>
      <c r="E14" s="131" t="s">
        <v>1281</v>
      </c>
      <c r="F14" s="1757"/>
      <c r="G14" s="1757"/>
      <c r="H14" s="1757"/>
      <c r="I14" s="1373"/>
    </row>
    <row r="15" spans="1:12" ht="13.2">
      <c r="A15" s="3593"/>
      <c r="B15" s="3580"/>
      <c r="C15" s="3597"/>
      <c r="D15" s="3616"/>
      <c r="E15" s="131" t="s">
        <v>1282</v>
      </c>
      <c r="F15" s="1757"/>
      <c r="G15" s="1757"/>
      <c r="H15" s="1757"/>
      <c r="I15" s="1373"/>
    </row>
    <row r="16" spans="1:12" ht="13.2">
      <c r="A16" s="3593"/>
      <c r="B16" s="3580"/>
      <c r="C16" s="3598"/>
      <c r="D16" s="3616"/>
      <c r="E16" s="131" t="s">
        <v>1283</v>
      </c>
      <c r="F16" s="1757"/>
      <c r="G16" s="1757"/>
      <c r="H16" s="1757"/>
      <c r="I16" s="1373"/>
    </row>
    <row r="17" spans="1:36" ht="14.4">
      <c r="A17" s="1758" t="s">
        <v>1284</v>
      </c>
      <c r="B17" s="56"/>
      <c r="C17" s="132">
        <f>SUM(C5:C16)</f>
        <v>7</v>
      </c>
      <c r="D17" s="132">
        <f>SUM(D5:D16)</f>
        <v>3</v>
      </c>
      <c r="E17" s="129"/>
      <c r="F17" s="129"/>
      <c r="G17" s="129"/>
      <c r="H17" s="129"/>
      <c r="I17" s="129"/>
      <c r="K17" s="302"/>
      <c r="L17" s="302" t="s">
        <v>1285</v>
      </c>
      <c r="M17" s="302" t="s">
        <v>1286</v>
      </c>
    </row>
    <row r="18" spans="1:36" ht="31.95" customHeight="1" thickBot="1">
      <c r="A18" s="1759" t="s">
        <v>1287</v>
      </c>
      <c r="B18" s="1760"/>
      <c r="C18" s="133">
        <f>ROUND(C17/SUM(C17:D17),2)</f>
        <v>0.7</v>
      </c>
      <c r="D18" s="133">
        <f>1-C18</f>
        <v>0.30000000000000004</v>
      </c>
      <c r="E18" s="3603" t="s">
        <v>2130</v>
      </c>
      <c r="F18" s="3604"/>
      <c r="G18" s="3604"/>
      <c r="H18" s="3604"/>
      <c r="I18" s="3604"/>
      <c r="K18" s="302" t="s">
        <v>1288</v>
      </c>
      <c r="L18" s="302">
        <f>IF(C1="",'数据-汇总表'!E3,SUMIF(项目类型,C1,'数据-汇总表'!E17:E26)+SUMIF(项目类型,C1,'数据-汇总表'!I17:I26))</f>
        <v>1139.1300000000001</v>
      </c>
      <c r="M18" s="302">
        <f>IF(C1="",'数据-汇总表'!E3,SUMIF(项目类型,C1,'数据-汇总表'!E17:E26))</f>
        <v>1139.1300000000001</v>
      </c>
    </row>
    <row r="19" spans="1:36" ht="14.4">
      <c r="A19" s="1761" t="s">
        <v>1289</v>
      </c>
      <c r="B19" s="1762" t="s">
        <v>1290</v>
      </c>
      <c r="C19" s="134">
        <f ca="1">SUMIF(INDIRECT("'"&amp;C4&amp;"'"&amp;"!A:A"),结果表!B19,INDIRECT("'"&amp;C4&amp;"'"&amp;"!B:B"))</f>
        <v>9059.8425999999999</v>
      </c>
      <c r="D19" s="135">
        <f ca="1">SUMIF(INDIRECT("'"&amp;D4&amp;"'"&amp;"!A:A"),结果表!B19,INDIRECT("'"&amp;D4&amp;"'"&amp;"!B:B"))</f>
        <v>5174.5572000000002</v>
      </c>
      <c r="E19" s="1761" t="s">
        <v>1291</v>
      </c>
      <c r="F19" s="1762" t="s">
        <v>1290</v>
      </c>
      <c r="G19" s="136">
        <f ca="1">ROUND(C19*$C$18+D19*$D$18,0)</f>
        <v>7894</v>
      </c>
      <c r="H19" s="1763" t="s">
        <v>1292</v>
      </c>
      <c r="I19" s="129"/>
      <c r="K19" s="302" t="s">
        <v>1293</v>
      </c>
      <c r="L19" s="302">
        <f>IF(C1="",'数据-汇总表'!D3,SUMIF(项目类型,C1,'数据-汇总表'!D17:D26)+SUMIF(项目类型,C1,'数据-汇总表'!H17:H27))</f>
        <v>278.54000000000002</v>
      </c>
      <c r="M19" s="302">
        <f>IF(C1="",'数据-汇总表'!D3,SUMIF(项目类型,C1,'数据-汇总表'!D17:D26))</f>
        <v>278.54000000000002</v>
      </c>
    </row>
    <row r="20" spans="1:36" ht="14.4">
      <c r="A20" s="1764"/>
      <c r="B20" s="1026" t="s">
        <v>1294</v>
      </c>
      <c r="C20" s="137">
        <f ca="1">SUMIF(INDIRECT("'"&amp;C4&amp;"'"&amp;"!A:A"),结果表!B20,INDIRECT("'"&amp;C4&amp;"'"&amp;"!B:B"))</f>
        <v>79533</v>
      </c>
      <c r="D20" s="138">
        <f ca="1">SUMIF(INDIRECT("'"&amp;D4&amp;"'"&amp;"!A:A"),结果表!B20,INDIRECT("'"&amp;D4&amp;"'"&amp;"!B:B"))</f>
        <v>45426</v>
      </c>
      <c r="E20" s="1764"/>
      <c r="F20" s="1026" t="s">
        <v>1294</v>
      </c>
      <c r="G20" s="139">
        <f ca="1">ROUND(C20*$C$18+D20*$D$18,0)</f>
        <v>69301</v>
      </c>
      <c r="H20" s="808" t="s">
        <v>1295</v>
      </c>
      <c r="I20" s="129"/>
      <c r="J20" s="3486" t="s">
        <v>3511</v>
      </c>
    </row>
    <row r="21" spans="1:36" ht="15" customHeight="1" thickBot="1">
      <c r="A21" s="828"/>
      <c r="B21" s="1765" t="s">
        <v>1296</v>
      </c>
      <c r="C21" s="719">
        <f ca="1">ROUND(C19*10000/L19,0)</f>
        <v>325262</v>
      </c>
      <c r="D21" s="720">
        <f ca="1">ROUND(D19*10000/L19,0)</f>
        <v>185774</v>
      </c>
      <c r="E21" s="828"/>
      <c r="F21" s="1765" t="s">
        <v>1296</v>
      </c>
      <c r="G21" s="140">
        <f ca="1">ROUND(G19*10000/L19,0)</f>
        <v>283406</v>
      </c>
      <c r="H21" s="1766" t="s">
        <v>1295</v>
      </c>
      <c r="I21" s="129"/>
    </row>
    <row r="22" spans="1:36" ht="15" thickBot="1">
      <c r="A22" s="1688" t="s">
        <v>1297</v>
      </c>
      <c r="B22" s="1767"/>
      <c r="C22" s="1768"/>
      <c r="D22" s="721">
        <f ca="1">IF(C19&lt;D19,D19/C19-1,C19/D19-1)</f>
        <v>0.75084403357257301</v>
      </c>
      <c r="E22" s="129"/>
      <c r="F22" s="129"/>
      <c r="G22" s="129"/>
      <c r="H22" s="129"/>
      <c r="I22" s="129"/>
      <c r="K22" s="725">
        <v>69500</v>
      </c>
      <c r="L22" s="725">
        <v>75000</v>
      </c>
    </row>
    <row r="23" spans="1:36" ht="13.8" thickBot="1">
      <c r="A23" s="1747"/>
      <c r="B23" s="1747"/>
      <c r="C23" s="1747"/>
      <c r="D23" s="1747"/>
      <c r="E23" s="129"/>
      <c r="F23" s="129"/>
      <c r="G23" s="129"/>
      <c r="H23" s="129"/>
      <c r="I23" s="129"/>
      <c r="K23" s="725">
        <f>K22*L18/10000</f>
        <v>7916.9535000000014</v>
      </c>
      <c r="L23" s="725">
        <f>L22*M18/10000</f>
        <v>8543.4750000000022</v>
      </c>
    </row>
    <row r="24" spans="1:36" ht="14.4">
      <c r="A24" s="3587" t="s">
        <v>1298</v>
      </c>
      <c r="B24" s="1762" t="s">
        <v>1290</v>
      </c>
      <c r="C24" s="136">
        <f>IF(B30=0,0,D30)</f>
        <v>0</v>
      </c>
      <c r="D24" s="1769"/>
      <c r="E24" s="129"/>
      <c r="F24" s="129"/>
      <c r="G24" s="129"/>
      <c r="H24" s="129"/>
      <c r="I24" s="129"/>
      <c r="K24" s="725" t="s">
        <v>3509</v>
      </c>
    </row>
    <row r="25" spans="1:36" ht="14.4">
      <c r="A25" s="3588"/>
      <c r="B25" s="1026" t="s">
        <v>1294</v>
      </c>
      <c r="C25" s="141">
        <f>IF(B30=0,0,C30)</f>
        <v>0</v>
      </c>
      <c r="D25" s="1770"/>
      <c r="E25" s="129"/>
      <c r="F25" s="129"/>
      <c r="G25" s="129"/>
      <c r="H25" s="129"/>
      <c r="I25" s="129"/>
      <c r="K25" s="725">
        <f>K23*0.0005</f>
        <v>3.9584767500000009</v>
      </c>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1304</v>
      </c>
      <c r="B32" s="1774"/>
      <c r="C32" s="144">
        <f ca="1">IF(D32="总价",G19-C24,G20-C25)</f>
        <v>7894</v>
      </c>
      <c r="D32" s="1775" t="s">
        <v>3513</v>
      </c>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607" t="s">
        <v>1311</v>
      </c>
      <c r="B36" s="1787" t="s">
        <v>1312</v>
      </c>
      <c r="C36" s="145"/>
      <c r="D36" s="1788"/>
      <c r="E36" s="1789"/>
      <c r="F36" s="1790"/>
      <c r="G36" s="129"/>
      <c r="H36" s="129"/>
      <c r="I36" s="129"/>
    </row>
    <row r="37" spans="1:15" ht="15" thickBot="1">
      <c r="A37" s="3608"/>
      <c r="B37" s="1674" t="s">
        <v>1313</v>
      </c>
      <c r="C37" s="147"/>
      <c r="D37" s="1139"/>
      <c r="E37" s="1139"/>
      <c r="F37" s="1790"/>
      <c r="G37" s="129"/>
      <c r="H37" s="129"/>
      <c r="I37" s="129"/>
    </row>
    <row r="38" spans="1:15" ht="15" thickBot="1">
      <c r="A38" s="3609"/>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84" t="s">
        <v>1325</v>
      </c>
      <c r="B45" s="3585"/>
      <c r="C45" s="3586"/>
      <c r="D45" s="155">
        <f ca="1">ROUND(H101*F45,0)</f>
        <v>7894</v>
      </c>
      <c r="E45" s="156" t="s">
        <v>1326</v>
      </c>
      <c r="F45" s="157">
        <v>1</v>
      </c>
      <c r="G45" s="158" t="s">
        <v>1327</v>
      </c>
      <c r="H45" s="129"/>
      <c r="I45" s="129"/>
      <c r="J45" s="3662" t="s">
        <v>1328</v>
      </c>
      <c r="K45" s="3662"/>
      <c r="L45" s="3662"/>
      <c r="M45" s="3662"/>
      <c r="N45" s="3662"/>
      <c r="O45" s="3662"/>
    </row>
    <row r="46" spans="1:15" ht="14.25" hidden="1" customHeight="1">
      <c r="A46" s="3581" t="s">
        <v>1329</v>
      </c>
      <c r="B46" s="3582"/>
      <c r="C46" s="3582"/>
      <c r="D46" s="3582"/>
      <c r="E46" s="3582"/>
      <c r="F46" s="3582"/>
      <c r="G46" s="3583"/>
      <c r="H46" s="1806"/>
      <c r="I46" s="159"/>
      <c r="J46" s="2518">
        <v>1</v>
      </c>
      <c r="K46" s="3643" t="s">
        <v>1330</v>
      </c>
      <c r="L46" s="3643"/>
      <c r="M46" s="3663"/>
      <c r="N46" s="3663"/>
      <c r="O46" s="3663"/>
    </row>
    <row r="47" spans="1:15" ht="12" hidden="1" customHeight="1">
      <c r="A47" s="160" t="s">
        <v>1331</v>
      </c>
      <c r="B47" s="161"/>
      <c r="C47" s="162"/>
      <c r="D47" s="1087" t="s">
        <v>1332</v>
      </c>
      <c r="E47" s="302" t="s">
        <v>1333</v>
      </c>
      <c r="F47" s="163" t="s">
        <v>1334</v>
      </c>
      <c r="G47" s="2541" t="s">
        <v>1335</v>
      </c>
      <c r="H47" s="2542"/>
      <c r="I47" s="159"/>
      <c r="J47" s="2518">
        <v>2</v>
      </c>
      <c r="K47" s="3643" t="s">
        <v>1336</v>
      </c>
      <c r="L47" s="3643"/>
      <c r="M47" s="3664">
        <f>'数据-取费表'!B2</f>
        <v>44965</v>
      </c>
      <c r="N47" s="3664"/>
      <c r="O47" s="3664"/>
    </row>
    <row r="48" spans="1:15" ht="26.4" hidden="1">
      <c r="A48" s="3612" t="s">
        <v>1337</v>
      </c>
      <c r="B48" s="3595"/>
      <c r="C48" s="3595"/>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1338</v>
      </c>
      <c r="H48" s="2545"/>
      <c r="I48" s="1806"/>
      <c r="J48" s="2518">
        <v>3</v>
      </c>
      <c r="K48" s="3643" t="s">
        <v>1339</v>
      </c>
      <c r="L48" s="3643"/>
      <c r="M48" s="3665">
        <f ca="1">H101</f>
        <v>7894</v>
      </c>
      <c r="N48" s="3665"/>
      <c r="O48" s="3665"/>
    </row>
    <row r="49" spans="1:35" ht="25.5" hidden="1" customHeight="1">
      <c r="A49" s="2333" t="s">
        <v>1340</v>
      </c>
      <c r="B49" s="3579" t="s">
        <v>1341</v>
      </c>
      <c r="C49" s="3579"/>
      <c r="D49" s="1590">
        <v>0</v>
      </c>
      <c r="E49" s="324" t="s">
        <v>1342</v>
      </c>
      <c r="F49" s="2420" t="s">
        <v>28</v>
      </c>
      <c r="G49" s="3649"/>
      <c r="H49" s="2310" t="s">
        <v>2133</v>
      </c>
      <c r="I49" s="2311"/>
      <c r="J49" s="2518">
        <v>4</v>
      </c>
      <c r="K49" s="3643" t="str">
        <f>IF(项目基本情况!E8="房地产抵押价值","房地产抵押价值","抵押担保权已注销时的房地产抵押价值")</f>
        <v>房地产抵押价值</v>
      </c>
      <c r="L49" s="3643"/>
      <c r="M49" s="3665">
        <f ca="1">IF(项目基本情况!E8="房地产抵押价值",H107,H109)</f>
        <v>7894</v>
      </c>
      <c r="N49" s="3665"/>
      <c r="O49" s="3665"/>
    </row>
    <row r="50" spans="1:35" ht="25.5" hidden="1" customHeight="1">
      <c r="A50" s="2546"/>
      <c r="B50" s="3579" t="s">
        <v>1343</v>
      </c>
      <c r="C50" s="3579"/>
      <c r="D50" s="2547"/>
      <c r="E50" s="332"/>
      <c r="F50" s="2420"/>
      <c r="G50" s="3650"/>
      <c r="H50" s="2312" t="s">
        <v>2134</v>
      </c>
      <c r="I50" s="2311"/>
      <c r="J50" s="3662" t="s">
        <v>1344</v>
      </c>
      <c r="K50" s="3662"/>
      <c r="L50" s="3662"/>
      <c r="M50" s="3662"/>
      <c r="N50" s="3662"/>
      <c r="O50" s="3662"/>
    </row>
    <row r="51" spans="1:35" ht="20.399999999999999" hidden="1" customHeight="1">
      <c r="A51" s="2548"/>
      <c r="B51" s="3579" t="s">
        <v>1345</v>
      </c>
      <c r="C51" s="3579"/>
      <c r="D51" s="1087"/>
      <c r="E51" s="327"/>
      <c r="F51" s="2420"/>
      <c r="G51" s="3651"/>
      <c r="H51" s="2312" t="s">
        <v>2135</v>
      </c>
      <c r="I51" s="2311"/>
      <c r="J51" s="2519" t="s">
        <v>1346</v>
      </c>
      <c r="K51" s="3643" t="s">
        <v>1347</v>
      </c>
      <c r="L51" s="3643"/>
      <c r="M51" s="2519" t="s">
        <v>1348</v>
      </c>
      <c r="N51" s="2519" t="s">
        <v>1349</v>
      </c>
      <c r="O51" s="2519" t="s">
        <v>1350</v>
      </c>
    </row>
    <row r="52" spans="1:35" ht="24" hidden="1" customHeight="1">
      <c r="A52" s="2335" t="s">
        <v>1351</v>
      </c>
      <c r="B52" s="3579" t="s">
        <v>1352</v>
      </c>
      <c r="C52" s="3579"/>
      <c r="D52" s="1087">
        <f ca="1">ROUND(D45*'数据-取费表'!B41/(1+'数据-取费表'!C42),0)</f>
        <v>421</v>
      </c>
      <c r="E52" s="2334" t="s">
        <v>1353</v>
      </c>
      <c r="F52" s="2549">
        <f>'数据-取费表'!B41</f>
        <v>5.6000000000000001E-2</v>
      </c>
      <c r="G52" s="2550"/>
      <c r="H52" s="2539"/>
      <c r="I52" s="1807"/>
      <c r="J52" s="2518">
        <v>1</v>
      </c>
      <c r="K52" s="3644" t="s">
        <v>1354</v>
      </c>
      <c r="L52" s="3644"/>
      <c r="M52" s="2520" t="b">
        <f>D48</f>
        <v>0</v>
      </c>
      <c r="N52" s="2518" t="str">
        <f>E48</f>
        <v>销售额×税（费）率</v>
      </c>
      <c r="O52" s="2521">
        <f>F48</f>
        <v>5.6000000000000001E-2</v>
      </c>
    </row>
    <row r="53" spans="1:35" ht="12" hidden="1" customHeight="1">
      <c r="A53" s="2335" t="s">
        <v>1355</v>
      </c>
      <c r="B53" s="3605" t="s">
        <v>2284</v>
      </c>
      <c r="C53" s="3606"/>
      <c r="D53" s="1087">
        <f ca="1">ROUND(D45*'数据-取费表'!B41/(1+'数据-取费表'!C42),0)</f>
        <v>421</v>
      </c>
      <c r="E53" s="2334" t="s">
        <v>1353</v>
      </c>
      <c r="F53" s="2549">
        <f>'数据-取费表'!B41</f>
        <v>5.6000000000000001E-2</v>
      </c>
      <c r="G53" s="2550"/>
      <c r="H53" s="2539"/>
      <c r="I53" s="1807"/>
      <c r="J53" s="2518">
        <v>2</v>
      </c>
      <c r="K53" s="3644" t="s">
        <v>1356</v>
      </c>
      <c r="L53" s="3644"/>
      <c r="M53" s="2520">
        <f t="shared" ref="M53:O54" ca="1" si="0">D55</f>
        <v>4</v>
      </c>
      <c r="N53" s="2518" t="str">
        <f t="shared" si="0"/>
        <v>销售额×税（费）率</v>
      </c>
      <c r="O53" s="2521" t="str">
        <f t="shared" si="0"/>
        <v>免征</v>
      </c>
    </row>
    <row r="54" spans="1:35" ht="12" hidden="1" customHeight="1">
      <c r="A54" s="2335" t="s">
        <v>1357</v>
      </c>
      <c r="B54" s="3605" t="s">
        <v>2285</v>
      </c>
      <c r="C54" s="3606"/>
      <c r="D54" s="1087">
        <f ca="1">C68</f>
        <v>421</v>
      </c>
      <c r="E54" s="327" t="s">
        <v>1358</v>
      </c>
      <c r="F54" s="2549">
        <f>'数据-取费表'!B41</f>
        <v>5.6000000000000001E-2</v>
      </c>
      <c r="G54" s="2550"/>
      <c r="H54" s="2551"/>
      <c r="I54" s="1807"/>
      <c r="J54" s="2518">
        <v>3</v>
      </c>
      <c r="K54" s="3644" t="s">
        <v>1359</v>
      </c>
      <c r="L54" s="3644"/>
      <c r="M54" s="2520">
        <f t="shared" ca="1" si="0"/>
        <v>4468</v>
      </c>
      <c r="N54" s="2518" t="str">
        <f t="shared" si="0"/>
        <v>增值额×税（费）率</v>
      </c>
      <c r="O54" s="2522" t="str">
        <f t="shared" si="0"/>
        <v>免征</v>
      </c>
    </row>
    <row r="55" spans="1:35" ht="24" hidden="1" customHeight="1">
      <c r="A55" s="3594" t="s">
        <v>1360</v>
      </c>
      <c r="B55" s="3595"/>
      <c r="C55" s="3595"/>
      <c r="D55" s="2324">
        <f ca="1">IF(H55="个人住宅",0,ROUND(D45*I55,0))</f>
        <v>4</v>
      </c>
      <c r="E55" s="2334" t="s">
        <v>1361</v>
      </c>
      <c r="F55" s="2549" t="str">
        <f>IF(H55="正常",I55,"免征")</f>
        <v>免征</v>
      </c>
      <c r="G55" s="2550"/>
      <c r="H55" s="2545"/>
      <c r="I55" s="165">
        <f>'数据-取费表'!B49</f>
        <v>5.0000000000000001E-4</v>
      </c>
      <c r="J55" s="2518">
        <f>IF(H59="非个人房产","",4)</f>
        <v>4</v>
      </c>
      <c r="K55" s="3644" t="str">
        <f>IF(H59="非个人房产","——","个人所得税")</f>
        <v>个人所得税</v>
      </c>
      <c r="L55" s="3644"/>
      <c r="M55" s="2523">
        <f ca="1">D59</f>
        <v>75</v>
      </c>
      <c r="N55" s="2040" t="str">
        <f>E59</f>
        <v>差额计税</v>
      </c>
      <c r="O55" s="2524">
        <f>F59</f>
        <v>0.01</v>
      </c>
    </row>
    <row r="56" spans="1:35" ht="25.2" hidden="1">
      <c r="A56" s="3594" t="s">
        <v>1362</v>
      </c>
      <c r="B56" s="3595"/>
      <c r="C56" s="3595"/>
      <c r="D56" s="2324">
        <f ca="1">IF(H56="个人住宅",D57,D58)</f>
        <v>4468</v>
      </c>
      <c r="E56" s="2334" t="s">
        <v>1363</v>
      </c>
      <c r="F56" s="2549" t="str">
        <f>IF(H56="正常",F58,"免征")</f>
        <v>免征</v>
      </c>
      <c r="G56" s="2552" t="s">
        <v>1364</v>
      </c>
      <c r="H56" s="2553"/>
      <c r="I56" s="1808"/>
      <c r="J56" s="2518" t="str">
        <f>IF(项目基本情况!K6="上海银行",IF(J55="",4,J55+1),"")</f>
        <v/>
      </c>
      <c r="K56" s="3667" t="str">
        <f>IF(项目基本情况!K6="上海银行","其他处置费用","")</f>
        <v/>
      </c>
      <c r="L56" s="3668"/>
      <c r="M56" s="2520" t="str">
        <f>IF(项目基本情况!K6="上海银行",M69,"")</f>
        <v/>
      </c>
      <c r="N56" s="3667" t="str">
        <f>IF(项目基本情况!K6="上海银行","包含处置中涉及的律师、诉讼、拍卖、评估等费用","")</f>
        <v/>
      </c>
      <c r="O56" s="3670"/>
    </row>
    <row r="57" spans="1:35" ht="13.2" hidden="1">
      <c r="A57" s="2335" t="s">
        <v>1340</v>
      </c>
      <c r="B57" s="3605" t="s">
        <v>1365</v>
      </c>
      <c r="C57" s="3606"/>
      <c r="D57" s="1590">
        <v>0</v>
      </c>
      <c r="E57" s="324" t="s">
        <v>1342</v>
      </c>
      <c r="F57" s="302"/>
      <c r="G57" s="2550"/>
      <c r="H57" s="2554"/>
      <c r="I57" s="1808"/>
      <c r="J57" s="3644">
        <f>IF(AND(J55="",J56=""),4,IF(项目基本情况!K6="上海银行",结果表!J56+1,结果表!J55+1))</f>
        <v>5</v>
      </c>
      <c r="K57" s="3644" t="s">
        <v>1366</v>
      </c>
      <c r="L57" s="2525" t="s">
        <v>1367</v>
      </c>
      <c r="M57" s="2526"/>
      <c r="N57" s="2527">
        <f ca="1">SUMIF(M52:M56,"&lt;9e307")</f>
        <v>4547</v>
      </c>
      <c r="O57" s="2528"/>
      <c r="P57" s="2685">
        <f ca="1">N57/M49</f>
        <v>0.57600709399543959</v>
      </c>
    </row>
    <row r="58" spans="1:35" ht="25.2" hidden="1">
      <c r="A58" s="2335" t="s">
        <v>1351</v>
      </c>
      <c r="B58" s="3605" t="s">
        <v>1368</v>
      </c>
      <c r="C58" s="3579"/>
      <c r="D58" s="2324">
        <f ca="1">IF(H58="转让取得",C81,C97)</f>
        <v>4468</v>
      </c>
      <c r="E58" s="2334" t="s">
        <v>1363</v>
      </c>
      <c r="F58" s="302" t="s">
        <v>28</v>
      </c>
      <c r="G58" s="2550"/>
      <c r="H58" s="2553"/>
      <c r="I58" s="1808"/>
      <c r="J58" s="3644"/>
      <c r="K58" s="3644"/>
      <c r="L58" s="2525" t="s">
        <v>1369</v>
      </c>
      <c r="M58" s="2529"/>
      <c r="N58" s="2530" t="str">
        <f ca="1">NUMBERSTRING(INT(N57*10000),2)&amp;"元整"</f>
        <v>肆仟伍佰肆拾柒万元整</v>
      </c>
      <c r="O58" s="2531"/>
    </row>
    <row r="59" spans="1:35" ht="24.6" hidden="1" thickBot="1">
      <c r="A59" s="3647" t="s">
        <v>1370</v>
      </c>
      <c r="B59" s="3648"/>
      <c r="C59" s="3648"/>
      <c r="D59" s="2555">
        <f ca="1">IF(H59="非个人房产","——",IF(H59="个人住宅（满五唯一有凭证）",0,IF(H59="个人其他（无凭证）",ROUND(D45*F59,0),ROUND(C67*F59,0))))</f>
        <v>75</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1364</v>
      </c>
      <c r="H59" s="2314"/>
      <c r="I59" s="2313" t="s">
        <v>2136</v>
      </c>
      <c r="J59" s="3645">
        <f>J57+1</f>
        <v>6</v>
      </c>
      <c r="K59" s="3644" t="s">
        <v>1371</v>
      </c>
      <c r="L59" s="2518" t="s">
        <v>1367</v>
      </c>
      <c r="M59" s="2532"/>
      <c r="N59" s="2533">
        <f ca="1">M49-N57</f>
        <v>3347</v>
      </c>
      <c r="O59" s="2534"/>
    </row>
    <row r="60" spans="1:35" ht="12" hidden="1" customHeight="1">
      <c r="A60" s="1809"/>
      <c r="B60" s="1747"/>
      <c r="C60" s="1747"/>
      <c r="D60" s="1747"/>
      <c r="E60" s="1578"/>
      <c r="F60" s="1808"/>
      <c r="G60" s="1808"/>
      <c r="H60" s="1810"/>
      <c r="I60" s="129"/>
      <c r="J60" s="3646"/>
      <c r="K60" s="3644"/>
      <c r="L60" s="2525" t="s">
        <v>1369</v>
      </c>
      <c r="M60" s="2529"/>
      <c r="N60" s="2530" t="str">
        <f ca="1">NUMBERSTRING(INT(N59*10000),2)&amp;"元整"</f>
        <v>叁仟叁佰肆拾柒万元整</v>
      </c>
      <c r="O60" s="2531"/>
    </row>
    <row r="61" spans="1:35" ht="13.8" hidden="1" thickBot="1">
      <c r="A61" s="3592" t="s">
        <v>1372</v>
      </c>
      <c r="B61" s="3592"/>
      <c r="C61" s="3592"/>
      <c r="D61" s="3592"/>
      <c r="E61" s="3592"/>
      <c r="F61" s="1808"/>
      <c r="G61" s="1808"/>
      <c r="H61" s="1810"/>
      <c r="I61" s="129"/>
      <c r="J61" s="2518">
        <f>J59+1</f>
        <v>7</v>
      </c>
      <c r="K61" s="3644" t="s">
        <v>1373</v>
      </c>
      <c r="L61" s="3644"/>
      <c r="M61" s="2535"/>
      <c r="N61" s="2536">
        <f ca="1">ROUND(N59*10000/'数据-汇总表'!E3,0)</f>
        <v>29382</v>
      </c>
      <c r="O61" s="2537"/>
    </row>
    <row r="62" spans="1:35" ht="13.2" hidden="1">
      <c r="A62" s="3610" t="s">
        <v>1374</v>
      </c>
      <c r="B62" s="3611"/>
      <c r="C62" s="2021"/>
      <c r="D62" s="2021" t="s">
        <v>1375</v>
      </c>
      <c r="E62" s="166" t="s">
        <v>1376</v>
      </c>
      <c r="F62" s="1808"/>
      <c r="G62" s="1808"/>
      <c r="H62" s="1810"/>
      <c r="I62" s="129"/>
    </row>
    <row r="63" spans="1:35" ht="13.2" hidden="1">
      <c r="A63" s="173" t="s">
        <v>330</v>
      </c>
      <c r="B63" s="167" t="s">
        <v>1377</v>
      </c>
      <c r="C63" s="2559">
        <f ca="1">ROUND((C64+C65)/(1+'数据-取费表'!C42),0)</f>
        <v>7518</v>
      </c>
      <c r="D63" s="167"/>
      <c r="E63" s="168"/>
      <c r="F63" s="1808"/>
      <c r="G63" s="1808"/>
      <c r="H63" s="1810"/>
      <c r="I63" s="129"/>
      <c r="J63" s="3669" t="s">
        <v>1378</v>
      </c>
      <c r="K63" s="1332" t="s">
        <v>1379</v>
      </c>
      <c r="L63" s="1332">
        <f ca="1">IF(M49&gt;10000,M49*0.5%,IF(AND(M49&gt;1000,M49&lt;=10000),M49*1%,IF(AND(M49&gt;100,M49&lt;=1000),M49*3%,IF(AND(M49&gt;10,M49&lt;=100),M49*5%,M49*8%))))</f>
        <v>78.94</v>
      </c>
      <c r="M63" s="302">
        <f ca="1">ROUND(L63,1)</f>
        <v>78.900000000000006</v>
      </c>
      <c r="N63" s="2538"/>
      <c r="Z63" s="1752"/>
      <c r="AI63" s="1753"/>
    </row>
    <row r="64" spans="1:35" ht="14.25" hidden="1" customHeight="1">
      <c r="A64" s="169" t="s">
        <v>325</v>
      </c>
      <c r="B64" s="170" t="s">
        <v>1380</v>
      </c>
      <c r="C64" s="2560">
        <f ca="1">D45</f>
        <v>7894</v>
      </c>
      <c r="D64" s="170" t="s">
        <v>26</v>
      </c>
      <c r="E64" s="172"/>
      <c r="F64" s="1808"/>
      <c r="G64" s="1808"/>
      <c r="H64" s="1810"/>
      <c r="I64" s="129"/>
      <c r="J64" s="3669"/>
      <c r="K64" s="1332" t="s">
        <v>1381</v>
      </c>
      <c r="L64" s="1332">
        <f ca="1">IF(M49&gt;2000,M49*0.5%,IF(AND(M49&gt;1000,M49&lt;=2000),M49*0.6%,IF(AND(M49&gt;500,M49&lt;=1000),M49*0.7%,IF(AND(M49&gt;200,M49&lt;=500),M49*0.8%,IF(AND(M49&gt;100,M49&lt;=200),M49*0.9%,IF(AND(M49&gt;50,M49&lt;=100),M49*1%,IF(AND(M49&gt;20,M49&lt;=50),M49*1.5%,IF(AND(M49&gt;10,M49&lt;=20),M49*2%,IF(AND(M49&gt;1,M49&lt;=10),M49*2.5%)))))))))</f>
        <v>39.47</v>
      </c>
      <c r="M64" s="302">
        <f t="shared" ref="M64:M65" ca="1" si="1">ROUND(L64,1)</f>
        <v>39.5</v>
      </c>
      <c r="N64" s="2539" t="s">
        <v>1382</v>
      </c>
      <c r="Z64" s="1752"/>
      <c r="AI64" s="1753"/>
    </row>
    <row r="65" spans="1:35" ht="14.25" hidden="1" customHeight="1">
      <c r="A65" s="169" t="s">
        <v>326</v>
      </c>
      <c r="B65" s="170" t="s">
        <v>1383</v>
      </c>
      <c r="C65" s="2561"/>
      <c r="D65" s="170"/>
      <c r="E65" s="172"/>
      <c r="F65" s="1808"/>
      <c r="G65" s="1808"/>
      <c r="H65" s="1810"/>
      <c r="I65" s="129"/>
      <c r="J65" s="3669"/>
      <c r="K65" s="1332" t="s">
        <v>1384</v>
      </c>
      <c r="L65" s="1332">
        <f ca="1">IF(M49&gt;1000,M49*0.1%,IF(AND(M49&gt;500,M49&lt;=1000),M49*0.5%,IF(AND(M49&gt;50,M49&lt;=500),M49*1%,IF(AND(M49&gt;1,M49&lt;=50),M49*1.5%))))</f>
        <v>7.8940000000000001</v>
      </c>
      <c r="M65" s="302">
        <f t="shared" ca="1" si="1"/>
        <v>7.9</v>
      </c>
      <c r="N65" s="2539" t="s">
        <v>1382</v>
      </c>
      <c r="Z65" s="1752"/>
      <c r="AI65" s="1753"/>
    </row>
    <row r="66" spans="1:35" ht="14.25" hidden="1" customHeight="1">
      <c r="A66" s="173" t="s">
        <v>327</v>
      </c>
      <c r="B66" s="174" t="s">
        <v>1385</v>
      </c>
      <c r="C66" s="2562"/>
      <c r="D66" s="174" t="s">
        <v>26</v>
      </c>
      <c r="E66" s="1338" t="s">
        <v>671</v>
      </c>
      <c r="F66" s="1808"/>
      <c r="G66" s="1808"/>
      <c r="H66" s="1810"/>
      <c r="I66" s="129"/>
      <c r="J66" s="3669"/>
      <c r="K66" s="1332" t="s">
        <v>1386</v>
      </c>
      <c r="L66" s="1332">
        <f ca="1">M49*0.5%</f>
        <v>39.47</v>
      </c>
      <c r="M66" s="302">
        <f ca="1">IF(L66&gt;0.5,0.5,ROUND(L66,0))</f>
        <v>0.5</v>
      </c>
      <c r="N66" s="2539" t="s">
        <v>1387</v>
      </c>
      <c r="Z66" s="1752"/>
      <c r="AI66" s="1753"/>
    </row>
    <row r="67" spans="1:35" ht="14.25" hidden="1" customHeight="1">
      <c r="A67" s="173" t="s">
        <v>328</v>
      </c>
      <c r="B67" s="174" t="s">
        <v>1388</v>
      </c>
      <c r="C67" s="2563">
        <f ca="1">C63-C66</f>
        <v>7518</v>
      </c>
      <c r="D67" s="170" t="s">
        <v>26</v>
      </c>
      <c r="E67" s="172"/>
      <c r="F67" s="1808"/>
      <c r="G67" s="1808"/>
      <c r="H67" s="1810"/>
      <c r="I67" s="129"/>
      <c r="J67" s="3669"/>
      <c r="K67" s="1332" t="s">
        <v>1389</v>
      </c>
      <c r="L67" s="1332">
        <f ca="1">IF(M49&gt;=10000,(8.25+(M49-10000)*0.01%),IF(AND(M49&gt;=8000,M49&lt;10000),(7.85+(M49-8000)*0.02%),IF(AND(M49&gt;=5000,M49&lt;8000),(6.65+(M49-5000)*0.04%),IF(AND(M49&gt;=2000,M49&lt;5000),(4.25+(PM49-2000)*0.08%),IF(AND(M49&gt;=1000,M49&lt;2000),(2.75+(M49-1000)*0.15%),IF(AND(M49&gt;=100,M49&lt;1000),(0.5+(M49-100)*0.25%),IF(AND(M49&gt;0,M49&lt;100),M49*0.5%)))))))</f>
        <v>7.8076000000000008</v>
      </c>
      <c r="M67" s="302">
        <f ca="1">ROUND(L67*0.9,1)</f>
        <v>7</v>
      </c>
      <c r="N67" s="2538"/>
      <c r="Z67" s="1752"/>
      <c r="AI67" s="1753"/>
    </row>
    <row r="68" spans="1:35" ht="14.25" hidden="1" customHeight="1" thickBot="1">
      <c r="A68" s="176" t="s">
        <v>329</v>
      </c>
      <c r="B68" s="177" t="s">
        <v>1390</v>
      </c>
      <c r="C68" s="2564">
        <f ca="1">IF(C67&lt;=0,0,ROUND(C67*D68,0))</f>
        <v>421</v>
      </c>
      <c r="D68" s="2565">
        <f>'数据-取费表'!B41</f>
        <v>5.6000000000000001E-2</v>
      </c>
      <c r="E68" s="178"/>
      <c r="F68" s="1808"/>
      <c r="G68" s="1808"/>
      <c r="H68" s="1810"/>
      <c r="I68" s="129"/>
      <c r="J68" s="3669"/>
      <c r="K68" s="1332" t="s">
        <v>1391</v>
      </c>
      <c r="L68" s="1332">
        <f ca="1">IF(M49&gt;10000,M49*0.5%,IF(AND(M49&gt;5000,M49&lt;=10000),M49*1%,IF(AND(M49&gt;1000,M49&lt;=5000),M49*2%,IF(AND(M49&gt;200,M49&lt;=1000),M49*3%,M49*5%))))</f>
        <v>78.94</v>
      </c>
      <c r="M68" s="302">
        <f ca="1">ROUND(L68,1)</f>
        <v>78.900000000000006</v>
      </c>
      <c r="N68" s="2538"/>
      <c r="Z68" s="1752"/>
      <c r="AI68" s="1753"/>
    </row>
    <row r="69" spans="1:35" s="1772" customFormat="1" ht="16.5" hidden="1" customHeight="1">
      <c r="A69" s="1811"/>
      <c r="B69" s="1812"/>
      <c r="C69" s="1813"/>
      <c r="D69" s="1814"/>
      <c r="E69" s="1815"/>
      <c r="F69" s="1578"/>
      <c r="G69" s="1578"/>
      <c r="H69" s="1577"/>
      <c r="I69" s="1747"/>
      <c r="J69" s="3669"/>
      <c r="K69" s="1332" t="s">
        <v>1392</v>
      </c>
      <c r="L69" s="1332"/>
      <c r="M69" s="302">
        <f ca="1">ROUND(SUM(M63:M68),0)</f>
        <v>213</v>
      </c>
      <c r="N69" s="2540">
        <f ca="1">M69/M49</f>
        <v>2.6982518368381048E-2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31" t="s">
        <v>1393</v>
      </c>
      <c r="B70" s="3632"/>
      <c r="C70" s="3632"/>
      <c r="D70" s="3632"/>
      <c r="E70" s="3632"/>
      <c r="F70" s="3632"/>
      <c r="G70" s="3632"/>
      <c r="H70" s="3632"/>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610" t="s">
        <v>1374</v>
      </c>
      <c r="B71" s="3611"/>
      <c r="C71" s="2021"/>
      <c r="D71" s="2021" t="s">
        <v>1375</v>
      </c>
      <c r="E71" s="179" t="s">
        <v>1376</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1394</v>
      </c>
      <c r="C72" s="2563">
        <f ca="1">ROUND(D45/(1+'数据-取费表'!C42),0)</f>
        <v>7518</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1395</v>
      </c>
      <c r="C73" s="2563">
        <f ca="1">C74+C78</f>
        <v>45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1397</v>
      </c>
      <c r="C75" s="2566"/>
      <c r="D75" s="170" t="s">
        <v>26</v>
      </c>
      <c r="E75" s="184" t="s">
        <v>1398</v>
      </c>
      <c r="F75" s="2567"/>
      <c r="G75" s="184" t="s">
        <v>1399</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9">
        <v>0.05</v>
      </c>
      <c r="E76" s="3605" t="s">
        <v>1401</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70">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71">
        <f ca="1">ROUND(D45*D78/(1+'数据-取费表'!C42),0)</f>
        <v>45</v>
      </c>
      <c r="D78" s="2572">
        <f>'数据-取费表'!B43</f>
        <v>6.000000000000001E-3</v>
      </c>
      <c r="E78" s="3589" t="s">
        <v>1405</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1406</v>
      </c>
      <c r="C79" s="2563">
        <f ca="1">C72-C73</f>
        <v>7473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3">
        <f ca="1">IF(C79&lt;=0,0,C79/C73)</f>
        <v>166.06666666666666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1408</v>
      </c>
      <c r="C81" s="2574">
        <f ca="1">ROUND(IF(C79&lt;=0,0,IF(C80&gt;=200%,C79*60%-C73*35%,IF(C80&gt;=100%,C79*50%-C73*15%,IF(C80&gt;=50%,C79*40%-C73*5%,IF(C80&lt;50%,C79*30%,0))))),0)</f>
        <v>4468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31" t="s">
        <v>1409</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610" t="s">
        <v>1374</v>
      </c>
      <c r="B84" s="361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1394</v>
      </c>
      <c r="C85" s="2563">
        <f ca="1">ROUND(D45/(1+'数据-取费表'!C42),0)</f>
        <v>7518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1395</v>
      </c>
      <c r="C86" s="2563">
        <f ca="1">IF(H88="仅含出让金",C87+C90+C91+C92+C93+C94,C87+C91+C92+C93+C94)</f>
        <v>45</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1410</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1411</v>
      </c>
      <c r="C88" s="2577"/>
      <c r="D88" s="2572"/>
      <c r="E88" s="193" t="s">
        <v>1412</v>
      </c>
      <c r="F88" s="2327"/>
      <c r="G88" s="194" t="s">
        <v>1413</v>
      </c>
      <c r="H88" s="1824"/>
      <c r="I88" s="1821"/>
      <c r="J88" s="2516" t="s">
        <v>2281</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1402</v>
      </c>
      <c r="C89" s="2571">
        <f>ROUND(C88*D89,0)</f>
        <v>0</v>
      </c>
      <c r="D89" s="2572">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1415</v>
      </c>
      <c r="C90" s="2577"/>
      <c r="D90" s="2572"/>
      <c r="E90" s="193" t="str">
        <f>IF(H88="-","土地取得成本中已包含该笔费用"," ")</f>
        <v xml:space="preserve"> </v>
      </c>
      <c r="F90" s="2327"/>
      <c r="G90" s="3671" t="s">
        <v>2128</v>
      </c>
      <c r="H90" s="3672"/>
      <c r="I90" s="1821"/>
      <c r="J90" s="2516" t="s">
        <v>2282</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1">
        <f>IF(H91="——",成本法!C33,I91)</f>
        <v>0</v>
      </c>
      <c r="D91" s="2572"/>
      <c r="E91" s="3589" t="s">
        <v>1418</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1">
        <f>ROUND((C87+C90+C91)*D92,0)</f>
        <v>0</v>
      </c>
      <c r="D92" s="2578"/>
      <c r="E92" s="3589" t="s">
        <v>1421</v>
      </c>
      <c r="F92" s="3590"/>
      <c r="G92" s="3590"/>
      <c r="H92" s="3599"/>
      <c r="I92" s="1821"/>
      <c r="J92" s="2517" t="s">
        <v>2283</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1">
        <f ca="1">ROUND(D45*D93/(1+'数据-取费表'!C42),0)</f>
        <v>45</v>
      </c>
      <c r="D93" s="2572">
        <f>'数据-取费表'!B43</f>
        <v>6.000000000000001E-3</v>
      </c>
      <c r="E93" s="3589" t="s">
        <v>1405</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7">
        <f>ROUND((C87+C90+C91)*D94,0)</f>
        <v>0</v>
      </c>
      <c r="D94" s="2572">
        <v>0.2</v>
      </c>
      <c r="E94" s="3600" t="s">
        <v>1425</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1406</v>
      </c>
      <c r="C95" s="2563">
        <f ca="1">ROUND(C85-C86,0)</f>
        <v>7473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3">
        <f ca="1">IF(C95&lt;=0,0,C95/C86)</f>
        <v>166.06666666666666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1408</v>
      </c>
      <c r="C97" s="2574">
        <f ca="1">ROUND(IF(C95&lt;=0,0,IF(C96&gt;=200%,C95*60%-C86*35%,IF(C96&gt;=100%,C95*50%-C86*15%,IF(C96&gt;=50%,C95*40%-C86*5%,IF(C96&lt;50%,C95*30%,0))))),0)</f>
        <v>4468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3" t="s">
        <v>1427</v>
      </c>
      <c r="B100" s="3574"/>
      <c r="C100" s="3574"/>
      <c r="D100" s="3591"/>
      <c r="E100" s="3574" t="s">
        <v>1428</v>
      </c>
      <c r="F100" s="3574"/>
      <c r="G100" s="3574"/>
      <c r="H100" s="3591"/>
      <c r="I100" s="129"/>
    </row>
    <row r="101" spans="1:35" ht="18.75" customHeight="1">
      <c r="A101" s="3652" t="s">
        <v>1429</v>
      </c>
      <c r="B101" s="3653"/>
      <c r="C101" s="2580" t="str">
        <f>C4</f>
        <v>比较法-商业</v>
      </c>
      <c r="D101" s="2581" t="str">
        <f>D4</f>
        <v>收益法（汇总）</v>
      </c>
      <c r="E101" s="3666" t="s">
        <v>1430</v>
      </c>
      <c r="F101" s="3623"/>
      <c r="G101" s="1827" t="s">
        <v>1431</v>
      </c>
      <c r="H101" s="2590">
        <f ca="1">H118</f>
        <v>7894</v>
      </c>
      <c r="I101" s="129"/>
    </row>
    <row r="102" spans="1:35" ht="18.75" customHeight="1">
      <c r="A102" s="3625" t="s">
        <v>1432</v>
      </c>
      <c r="B102" s="2579" t="s">
        <v>1431</v>
      </c>
      <c r="C102" s="2580">
        <f ca="1">IF(D32="楼面单价",ROUND(C19,0),C19)</f>
        <v>9059.8425999999999</v>
      </c>
      <c r="D102" s="2581">
        <f ca="1">IF(D32="楼面单价",ROUND(D19,0),D19)</f>
        <v>5174.5572000000002</v>
      </c>
      <c r="E102" s="3666"/>
      <c r="F102" s="3623"/>
      <c r="G102" s="1827" t="s">
        <v>1433</v>
      </c>
      <c r="H102" s="2550">
        <f ca="1">I118</f>
        <v>69298</v>
      </c>
      <c r="I102" s="129"/>
    </row>
    <row r="103" spans="1:35" ht="42.75" customHeight="1">
      <c r="A103" s="3625"/>
      <c r="B103" s="2579" t="s">
        <v>1433</v>
      </c>
      <c r="C103" s="2582">
        <f ca="1">C20</f>
        <v>79533</v>
      </c>
      <c r="D103" s="2583">
        <f ca="1">D20</f>
        <v>45426</v>
      </c>
      <c r="E103" s="3660" t="s">
        <v>1434</v>
      </c>
      <c r="F103" s="3661"/>
      <c r="G103" s="1828" t="s">
        <v>1435</v>
      </c>
      <c r="H103" s="2590">
        <f>IF(D36="正常操作",H104+H105+H106,H105+H106)</f>
        <v>0</v>
      </c>
      <c r="I103" s="129"/>
    </row>
    <row r="104" spans="1:35" ht="18.75" customHeight="1">
      <c r="A104" s="3625" t="s">
        <v>1436</v>
      </c>
      <c r="B104" s="2584" t="s">
        <v>1431</v>
      </c>
      <c r="C104" s="2585">
        <f ca="1">H118</f>
        <v>7894</v>
      </c>
      <c r="D104" s="2586"/>
      <c r="E104" s="1674" t="s">
        <v>1437</v>
      </c>
      <c r="F104" s="1666"/>
      <c r="G104" s="1828" t="s">
        <v>1435</v>
      </c>
      <c r="H104" s="2591">
        <f>IF(D36="同一抵押权人同一抵押物续贷",C36&amp;"（续贷，未扣减，详见特别提示）",C36)</f>
        <v>0</v>
      </c>
      <c r="I104" s="129"/>
    </row>
    <row r="105" spans="1:35" ht="18.75" customHeight="1" thickBot="1">
      <c r="A105" s="3626"/>
      <c r="B105" s="2587" t="s">
        <v>1433</v>
      </c>
      <c r="C105" s="2588">
        <f ca="1">I118</f>
        <v>69298</v>
      </c>
      <c r="D105" s="2589"/>
      <c r="E105" s="1674" t="s">
        <v>1438</v>
      </c>
      <c r="F105" s="1666"/>
      <c r="G105" s="1828" t="s">
        <v>1435</v>
      </c>
      <c r="H105" s="2592">
        <f>C37</f>
        <v>0</v>
      </c>
      <c r="I105" s="129"/>
    </row>
    <row r="106" spans="1:35" ht="18.75" customHeight="1">
      <c r="A106" s="1747" t="s">
        <v>1439</v>
      </c>
      <c r="B106" s="1747"/>
      <c r="C106" s="1747"/>
      <c r="D106" s="1747"/>
      <c r="E106" s="1829" t="s">
        <v>1440</v>
      </c>
      <c r="F106" s="1666"/>
      <c r="G106" s="1828" t="s">
        <v>1435</v>
      </c>
      <c r="H106" s="2592">
        <f>C38</f>
        <v>0</v>
      </c>
      <c r="I106" s="129"/>
    </row>
    <row r="107" spans="1:35" ht="18.75" customHeight="1">
      <c r="A107" s="129"/>
      <c r="B107" s="129"/>
      <c r="C107" s="129"/>
      <c r="D107" s="129"/>
      <c r="E107" s="3622" t="str">
        <f>IF(项目基本情况!E8="已注销","——","3.房地产抵押价值")</f>
        <v>3.房地产抵押价值</v>
      </c>
      <c r="F107" s="3623"/>
      <c r="G107" s="1827" t="s">
        <v>1431</v>
      </c>
      <c r="H107" s="2590">
        <f ca="1">IF(E107="——","——",H101-H103)</f>
        <v>7894</v>
      </c>
      <c r="I107" s="129"/>
    </row>
    <row r="108" spans="1:35" ht="18.75" customHeight="1">
      <c r="A108" s="129"/>
      <c r="B108" s="129"/>
      <c r="C108" s="129"/>
      <c r="D108" s="129"/>
      <c r="E108" s="3622"/>
      <c r="F108" s="3623"/>
      <c r="G108" s="1827" t="s">
        <v>1433</v>
      </c>
      <c r="H108" s="2550">
        <f ca="1">IF(H107=H101,H102,ROUND(H107*10000/'数据-汇总表'!E3,0))</f>
        <v>69298</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623"/>
      <c r="G109" s="1827" t="s">
        <v>1431</v>
      </c>
      <c r="H109" s="2593" t="str">
        <f>IF(E109="——","——",H101-H105-H106)</f>
        <v>——</v>
      </c>
      <c r="I109" s="129"/>
    </row>
    <row r="110" spans="1:35" ht="18.75" customHeight="1">
      <c r="A110" s="129"/>
      <c r="B110" s="129"/>
      <c r="C110" s="129"/>
      <c r="D110" s="129"/>
      <c r="E110" s="3622"/>
      <c r="F110" s="3623"/>
      <c r="G110" s="1827" t="s">
        <v>1433</v>
      </c>
      <c r="H110" s="2550" t="str">
        <f>IF(H109="——","——",ROUND(H109*10000/'数据-汇总表'!E3,0))</f>
        <v>——</v>
      </c>
      <c r="I110" s="129"/>
    </row>
    <row r="111" spans="1:35" ht="18.75" customHeight="1">
      <c r="A111" s="129"/>
      <c r="B111" s="129"/>
      <c r="C111" s="129"/>
      <c r="D111" s="129"/>
      <c r="E111" s="3654" t="str">
        <f>IF(项目基本情况!E9="抵押净值",IF(OR(项目基本情况!E8="已注销",项目基本情况!E8="房地产抵押价值"),"4.抵押净值","5.抵押净值"),"——")</f>
        <v>——</v>
      </c>
      <c r="F111" s="3624"/>
      <c r="G111" s="1827" t="s">
        <v>1431</v>
      </c>
      <c r="H111" s="2590" t="str">
        <f>IF(E111="——","——",N59)</f>
        <v>——</v>
      </c>
      <c r="I111" s="129"/>
    </row>
    <row r="112" spans="1:35" ht="18.75" customHeight="1" thickBot="1">
      <c r="A112" s="129"/>
      <c r="B112" s="129"/>
      <c r="C112" s="129"/>
      <c r="D112" s="129"/>
      <c r="E112" s="3655"/>
      <c r="F112" s="3656"/>
      <c r="G112" s="1830" t="s">
        <v>1433</v>
      </c>
      <c r="H112" s="2594"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1441</v>
      </c>
      <c r="B115" s="3638"/>
      <c r="C115" s="3638"/>
      <c r="D115" s="3638"/>
      <c r="E115" s="3638"/>
      <c r="F115" s="3638"/>
      <c r="G115" s="3638"/>
      <c r="H115" s="3638"/>
      <c r="I115" s="3639"/>
    </row>
    <row r="116" spans="1:27" ht="27" customHeight="1">
      <c r="A116" s="3593" t="s">
        <v>1442</v>
      </c>
      <c r="B116" s="3628" t="s">
        <v>1443</v>
      </c>
      <c r="C116" s="3628" t="s">
        <v>1444</v>
      </c>
      <c r="D116" s="3641" t="s">
        <v>1445</v>
      </c>
      <c r="E116" s="3642"/>
      <c r="F116" s="3636" t="s">
        <v>1446</v>
      </c>
      <c r="G116" s="3636"/>
      <c r="H116" s="3593" t="s">
        <v>1447</v>
      </c>
      <c r="I116" s="3593"/>
    </row>
    <row r="117" spans="1:27" ht="18.75" customHeight="1">
      <c r="A117" s="3593"/>
      <c r="B117" s="3629"/>
      <c r="C117" s="3629"/>
      <c r="D117" s="2329" t="s">
        <v>1448</v>
      </c>
      <c r="E117" s="2329" t="s">
        <v>1449</v>
      </c>
      <c r="F117" s="2329" t="s">
        <v>1448</v>
      </c>
      <c r="G117" s="2329" t="s">
        <v>1450</v>
      </c>
      <c r="H117" s="2329" t="s">
        <v>1448</v>
      </c>
      <c r="I117" s="2329" t="s">
        <v>1450</v>
      </c>
    </row>
    <row r="118" spans="1:27" ht="24.75" customHeight="1">
      <c r="A118" s="2595" t="str">
        <f>项目基本情况!S2</f>
        <v>北京市崇文区珠市口东大街14号1-C房地产</v>
      </c>
      <c r="B118" s="2329">
        <f>M18</f>
        <v>1139.1300000000001</v>
      </c>
      <c r="C118" s="2329">
        <f>M19</f>
        <v>278.54000000000002</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7894</v>
      </c>
      <c r="I118" s="2329">
        <f ca="1">ROUND(IF(D32="楼面单价",C32,H118*10000/B118),0)</f>
        <v>69298</v>
      </c>
    </row>
    <row r="119" spans="1:27" ht="18.75" customHeight="1">
      <c r="A119" s="3593" t="s">
        <v>1451</v>
      </c>
      <c r="B119" s="3593"/>
      <c r="C119" s="3593"/>
      <c r="D119" s="3633" t="e">
        <f ca="1">NUMBERSTRING(INT(D118*10000),2)&amp;"元整"</f>
        <v>#REF!</v>
      </c>
      <c r="E119" s="3635"/>
      <c r="F119" s="3633" t="e">
        <f ca="1">NUMBERSTRING(INT(F118*10000),2)&amp;"元整"</f>
        <v>#REF!</v>
      </c>
      <c r="G119" s="3635"/>
      <c r="H119" s="3633" t="str">
        <f ca="1">NUMBERSTRING(INT(H118*10000),2)&amp;"元整"</f>
        <v>柒仟捌佰玖拾肆万元整</v>
      </c>
      <c r="I119" s="3635"/>
    </row>
    <row r="120" spans="1:27" ht="18.75" customHeight="1">
      <c r="A120" s="3657" t="str">
        <f>IF(项目基本情况!B9="房地产市场价值","",MID(E103,3,LEN(E103)-2))</f>
        <v>估价师知悉的法定优先受偿款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1451</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房地产抵押价值</v>
      </c>
      <c r="B122" s="3624"/>
      <c r="C122" s="3624"/>
      <c r="D122" s="3657">
        <f ca="1">H107</f>
        <v>7894</v>
      </c>
      <c r="E122" s="3658"/>
      <c r="F122" s="3658"/>
      <c r="G122" s="3658"/>
      <c r="H122" s="3658"/>
      <c r="I122" s="3659"/>
      <c r="AA122" s="725"/>
    </row>
    <row r="123" spans="1:27" ht="18.75" customHeight="1">
      <c r="A123" s="3593" t="s">
        <v>1451</v>
      </c>
      <c r="B123" s="3593"/>
      <c r="C123" s="3593"/>
      <c r="D123" s="3633" t="str">
        <f ca="1">NUMBERSTRING(INT(D122*10000),2)&amp;"元整"</f>
        <v>柒仟捌佰玖拾肆万元整</v>
      </c>
      <c r="E123" s="3634"/>
      <c r="F123" s="3634"/>
      <c r="G123" s="3634"/>
      <c r="H123" s="3634"/>
      <c r="I123" s="3635"/>
      <c r="AA123" s="725"/>
    </row>
    <row r="124" spans="1:27" ht="18.75" customHeight="1">
      <c r="A124" s="3624" t="str">
        <f>IF(项目基本情况!B9="房地产市场价值","",MID(E109,3,LEN(E109)-2))</f>
        <v/>
      </c>
      <c r="B124" s="3624"/>
      <c r="C124" s="3624"/>
      <c r="D124" s="3657" t="str">
        <f>H109</f>
        <v>——</v>
      </c>
      <c r="E124" s="3658"/>
      <c r="F124" s="3658"/>
      <c r="G124" s="3658"/>
      <c r="H124" s="3658"/>
      <c r="I124" s="3659"/>
      <c r="AA124" s="725"/>
    </row>
    <row r="125" spans="1:27" ht="18.75" customHeight="1">
      <c r="A125" s="3593" t="s">
        <v>1451</v>
      </c>
      <c r="B125" s="3593"/>
      <c r="C125" s="3593"/>
      <c r="D125" s="3633" t="e">
        <f>NUMBERSTRING(INT(D124*10000),2)&amp;"元整"</f>
        <v>#VALUE!</v>
      </c>
      <c r="E125" s="3634"/>
      <c r="F125" s="3634"/>
      <c r="G125" s="3634"/>
      <c r="H125" s="3634"/>
      <c r="I125" s="3635"/>
      <c r="AA125" s="725"/>
    </row>
    <row r="126" spans="1:27" ht="18.75" customHeight="1">
      <c r="A126" s="3624" t="str">
        <f>IF(项目基本情况!B9="房地产市场价值","",MID(E111,3,LEN(E111)-2))</f>
        <v/>
      </c>
      <c r="B126" s="3624"/>
      <c r="C126" s="3624"/>
      <c r="D126" s="3657" t="str">
        <f>H111</f>
        <v>——</v>
      </c>
      <c r="E126" s="3658"/>
      <c r="F126" s="3658"/>
      <c r="G126" s="3658"/>
      <c r="H126" s="3658"/>
      <c r="I126" s="3659"/>
      <c r="AA126" s="725"/>
    </row>
    <row r="127" spans="1:27" ht="18.75" customHeight="1">
      <c r="A127" s="3593" t="s">
        <v>1451</v>
      </c>
      <c r="B127" s="3593"/>
      <c r="C127" s="3593"/>
      <c r="D127" s="3633" t="e">
        <f>NUMBERSTRING(INT(D126*10000),2)&amp;"元整"</f>
        <v>#VALUE!</v>
      </c>
      <c r="E127" s="3634"/>
      <c r="F127" s="3634"/>
      <c r="G127" s="3634"/>
      <c r="H127" s="3634"/>
      <c r="I127" s="3635"/>
      <c r="AA127" s="725"/>
    </row>
    <row r="128" spans="1:27" ht="21.75" customHeight="1">
      <c r="A128" s="3640" t="s">
        <v>1452</v>
      </c>
      <c r="B128" s="3640"/>
      <c r="C128" s="3640"/>
      <c r="D128" s="3640"/>
      <c r="E128" s="3640"/>
      <c r="F128" s="3640"/>
      <c r="G128" s="3640"/>
      <c r="H128" s="3640"/>
      <c r="I128" s="3640"/>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22" zoomScale="90" zoomScaleNormal="70" zoomScaleSheetLayoutView="90" workbookViewId="0">
      <selection activeCell="I33" activeCellId="2" sqref="E33 G33 I33"/>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1" t="s">
        <v>3389</v>
      </c>
      <c r="F1" s="1879" t="s">
        <v>3390</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9059.8425999999999</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79533</v>
      </c>
      <c r="C3" s="354" t="s">
        <v>1767</v>
      </c>
      <c r="D3" s="353">
        <f>IF(D1="",'数据-汇总表'!E3,SUMIF('数据-汇总表'!$C19:$C33,D1,'数据-汇总表'!$E19:$E33))</f>
        <v>1139.1300000000001</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4.4">
      <c r="A4" s="355" t="s">
        <v>1768</v>
      </c>
      <c r="B4" s="356"/>
      <c r="C4" s="3692" t="s">
        <v>1769</v>
      </c>
      <c r="D4" s="3693"/>
      <c r="E4" s="3694" t="s">
        <v>1770</v>
      </c>
      <c r="F4" s="3695"/>
      <c r="G4" s="3692" t="s">
        <v>1771</v>
      </c>
      <c r="H4" s="3693"/>
      <c r="I4" s="3692" t="s">
        <v>1772</v>
      </c>
      <c r="J4" s="3693"/>
      <c r="K4" s="559" t="s">
        <v>1773</v>
      </c>
      <c r="L4" s="2710"/>
      <c r="M4" s="2711"/>
      <c r="N4" s="2711"/>
      <c r="O4" s="2711"/>
      <c r="P4" s="3696" t="s">
        <v>1774</v>
      </c>
      <c r="Q4" s="3697"/>
      <c r="R4" s="3702" t="s">
        <v>1770</v>
      </c>
      <c r="S4" s="3703"/>
      <c r="T4" s="3702" t="s">
        <v>1771</v>
      </c>
      <c r="U4" s="3703"/>
      <c r="V4" s="3687" t="s">
        <v>1772</v>
      </c>
      <c r="W4" s="3687"/>
      <c r="X4" s="1355"/>
      <c r="Y4" s="3702" t="s">
        <v>1774</v>
      </c>
      <c r="Z4" s="3703"/>
      <c r="AA4" s="3689" t="s">
        <v>1770</v>
      </c>
      <c r="AB4" s="3687" t="s">
        <v>1771</v>
      </c>
      <c r="AC4" s="3689" t="s">
        <v>1772</v>
      </c>
    </row>
    <row r="5" spans="1:29">
      <c r="A5" s="358"/>
      <c r="B5" s="359"/>
      <c r="C5" s="3715" t="s">
        <v>3440</v>
      </c>
      <c r="D5" s="3711"/>
      <c r="E5" s="3718" t="str">
        <f>案例!A2</f>
        <v>珠市口东大街</v>
      </c>
      <c r="F5" s="3719"/>
      <c r="G5" s="3710" t="str">
        <f>案例!A3</f>
        <v>北京汇</v>
      </c>
      <c r="H5" s="3711"/>
      <c r="I5" s="3710" t="str">
        <f>案例!A4</f>
        <v>幸福家园三期</v>
      </c>
      <c r="J5" s="3711"/>
      <c r="K5" s="559"/>
      <c r="L5" s="2710"/>
      <c r="M5" s="2711"/>
      <c r="N5" s="2711"/>
      <c r="O5" s="2711"/>
      <c r="P5" s="3698"/>
      <c r="Q5" s="3699"/>
      <c r="R5" s="3704"/>
      <c r="S5" s="3705"/>
      <c r="T5" s="3704"/>
      <c r="U5" s="3705"/>
      <c r="V5" s="3687"/>
      <c r="W5" s="3687"/>
      <c r="X5" s="1355"/>
      <c r="Y5" s="3704"/>
      <c r="Z5" s="3705"/>
      <c r="AA5" s="3690"/>
      <c r="AB5" s="3687"/>
      <c r="AC5" s="3690"/>
    </row>
    <row r="6" spans="1:29" ht="15" thickBot="1">
      <c r="A6" s="360"/>
      <c r="B6" s="361"/>
      <c r="C6" s="3708" t="s">
        <v>1676</v>
      </c>
      <c r="D6" s="3709"/>
      <c r="E6" s="3716" t="s">
        <v>1676</v>
      </c>
      <c r="F6" s="3717"/>
      <c r="G6" s="3708" t="s">
        <v>1676</v>
      </c>
      <c r="H6" s="3709"/>
      <c r="I6" s="3708" t="s">
        <v>1676</v>
      </c>
      <c r="J6" s="3709"/>
      <c r="K6" s="559" t="s">
        <v>1677</v>
      </c>
      <c r="L6" s="2710"/>
      <c r="M6" s="2711"/>
      <c r="N6" s="2711"/>
      <c r="O6" s="2711"/>
      <c r="P6" s="3700"/>
      <c r="Q6" s="3701"/>
      <c r="R6" s="3704"/>
      <c r="S6" s="3705"/>
      <c r="T6" s="3706"/>
      <c r="U6" s="3707"/>
      <c r="V6" s="3687"/>
      <c r="W6" s="3687"/>
      <c r="X6" s="1355"/>
      <c r="Y6" s="3706"/>
      <c r="Z6" s="3707"/>
      <c r="AA6" s="3691"/>
      <c r="AB6" s="3687"/>
      <c r="AC6" s="3691"/>
    </row>
    <row r="7" spans="1:29" s="108" customFormat="1" ht="15" thickBot="1">
      <c r="A7" s="362" t="s">
        <v>1678</v>
      </c>
      <c r="B7" s="363"/>
      <c r="C7" s="364">
        <f>'数据-取费表'!B2</f>
        <v>44965</v>
      </c>
      <c r="D7" s="365">
        <v>100</v>
      </c>
      <c r="E7" s="366">
        <v>44927</v>
      </c>
      <c r="F7" s="367">
        <f>SUMIF(58:58,YEAR(E7)&amp;"-"&amp;MONTH(E7),59:59)</f>
        <v>100</v>
      </c>
      <c r="G7" s="366">
        <v>44927</v>
      </c>
      <c r="H7" s="365">
        <f>SUMIF(58:58,YEAR(G7)&amp;"-"&amp;MONTH(G7),59:59)</f>
        <v>100</v>
      </c>
      <c r="I7" s="366">
        <v>44927</v>
      </c>
      <c r="J7" s="365">
        <f>SUMIF(58:58,YEAR(I7)&amp;"-"&amp;MONTH(I7),59:59)</f>
        <v>100</v>
      </c>
      <c r="K7" s="560"/>
      <c r="L7" s="2712"/>
      <c r="M7" s="2713"/>
      <c r="N7" s="2713"/>
      <c r="O7" s="2713"/>
      <c r="P7" s="3712" t="s">
        <v>1679</v>
      </c>
      <c r="Q7" s="3714"/>
      <c r="R7" s="701" t="s">
        <v>14</v>
      </c>
      <c r="S7" s="702">
        <f t="shared" ref="S7:S15" si="0">F7</f>
        <v>100</v>
      </c>
      <c r="T7" s="701" t="s">
        <v>14</v>
      </c>
      <c r="U7" s="702">
        <f t="shared" ref="U7:U15" si="1">H7</f>
        <v>100</v>
      </c>
      <c r="V7" s="701" t="s">
        <v>14</v>
      </c>
      <c r="W7" s="702">
        <f t="shared" ref="W7:W15" si="2">J7</f>
        <v>100</v>
      </c>
      <c r="X7" s="703"/>
      <c r="Y7" s="3712" t="s">
        <v>1679</v>
      </c>
      <c r="Z7" s="3713"/>
      <c r="AA7" s="704">
        <f>D7/F7</f>
        <v>1</v>
      </c>
      <c r="AB7" s="704">
        <f>D7/H7</f>
        <v>1</v>
      </c>
      <c r="AC7" s="704">
        <f>D7/J7</f>
        <v>1</v>
      </c>
    </row>
    <row r="8" spans="1:29" s="108" customFormat="1" ht="15" thickBot="1">
      <c r="A8" s="362" t="s">
        <v>1680</v>
      </c>
      <c r="B8" s="363"/>
      <c r="C8" s="368" t="s">
        <v>3441</v>
      </c>
      <c r="D8" s="365">
        <v>100</v>
      </c>
      <c r="E8" s="368" t="s">
        <v>3441</v>
      </c>
      <c r="F8" s="367">
        <f>SUMIF(61:61,E8,62:62)-SUMIF(61:61,C8,62:62)+100</f>
        <v>100</v>
      </c>
      <c r="G8" s="368" t="s">
        <v>3441</v>
      </c>
      <c r="H8" s="365">
        <f>SUMIF(61:61,G8,62:62)-SUMIF(61:61,C8,62:62)+100</f>
        <v>100</v>
      </c>
      <c r="I8" s="368" t="s">
        <v>3441</v>
      </c>
      <c r="J8" s="365">
        <f>SUMIF(61:61,I8,62:62)-SUMIF(61:61,C8,62:62)+100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46" si="3">D8/F8</f>
        <v>1</v>
      </c>
      <c r="AB8" s="704">
        <f t="shared" ref="AB8:AB46" si="4">D8/H8</f>
        <v>1</v>
      </c>
      <c r="AC8" s="704">
        <f t="shared" ref="AC8:AC46" si="5">D8/J8</f>
        <v>1</v>
      </c>
    </row>
    <row r="9" spans="1:29" s="108" customFormat="1" ht="14.4">
      <c r="A9" s="369" t="s">
        <v>1683</v>
      </c>
      <c r="B9" s="63" t="s">
        <v>1684</v>
      </c>
      <c r="C9" s="3471" t="s">
        <v>3480</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88"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8.8">
      <c r="A10" s="374"/>
      <c r="B10" s="375" t="s">
        <v>1687</v>
      </c>
      <c r="C10" s="3429" t="str">
        <f>E65</f>
        <v>10-20（含）</v>
      </c>
      <c r="D10" s="127">
        <v>100</v>
      </c>
      <c r="E10" s="3430" t="str">
        <f>C10</f>
        <v>10-20（含）</v>
      </c>
      <c r="F10" s="376">
        <f>SUMIF(65:65,E10,66:66)-SUMIF(65:65,C10,66:66)+100</f>
        <v>100</v>
      </c>
      <c r="G10" s="3429" t="str">
        <f>D65</f>
        <v>20-30（含）</v>
      </c>
      <c r="H10" s="127">
        <f>SUMIF(65:65,G10,66:66)-SUMIF(65:65,C10,66:66)+100</f>
        <v>105</v>
      </c>
      <c r="I10" s="3429" t="str">
        <f>G10</f>
        <v>20-30（含）</v>
      </c>
      <c r="J10" s="127">
        <f>SUMIF(65:65,I10,66:66)-SUMIF(65:65,C10,66:66)+100</f>
        <v>105</v>
      </c>
      <c r="K10" s="560"/>
      <c r="L10" s="2714"/>
      <c r="M10" s="2715"/>
      <c r="N10" s="2715"/>
      <c r="O10" s="2715"/>
      <c r="P10" s="3688"/>
      <c r="Q10" s="1343" t="str">
        <f t="shared" si="6"/>
        <v>土地使用年限（年）</v>
      </c>
      <c r="R10" s="701" t="s">
        <v>14</v>
      </c>
      <c r="S10" s="702">
        <f t="shared" si="0"/>
        <v>100</v>
      </c>
      <c r="T10" s="701" t="s">
        <v>14</v>
      </c>
      <c r="U10" s="702">
        <f t="shared" si="1"/>
        <v>105</v>
      </c>
      <c r="V10" s="701" t="s">
        <v>14</v>
      </c>
      <c r="W10" s="702">
        <f t="shared" si="2"/>
        <v>105</v>
      </c>
      <c r="X10" s="703"/>
      <c r="Y10" s="3580"/>
      <c r="Z10" s="52" t="str">
        <f t="shared" si="7"/>
        <v>土地使用年限（年）</v>
      </c>
      <c r="AA10" s="704">
        <f t="shared" si="3"/>
        <v>1</v>
      </c>
      <c r="AB10" s="704">
        <f t="shared" si="4"/>
        <v>0.95238095238095233</v>
      </c>
      <c r="AC10" s="704">
        <f t="shared" si="5"/>
        <v>0.95238095238095233</v>
      </c>
    </row>
    <row r="11" spans="1:29" ht="15.6"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88"/>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88"/>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88"/>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88"/>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3418</v>
      </c>
      <c r="F15" s="394">
        <f>SUMIF(76:76,E16,77:77)-SUMIF(76:76,C16,77:77)+100</f>
        <v>100</v>
      </c>
      <c r="G15" s="403" t="s">
        <v>3417</v>
      </c>
      <c r="H15" s="392">
        <f>SUMIF(76:76,G16,77:77)-SUMIF(76:76,C16,77:77)+100</f>
        <v>105</v>
      </c>
      <c r="I15" s="393" t="s">
        <v>3418</v>
      </c>
      <c r="J15" s="392">
        <f>SUMIF(76:76,I16,77:77)-SUMIF(76:76,C16,77:77)+100</f>
        <v>100</v>
      </c>
      <c r="K15" s="563">
        <v>5</v>
      </c>
      <c r="L15" s="2717"/>
      <c r="M15" s="2711"/>
      <c r="N15" s="2711"/>
      <c r="O15" s="2711"/>
      <c r="P15" s="3678" t="s">
        <v>1690</v>
      </c>
      <c r="Q15" s="1352" t="str">
        <f t="shared" si="6"/>
        <v>商业繁华度</v>
      </c>
      <c r="R15" s="705" t="s">
        <v>14</v>
      </c>
      <c r="S15" s="706">
        <f t="shared" si="0"/>
        <v>100</v>
      </c>
      <c r="T15" s="705" t="s">
        <v>14</v>
      </c>
      <c r="U15" s="706">
        <f t="shared" si="1"/>
        <v>105</v>
      </c>
      <c r="V15" s="705" t="s">
        <v>14</v>
      </c>
      <c r="W15" s="706">
        <f t="shared" si="2"/>
        <v>100</v>
      </c>
      <c r="X15" s="1355"/>
      <c r="Y15" s="3680" t="s">
        <v>1690</v>
      </c>
      <c r="Z15" s="1356" t="str">
        <f t="shared" si="7"/>
        <v>商业繁华度</v>
      </c>
      <c r="AA15" s="1353">
        <f t="shared" si="3"/>
        <v>1</v>
      </c>
      <c r="AB15" s="1353">
        <f t="shared" si="4"/>
        <v>0.95238095238095233</v>
      </c>
      <c r="AC15" s="1353">
        <f t="shared" si="5"/>
        <v>1</v>
      </c>
    </row>
    <row r="16" spans="1:29" ht="15">
      <c r="A16" s="379"/>
      <c r="B16" s="397"/>
      <c r="C16" s="398" t="s">
        <v>3418</v>
      </c>
      <c r="D16" s="399"/>
      <c r="E16" s="398" t="s">
        <v>3418</v>
      </c>
      <c r="F16" s="400"/>
      <c r="G16" s="1903" t="s">
        <v>3417</v>
      </c>
      <c r="H16" s="401"/>
      <c r="I16" s="398" t="s">
        <v>3418</v>
      </c>
      <c r="J16" s="399"/>
      <c r="K16" s="564"/>
      <c r="L16" s="2717"/>
      <c r="M16" s="2711"/>
      <c r="N16" s="2711"/>
      <c r="O16" s="2711"/>
      <c r="P16" s="3679"/>
      <c r="Q16" s="1352"/>
      <c r="R16" s="705"/>
      <c r="S16" s="706"/>
      <c r="T16" s="705"/>
      <c r="U16" s="706"/>
      <c r="V16" s="705"/>
      <c r="W16" s="706"/>
      <c r="X16" s="1355"/>
      <c r="Y16" s="3681"/>
      <c r="Z16" s="1356"/>
      <c r="AA16" s="1353">
        <v>1</v>
      </c>
      <c r="AB16" s="1353">
        <v>1</v>
      </c>
      <c r="AC16" s="1353">
        <v>1</v>
      </c>
    </row>
    <row r="17" spans="1:29" ht="15">
      <c r="A17" s="379"/>
      <c r="B17" s="402" t="s">
        <v>1258</v>
      </c>
      <c r="C17" s="1900" t="str">
        <f>估价对象房地状况!C6</f>
        <v>较好</v>
      </c>
      <c r="D17" s="401">
        <v>100</v>
      </c>
      <c r="E17" s="403" t="s">
        <v>3417</v>
      </c>
      <c r="F17" s="404">
        <f>SUMIF(78:78,E18,79:79)-SUMIF(78:78,C18,79:79)+100</f>
        <v>100</v>
      </c>
      <c r="G17" s="403" t="s">
        <v>3417</v>
      </c>
      <c r="H17" s="406">
        <f>SUMIF(78:78,G18,79:79)-SUMIF(78:78,C18,79:79)+100</f>
        <v>100</v>
      </c>
      <c r="I17" s="403" t="s">
        <v>3417</v>
      </c>
      <c r="J17" s="406">
        <f>SUMIF(78:78,I18,79:79)-SUMIF(78:78,C18,79:79)+100</f>
        <v>100</v>
      </c>
      <c r="K17" s="563">
        <v>2</v>
      </c>
      <c r="L17" s="2717"/>
      <c r="M17" s="2711"/>
      <c r="N17" s="2711"/>
      <c r="O17" s="2711"/>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t="s">
        <v>3417</v>
      </c>
      <c r="D18" s="401"/>
      <c r="E18" s="1903" t="s">
        <v>3417</v>
      </c>
      <c r="F18" s="404"/>
      <c r="G18" s="1903" t="s">
        <v>3417</v>
      </c>
      <c r="H18" s="399"/>
      <c r="I18" s="1903" t="s">
        <v>3417</v>
      </c>
      <c r="J18" s="399"/>
      <c r="K18" s="564"/>
      <c r="L18" s="2717"/>
      <c r="M18" s="2711"/>
      <c r="N18" s="2711"/>
      <c r="O18" s="2711"/>
      <c r="P18" s="3679"/>
      <c r="Q18" s="1352"/>
      <c r="R18" s="705"/>
      <c r="S18" s="706"/>
      <c r="T18" s="705"/>
      <c r="U18" s="706"/>
      <c r="V18" s="705"/>
      <c r="W18" s="706"/>
      <c r="X18" s="1355"/>
      <c r="Y18" s="3681"/>
      <c r="Z18" s="1356"/>
      <c r="AA18" s="1353">
        <v>1</v>
      </c>
      <c r="AB18" s="1353">
        <v>1</v>
      </c>
      <c r="AC18" s="1353">
        <v>1</v>
      </c>
    </row>
    <row r="19" spans="1:29" ht="15">
      <c r="A19" s="379"/>
      <c r="B19" s="402" t="s">
        <v>1777</v>
      </c>
      <c r="C19" s="1900" t="str">
        <f>估价对象房地状况!C7</f>
        <v>较好</v>
      </c>
      <c r="D19" s="406">
        <v>100</v>
      </c>
      <c r="E19" s="408" t="s">
        <v>3417</v>
      </c>
      <c r="F19" s="409">
        <f>SUMIF(80:80,E20,81:81)-SUMIF(80:80,C20,81:81)+100</f>
        <v>100</v>
      </c>
      <c r="G19" s="408" t="s">
        <v>3417</v>
      </c>
      <c r="H19" s="401">
        <f>SUMIF(80:80,G20,81:81)-SUMIF(80:80,C20,81:81)+100</f>
        <v>100</v>
      </c>
      <c r="I19" s="408" t="s">
        <v>3417</v>
      </c>
      <c r="J19" s="401">
        <f>SUMIF(80:80,I20,81:81)-SUMIF(80:80,C20,81:81)+100</f>
        <v>100</v>
      </c>
      <c r="K19" s="563">
        <v>2</v>
      </c>
      <c r="L19" s="2717"/>
      <c r="M19" s="2711"/>
      <c r="N19" s="2711"/>
      <c r="O19" s="2711"/>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t="s">
        <v>3417</v>
      </c>
      <c r="D20" s="399"/>
      <c r="E20" s="1898" t="s">
        <v>3417</v>
      </c>
      <c r="F20" s="400"/>
      <c r="G20" s="1898" t="s">
        <v>3417</v>
      </c>
      <c r="H20" s="399"/>
      <c r="I20" s="1898" t="s">
        <v>3417</v>
      </c>
      <c r="J20" s="399"/>
      <c r="K20" s="564"/>
      <c r="L20" s="2717"/>
      <c r="M20" s="2711"/>
      <c r="N20" s="2711"/>
      <c r="O20" s="2711"/>
      <c r="P20" s="3679"/>
      <c r="Q20" s="1352"/>
      <c r="R20" s="705"/>
      <c r="S20" s="706"/>
      <c r="T20" s="705"/>
      <c r="U20" s="706"/>
      <c r="V20" s="705"/>
      <c r="W20" s="706"/>
      <c r="X20" s="1355"/>
      <c r="Y20" s="3681"/>
      <c r="Z20" s="1356"/>
      <c r="AA20" s="1353">
        <v>1</v>
      </c>
      <c r="AB20" s="1353">
        <v>1</v>
      </c>
      <c r="AC20" s="1353">
        <v>1</v>
      </c>
    </row>
    <row r="21" spans="1:29" ht="15">
      <c r="A21" s="379"/>
      <c r="B21" s="1131" t="s">
        <v>1778</v>
      </c>
      <c r="C21" s="1900" t="str">
        <f>估价对象房地状况!C8</f>
        <v>七通</v>
      </c>
      <c r="D21" s="406">
        <v>100</v>
      </c>
      <c r="E21" s="408" t="s">
        <v>3438</v>
      </c>
      <c r="F21" s="409">
        <f>SUMIF(82:82,E22,83:83)-SUMIF(82:82,C22,83:83)+100</f>
        <v>100</v>
      </c>
      <c r="G21" s="408" t="s">
        <v>3438</v>
      </c>
      <c r="H21" s="401">
        <f>SUMIF(82:82,G22,83:83)-SUMIF(82:82,C22,83:83)+100</f>
        <v>100</v>
      </c>
      <c r="I21" s="408" t="s">
        <v>3438</v>
      </c>
      <c r="J21" s="401">
        <f>SUMIF(82:82,I22,83:83)-SUMIF(82:82,C22,83:83)+100</f>
        <v>100</v>
      </c>
      <c r="K21" s="563">
        <v>1</v>
      </c>
      <c r="L21" s="2717"/>
      <c r="M21" s="2711"/>
      <c r="N21" s="2711"/>
      <c r="O21" s="2711"/>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t="s">
        <v>3438</v>
      </c>
      <c r="D22" s="399"/>
      <c r="E22" s="398" t="s">
        <v>3438</v>
      </c>
      <c r="F22" s="400"/>
      <c r="G22" s="398" t="s">
        <v>3438</v>
      </c>
      <c r="H22" s="399"/>
      <c r="I22" s="398" t="s">
        <v>3438</v>
      </c>
      <c r="J22" s="399"/>
      <c r="K22" s="1130"/>
      <c r="L22" s="2717"/>
      <c r="M22" s="2711"/>
      <c r="N22" s="2711"/>
      <c r="O22" s="2711"/>
      <c r="P22" s="3679"/>
      <c r="Q22" s="1352"/>
      <c r="R22" s="705"/>
      <c r="S22" s="706"/>
      <c r="T22" s="705"/>
      <c r="U22" s="706"/>
      <c r="V22" s="705"/>
      <c r="W22" s="706"/>
      <c r="X22" s="1355"/>
      <c r="Y22" s="3681"/>
      <c r="Z22" s="1356"/>
      <c r="AA22" s="1353">
        <v>1</v>
      </c>
      <c r="AB22" s="1353">
        <v>1</v>
      </c>
      <c r="AC22" s="1353">
        <v>1</v>
      </c>
    </row>
    <row r="23" spans="1:29" ht="15">
      <c r="A23" s="379"/>
      <c r="B23" s="402" t="s">
        <v>1260</v>
      </c>
      <c r="C23" s="1955" t="str">
        <f>估价对象房地状况!C9</f>
        <v>较好</v>
      </c>
      <c r="D23" s="401">
        <v>100</v>
      </c>
      <c r="E23" s="403" t="s">
        <v>3417</v>
      </c>
      <c r="F23" s="404">
        <f>SUMIF(84:84,E24,85:85)-SUMIF(84:84,C24,85:85)+100</f>
        <v>100</v>
      </c>
      <c r="G23" s="403" t="s">
        <v>3417</v>
      </c>
      <c r="H23" s="401">
        <f>SUMIF(84:84,G24,85:85)-SUMIF(84:84,C24,85:85)+100</f>
        <v>100</v>
      </c>
      <c r="I23" s="403" t="s">
        <v>3417</v>
      </c>
      <c r="J23" s="401">
        <f>SUMIF(84:84,I24,85:85)-SUMIF(84:84,C24,85:85)+100</f>
        <v>100</v>
      </c>
      <c r="K23" s="563">
        <v>2</v>
      </c>
      <c r="L23" s="2717"/>
      <c r="M23" s="2711"/>
      <c r="N23" s="2711"/>
      <c r="O23" s="2711"/>
      <c r="P23" s="3679"/>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t="s">
        <v>3417</v>
      </c>
      <c r="D24" s="399"/>
      <c r="E24" s="1898" t="s">
        <v>3417</v>
      </c>
      <c r="F24" s="400"/>
      <c r="G24" s="1898" t="s">
        <v>3417</v>
      </c>
      <c r="H24" s="399"/>
      <c r="I24" s="1898" t="s">
        <v>3417</v>
      </c>
      <c r="J24" s="399"/>
      <c r="K24" s="564"/>
      <c r="L24" s="2717"/>
      <c r="M24" s="2711"/>
      <c r="N24" s="2711"/>
      <c r="O24" s="2711"/>
      <c r="P24" s="3679"/>
      <c r="Q24" s="1352"/>
      <c r="R24" s="705"/>
      <c r="S24" s="706"/>
      <c r="T24" s="705"/>
      <c r="U24" s="706"/>
      <c r="V24" s="705"/>
      <c r="W24" s="706"/>
      <c r="X24" s="1355"/>
      <c r="Y24" s="3681"/>
      <c r="Z24" s="1356"/>
      <c r="AA24" s="1353">
        <v>1</v>
      </c>
      <c r="AB24" s="1353">
        <v>1</v>
      </c>
      <c r="AC24" s="1353">
        <v>1</v>
      </c>
    </row>
    <row r="25" spans="1:29" ht="15">
      <c r="A25" s="379"/>
      <c r="B25" s="375" t="s">
        <v>1779</v>
      </c>
      <c r="C25" s="565" t="s">
        <v>3447</v>
      </c>
      <c r="D25" s="386">
        <v>100</v>
      </c>
      <c r="E25" s="565" t="s">
        <v>3447</v>
      </c>
      <c r="F25" s="412">
        <f>SUMIF(86:86,E25,87:87)-SUMIF(86:86,C25,87:87)+100</f>
        <v>100</v>
      </c>
      <c r="G25" s="565" t="s">
        <v>3447</v>
      </c>
      <c r="H25" s="386">
        <f>SUMIF(86:86,G25,87:87)-SUMIF(86:86,C25,87:87)+100</f>
        <v>100</v>
      </c>
      <c r="I25" s="565" t="s">
        <v>3447</v>
      </c>
      <c r="J25" s="386">
        <f>SUMIF(86:86,I25,87:87)-SUMIF(86:86,C25,87:87)+100</f>
        <v>100</v>
      </c>
      <c r="K25" s="561">
        <v>2</v>
      </c>
      <c r="L25" s="2717"/>
      <c r="M25" s="2711"/>
      <c r="N25" s="2711"/>
      <c r="O25" s="2711"/>
      <c r="P25" s="3679"/>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1780</v>
      </c>
      <c r="C26" s="3472" t="s">
        <v>3450</v>
      </c>
      <c r="D26" s="386">
        <v>100</v>
      </c>
      <c r="E26" s="3472" t="s">
        <v>3450</v>
      </c>
      <c r="F26" s="412">
        <f>SUMIF(88:88,E26,89:89)-SUMIF(88:88,C26,89:89)+100</f>
        <v>100</v>
      </c>
      <c r="G26" s="3472" t="s">
        <v>3450</v>
      </c>
      <c r="H26" s="386">
        <f>SUMIF(88:88,G26,89:89)-SUMIF(88:88,C26,89:89)+100</f>
        <v>100</v>
      </c>
      <c r="I26" s="3472" t="s">
        <v>3450</v>
      </c>
      <c r="J26" s="386">
        <f>SUMIF(88:88,I26,89:89)-SUMIF(88:88,C26,89:89)+100</f>
        <v>100</v>
      </c>
      <c r="K26" s="562"/>
      <c r="L26" s="2717"/>
      <c r="M26" s="2711"/>
      <c r="N26" s="2711"/>
      <c r="O26" s="2711"/>
      <c r="P26" s="3679"/>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1781</v>
      </c>
      <c r="C27" s="1956" t="s">
        <v>3418</v>
      </c>
      <c r="D27" s="413">
        <v>100</v>
      </c>
      <c r="E27" s="1956" t="s">
        <v>3452</v>
      </c>
      <c r="F27" s="415">
        <f>SUMIF(90:90,E27,91:91)-SUMIF(90:90,C27,91:91)+100</f>
        <v>105</v>
      </c>
      <c r="G27" s="1956" t="s">
        <v>3452</v>
      </c>
      <c r="H27" s="413">
        <f>SUMIF(90:90,G27,91:91)-SUMIF(90:90,C27,91:91)+100</f>
        <v>105</v>
      </c>
      <c r="I27" s="1956" t="s">
        <v>3452</v>
      </c>
      <c r="J27" s="413">
        <f>SUMIF(90:90,I27,91:91)-SUMIF(90:90,C27,91:91)+100</f>
        <v>105</v>
      </c>
      <c r="K27" s="561">
        <v>5</v>
      </c>
      <c r="L27" s="2712"/>
      <c r="M27" s="2713"/>
      <c r="N27" s="2713"/>
      <c r="O27" s="2713"/>
      <c r="P27" s="3679"/>
      <c r="Q27" s="1343" t="str">
        <f t="shared" si="11"/>
        <v>人流量</v>
      </c>
      <c r="R27" s="701" t="s">
        <v>14</v>
      </c>
      <c r="S27" s="702">
        <f>F27</f>
        <v>105</v>
      </c>
      <c r="T27" s="701" t="s">
        <v>14</v>
      </c>
      <c r="U27" s="702">
        <f>H27</f>
        <v>105</v>
      </c>
      <c r="V27" s="701" t="s">
        <v>14</v>
      </c>
      <c r="W27" s="702">
        <f>J27</f>
        <v>105</v>
      </c>
      <c r="X27" s="703"/>
      <c r="Y27" s="3681"/>
      <c r="Z27" s="52" t="str">
        <f>Q27</f>
        <v>人流量</v>
      </c>
      <c r="AA27" s="1353">
        <f>D27/F27</f>
        <v>0.95238095238095233</v>
      </c>
      <c r="AB27" s="1353">
        <f>D27/H27</f>
        <v>0.95238095238095233</v>
      </c>
      <c r="AC27" s="1353">
        <f>D27/J27</f>
        <v>0.95238095238095233</v>
      </c>
    </row>
    <row r="28" spans="1:29" ht="15.6" thickBot="1">
      <c r="A28" s="379"/>
      <c r="B28" s="375" t="s">
        <v>1782</v>
      </c>
      <c r="C28" s="565" t="s">
        <v>3484</v>
      </c>
      <c r="D28" s="386">
        <v>100</v>
      </c>
      <c r="E28" s="565" t="s">
        <v>3484</v>
      </c>
      <c r="F28" s="412">
        <f>SUMIF(92:92,E28,93:93)-SUMIF(92:92,C28,93:93)+100</f>
        <v>100</v>
      </c>
      <c r="G28" s="565" t="s">
        <v>3484</v>
      </c>
      <c r="H28" s="386">
        <f>SUMIF(92:92,G28,93:93)-SUMIF(92:92,C28,93:93)+100</f>
        <v>100</v>
      </c>
      <c r="I28" s="565" t="s">
        <v>3484</v>
      </c>
      <c r="J28" s="386">
        <f>SUMIF(92:92,I28,93:93)-SUMIF(92:92,C28,93:93)+100</f>
        <v>100</v>
      </c>
      <c r="K28" s="562"/>
      <c r="L28" s="2717"/>
      <c r="M28" s="2711"/>
      <c r="N28" s="2711"/>
      <c r="O28" s="2711"/>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1"/>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79"/>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6"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1693</v>
      </c>
      <c r="B32" s="63" t="s">
        <v>1783</v>
      </c>
      <c r="C32" s="1910" t="s">
        <v>3460</v>
      </c>
      <c r="D32" s="418">
        <v>100</v>
      </c>
      <c r="E32" s="1910" t="s">
        <v>3460</v>
      </c>
      <c r="F32" s="412">
        <f>SUMIF(100:100,E32,101:101)-SUMIF(100:100,C32,101:101)+100</f>
        <v>100</v>
      </c>
      <c r="G32" s="1910" t="s">
        <v>3462</v>
      </c>
      <c r="H32" s="386">
        <f>SUMIF(100:100,G32,101:101)-SUMIF(100:100,C32,101:101)+100</f>
        <v>98</v>
      </c>
      <c r="I32" s="1910" t="s">
        <v>3462</v>
      </c>
      <c r="J32" s="418">
        <f>SUMIF(100:100,I32,101:101)-SUMIF(100:100,C32,101:101)+100</f>
        <v>98</v>
      </c>
      <c r="K32" s="561">
        <v>2</v>
      </c>
      <c r="L32" s="2717"/>
      <c r="M32" s="2711"/>
      <c r="N32" s="2711"/>
      <c r="O32" s="2711"/>
      <c r="P32" s="3682" t="s">
        <v>1695</v>
      </c>
      <c r="Q32" s="1352" t="str">
        <f t="shared" si="11"/>
        <v>商业类型</v>
      </c>
      <c r="R32" s="705" t="s">
        <v>14</v>
      </c>
      <c r="S32" s="706">
        <f t="shared" si="12"/>
        <v>100</v>
      </c>
      <c r="T32" s="705" t="s">
        <v>14</v>
      </c>
      <c r="U32" s="706">
        <f t="shared" si="13"/>
        <v>98</v>
      </c>
      <c r="V32" s="705" t="s">
        <v>14</v>
      </c>
      <c r="W32" s="706">
        <f t="shared" si="14"/>
        <v>98</v>
      </c>
      <c r="X32" s="1355"/>
      <c r="Y32" s="3685" t="s">
        <v>1695</v>
      </c>
      <c r="Z32" s="1356" t="str">
        <f t="shared" si="15"/>
        <v>商业类型</v>
      </c>
      <c r="AA32" s="1353">
        <f t="shared" si="3"/>
        <v>1</v>
      </c>
      <c r="AB32" s="1353">
        <f t="shared" si="4"/>
        <v>1.0204081632653061</v>
      </c>
      <c r="AC32" s="1353">
        <f t="shared" si="5"/>
        <v>1.0204081632653061</v>
      </c>
    </row>
    <row r="33" spans="1:29" s="422" customFormat="1" ht="15">
      <c r="A33" s="419"/>
      <c r="B33" s="375" t="s">
        <v>1696</v>
      </c>
      <c r="C33" s="3474">
        <f>'数据-汇总表'!E3</f>
        <v>1139.1300000000001</v>
      </c>
      <c r="D33" s="127">
        <v>100</v>
      </c>
      <c r="E33" s="3834">
        <f>案例!C2</f>
        <v>102.01</v>
      </c>
      <c r="F33" s="376">
        <f>LOOKUP(E33,103:103,104:104)-LOOKUP(C33,103:103,104:104)+100</f>
        <v>109</v>
      </c>
      <c r="G33" s="3835">
        <f>案例!C3</f>
        <v>348.14</v>
      </c>
      <c r="H33" s="127">
        <f>LOOKUP(G33,103:103,104:104)-LOOKUP(C33,103:103,104:104)+100</f>
        <v>104</v>
      </c>
      <c r="I33" s="3835">
        <f>案例!C4</f>
        <v>79.48</v>
      </c>
      <c r="J33" s="127">
        <f>LOOKUP(I33,103:103,104:104)-LOOKUP(C33,103:103,104:104)+100</f>
        <v>109</v>
      </c>
      <c r="K33" s="562"/>
      <c r="L33" s="2716"/>
      <c r="M33" s="2718"/>
      <c r="N33" s="2718"/>
      <c r="O33" s="2718"/>
      <c r="P33" s="3683"/>
      <c r="Q33" s="707" t="str">
        <f t="shared" si="11"/>
        <v>项目建筑规模</v>
      </c>
      <c r="R33" s="708" t="s">
        <v>14</v>
      </c>
      <c r="S33" s="709">
        <f t="shared" si="12"/>
        <v>109</v>
      </c>
      <c r="T33" s="708" t="s">
        <v>14</v>
      </c>
      <c r="U33" s="709">
        <f t="shared" si="13"/>
        <v>104</v>
      </c>
      <c r="V33" s="708" t="s">
        <v>14</v>
      </c>
      <c r="W33" s="709">
        <f t="shared" si="14"/>
        <v>109</v>
      </c>
      <c r="X33" s="710"/>
      <c r="Y33" s="3685"/>
      <c r="Z33" s="711" t="str">
        <f t="shared" si="15"/>
        <v>项目建筑规模</v>
      </c>
      <c r="AA33" s="1353">
        <f t="shared" si="3"/>
        <v>0.91743119266055051</v>
      </c>
      <c r="AB33" s="1353">
        <f t="shared" si="4"/>
        <v>0.96153846153846156</v>
      </c>
      <c r="AC33" s="1353">
        <f t="shared" si="5"/>
        <v>0.91743119266055051</v>
      </c>
    </row>
    <row r="34" spans="1:29" ht="15">
      <c r="A34" s="423"/>
      <c r="B34" s="375" t="s">
        <v>1697</v>
      </c>
      <c r="C34" s="1912" t="s">
        <v>3392</v>
      </c>
      <c r="D34" s="386">
        <v>100</v>
      </c>
      <c r="E34" s="1912" t="s">
        <v>3392</v>
      </c>
      <c r="F34" s="412">
        <f>SUMIF(105:105,E34,106:106)-SUMIF(105:105,C34,106:106)+100</f>
        <v>100</v>
      </c>
      <c r="G34" s="1912" t="s">
        <v>3392</v>
      </c>
      <c r="H34" s="386">
        <f>SUMIF(105:105,G34,106:106)-SUMIF(105:105,C34,106:106)+100</f>
        <v>100</v>
      </c>
      <c r="I34" s="1912" t="s">
        <v>3392</v>
      </c>
      <c r="J34" s="386">
        <f>SUMIF(105:105,I34,106:106)-SUMIF(105:105,C34,106:106)+100</f>
        <v>100</v>
      </c>
      <c r="K34" s="561">
        <v>2</v>
      </c>
      <c r="L34" s="2717"/>
      <c r="M34" s="2711"/>
      <c r="N34" s="2711"/>
      <c r="O34" s="2711"/>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1784</v>
      </c>
      <c r="C35" s="1906" t="s">
        <v>3465</v>
      </c>
      <c r="D35" s="386">
        <v>100</v>
      </c>
      <c r="E35" s="1906" t="s">
        <v>3465</v>
      </c>
      <c r="F35" s="412">
        <f>SUMIF(107:107,E35,108:108)-SUMIF(107:107,C35,108:108)+100</f>
        <v>100</v>
      </c>
      <c r="G35" s="1906" t="s">
        <v>3465</v>
      </c>
      <c r="H35" s="386">
        <f>SUMIF(107:107,G35,108:108)-SUMIF(107:107,C35,108:108)+100</f>
        <v>100</v>
      </c>
      <c r="I35" s="1906" t="s">
        <v>3465</v>
      </c>
      <c r="J35" s="386">
        <f>SUMIF(107:107,I35,108:108)-SUMIF(107:107,C35,108:108)+100</f>
        <v>100</v>
      </c>
      <c r="K35" s="561">
        <v>2</v>
      </c>
      <c r="L35" s="2717"/>
      <c r="M35" s="2711"/>
      <c r="N35" s="2711"/>
      <c r="O35" s="2711"/>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1785</v>
      </c>
      <c r="C36" s="425">
        <f>'数据-取费表'!N6</f>
        <v>0.85</v>
      </c>
      <c r="D36" s="386">
        <v>100</v>
      </c>
      <c r="E36" s="425">
        <f>C36</f>
        <v>0.85</v>
      </c>
      <c r="F36" s="412">
        <f>LOOKUP(E36,110:110,111:111)-LOOKUP(C36,110:110,111:111)+100</f>
        <v>100</v>
      </c>
      <c r="G36" s="425">
        <f>C36</f>
        <v>0.85</v>
      </c>
      <c r="H36" s="412">
        <f>LOOKUP(G36,110:110,111:111)-LOOKUP(C36,110:110,111:111)+100</f>
        <v>100</v>
      </c>
      <c r="I36" s="425">
        <f>C36</f>
        <v>0.85</v>
      </c>
      <c r="J36" s="386">
        <f>LOOKUP(I36,110:110,111:111)-LOOKUP(C36,110:110,111:111)+100</f>
        <v>100</v>
      </c>
      <c r="K36" s="561">
        <v>1</v>
      </c>
      <c r="L36" s="2717"/>
      <c r="M36" s="2711"/>
      <c r="N36" s="2711"/>
      <c r="O36" s="2711"/>
      <c r="P36" s="3683"/>
      <c r="Q36" s="1352" t="str">
        <f t="shared" si="11"/>
        <v>成新度</v>
      </c>
      <c r="R36" s="705" t="s">
        <v>14</v>
      </c>
      <c r="S36" s="706">
        <f t="shared" si="12"/>
        <v>100</v>
      </c>
      <c r="T36" s="705" t="s">
        <v>14</v>
      </c>
      <c r="U36" s="706">
        <f t="shared" si="13"/>
        <v>100</v>
      </c>
      <c r="V36" s="705" t="s">
        <v>14</v>
      </c>
      <c r="W36" s="706">
        <f t="shared" si="14"/>
        <v>100</v>
      </c>
      <c r="X36" s="1355"/>
      <c r="Y36" s="3685"/>
      <c r="Z36" s="1356" t="str">
        <f t="shared" si="15"/>
        <v>成新度</v>
      </c>
      <c r="AA36" s="1353">
        <f t="shared" si="3"/>
        <v>1</v>
      </c>
      <c r="AB36" s="1353">
        <f t="shared" si="4"/>
        <v>1</v>
      </c>
      <c r="AC36" s="1353">
        <f t="shared" si="5"/>
        <v>1</v>
      </c>
    </row>
    <row r="37" spans="1:29" s="108" customFormat="1" ht="15">
      <c r="A37" s="424"/>
      <c r="B37" s="375" t="s">
        <v>1786</v>
      </c>
      <c r="C37" s="1906" t="s">
        <v>3485</v>
      </c>
      <c r="D37" s="127">
        <v>100</v>
      </c>
      <c r="E37" s="1906" t="s">
        <v>3485</v>
      </c>
      <c r="F37" s="412">
        <f>SUMIF(112:112,E37,113:113)-SUMIF(112:112,C37,113:113)+100</f>
        <v>100</v>
      </c>
      <c r="G37" s="1906" t="s">
        <v>3486</v>
      </c>
      <c r="H37" s="386">
        <f>SUMIF(112:112,G37,113:113)-SUMIF(112:112,C37,113:113)+100</f>
        <v>101</v>
      </c>
      <c r="I37" s="1906" t="s">
        <v>3486</v>
      </c>
      <c r="J37" s="386">
        <f>SUMIF(112:112,I37,113:113)-SUMIF(112:112,C37,113:113)+100</f>
        <v>101</v>
      </c>
      <c r="K37" s="561">
        <v>1</v>
      </c>
      <c r="L37" s="2712"/>
      <c r="M37" s="2713"/>
      <c r="N37" s="2713"/>
      <c r="O37" s="2713"/>
      <c r="P37" s="3683"/>
      <c r="Q37" s="1343" t="str">
        <f t="shared" si="11"/>
        <v>市政基础设施</v>
      </c>
      <c r="R37" s="701" t="s">
        <v>14</v>
      </c>
      <c r="S37" s="702">
        <f t="shared" si="12"/>
        <v>100</v>
      </c>
      <c r="T37" s="701" t="s">
        <v>14</v>
      </c>
      <c r="U37" s="702">
        <f t="shared" si="13"/>
        <v>101</v>
      </c>
      <c r="V37" s="701" t="s">
        <v>14</v>
      </c>
      <c r="W37" s="702">
        <f t="shared" si="14"/>
        <v>101</v>
      </c>
      <c r="X37" s="703"/>
      <c r="Y37" s="3685"/>
      <c r="Z37" s="52" t="str">
        <f t="shared" si="15"/>
        <v>市政基础设施</v>
      </c>
      <c r="AA37" s="704">
        <f t="shared" si="3"/>
        <v>1</v>
      </c>
      <c r="AB37" s="704">
        <f t="shared" si="4"/>
        <v>0.99009900990099009</v>
      </c>
      <c r="AC37" s="704">
        <f t="shared" si="5"/>
        <v>0.99009900990099009</v>
      </c>
    </row>
    <row r="38" spans="1:29" ht="15">
      <c r="A38" s="423"/>
      <c r="B38" s="375" t="s">
        <v>1787</v>
      </c>
      <c r="C38" s="1906" t="s">
        <v>3472</v>
      </c>
      <c r="D38" s="386">
        <v>100</v>
      </c>
      <c r="E38" s="1906" t="s">
        <v>3472</v>
      </c>
      <c r="F38" s="412">
        <f>SUMIF(114:114,E38,115:115)-SUMIF(114:114,C38,115:115)+100</f>
        <v>100</v>
      </c>
      <c r="G38" s="1906" t="s">
        <v>3472</v>
      </c>
      <c r="H38" s="386">
        <f>SUMIF(114:114,G38,115:115)-SUMIF(114:114,C38,115:115)+100</f>
        <v>100</v>
      </c>
      <c r="I38" s="1906" t="s">
        <v>3472</v>
      </c>
      <c r="J38" s="386">
        <f>SUMIF(114:114,I38,115:115)-SUMIF(114:114,C38,115:115)+100</f>
        <v>100</v>
      </c>
      <c r="K38" s="561">
        <v>5</v>
      </c>
      <c r="L38" s="2717"/>
      <c r="M38" s="2711"/>
      <c r="N38" s="2711"/>
      <c r="O38" s="2711"/>
      <c r="P38" s="3683" t="s">
        <v>1695</v>
      </c>
      <c r="Q38" s="1352" t="str">
        <f t="shared" si="11"/>
        <v>业态</v>
      </c>
      <c r="R38" s="705" t="s">
        <v>14</v>
      </c>
      <c r="S38" s="706">
        <f t="shared" si="12"/>
        <v>100</v>
      </c>
      <c r="T38" s="705" t="s">
        <v>14</v>
      </c>
      <c r="U38" s="706">
        <f t="shared" si="13"/>
        <v>100</v>
      </c>
      <c r="V38" s="705" t="s">
        <v>14</v>
      </c>
      <c r="W38" s="706">
        <f t="shared" si="14"/>
        <v>100</v>
      </c>
      <c r="X38" s="1355"/>
      <c r="Y38" s="368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1790</v>
      </c>
      <c r="C41" s="565" t="s">
        <v>3476</v>
      </c>
      <c r="D41" s="386">
        <v>100</v>
      </c>
      <c r="E41" s="565" t="s">
        <v>3476</v>
      </c>
      <c r="F41" s="412">
        <f>SUMIF(120:120,E41,121:121)-SUMIF(120:120,C41,121:121)+100</f>
        <v>100</v>
      </c>
      <c r="G41" s="565" t="s">
        <v>3476</v>
      </c>
      <c r="H41" s="386">
        <f>SUMIF(120:120,G41,121:121)-SUMIF(120:120,C41,121:121)+100</f>
        <v>100</v>
      </c>
      <c r="I41" s="565" t="s">
        <v>3476</v>
      </c>
      <c r="J41" s="386">
        <f>SUMIF(120:120,I41,121:121)-SUMIF(120:120,C41,121:121)+100</f>
        <v>100</v>
      </c>
      <c r="K41" s="561">
        <v>2</v>
      </c>
      <c r="L41" s="2716"/>
      <c r="M41" s="2718"/>
      <c r="N41" s="2718"/>
      <c r="O41" s="2718"/>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1791</v>
      </c>
      <c r="C42" s="1906" t="s">
        <v>3467</v>
      </c>
      <c r="D42" s="386">
        <v>100</v>
      </c>
      <c r="E42" s="1906" t="s">
        <v>3467</v>
      </c>
      <c r="F42" s="412">
        <f>SUMIF(122:122,E42,123:123)-SUMIF(122:122,C42,123:123)+100</f>
        <v>100</v>
      </c>
      <c r="G42" s="1906" t="s">
        <v>3467</v>
      </c>
      <c r="H42" s="386">
        <f>SUMIF(122:122,G42,123:123)-SUMIF(122:122,C42,123:123)+100</f>
        <v>100</v>
      </c>
      <c r="I42" s="1906" t="s">
        <v>3467</v>
      </c>
      <c r="J42" s="386">
        <f>SUMIF(122:122,I42,123:123)-SUMIF(122:122,C42,123:123)+100</f>
        <v>100</v>
      </c>
      <c r="K42" s="561">
        <v>2</v>
      </c>
      <c r="L42" s="2717"/>
      <c r="M42" s="2711"/>
      <c r="N42" s="2711"/>
      <c r="O42" s="2711"/>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29.4" thickBot="1">
      <c r="A43" s="423"/>
      <c r="B43" s="375" t="s">
        <v>1706</v>
      </c>
      <c r="C43" s="1906" t="s">
        <v>3417</v>
      </c>
      <c r="D43" s="386">
        <v>100</v>
      </c>
      <c r="E43" s="1906" t="s">
        <v>3417</v>
      </c>
      <c r="F43" s="412">
        <f>SUMIF(124:124,E43,125:125)-SUMIF(124:124,C43,125:125)+100</f>
        <v>100</v>
      </c>
      <c r="G43" s="1906" t="s">
        <v>3417</v>
      </c>
      <c r="H43" s="386">
        <f>SUMIF(124:124,G43,125:125)-SUMIF(124:124,C43,125:125)+100</f>
        <v>100</v>
      </c>
      <c r="I43" s="1906" t="s">
        <v>3417</v>
      </c>
      <c r="J43" s="386">
        <f>SUMIF(124:124,I43,125:125)-SUMIF(124:124,C43,125:125)+100</f>
        <v>100</v>
      </c>
      <c r="K43" s="561">
        <v>2</v>
      </c>
      <c r="L43" s="2717"/>
      <c r="M43" s="2711"/>
      <c r="N43" s="2711"/>
      <c r="O43" s="2711"/>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6"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4.4">
      <c r="A47" s="430" t="s">
        <v>1707</v>
      </c>
      <c r="B47" s="431"/>
      <c r="C47" s="1154" t="s">
        <v>0</v>
      </c>
      <c r="D47" s="1155"/>
      <c r="E47" s="1156">
        <f>ROUND(案例!B2*L48,0)</f>
        <v>89992</v>
      </c>
      <c r="F47" s="1157"/>
      <c r="G47" s="1156">
        <f>ROUND(案例!B3*L48,0)</f>
        <v>93066</v>
      </c>
      <c r="H47" s="1159"/>
      <c r="I47" s="1156">
        <f>ROUND(案例!B4*L48,0)</f>
        <v>97384</v>
      </c>
      <c r="J47" s="1159"/>
      <c r="K47" s="714"/>
      <c r="L47" s="2719"/>
      <c r="M47" s="2720"/>
      <c r="N47" s="2711"/>
      <c r="O47" s="2720"/>
      <c r="P47" s="3673" t="str">
        <f>A47</f>
        <v>成交单价（元/平方米）</v>
      </c>
      <c r="Q47" s="3673"/>
      <c r="R47" s="3687">
        <f>E47</f>
        <v>89992</v>
      </c>
      <c r="S47" s="3687"/>
      <c r="T47" s="3687">
        <f>G47</f>
        <v>93066</v>
      </c>
      <c r="U47" s="3687"/>
      <c r="V47" s="3687">
        <f>I47</f>
        <v>97384</v>
      </c>
      <c r="W47" s="3687"/>
      <c r="X47" s="690"/>
      <c r="Y47" s="712"/>
      <c r="Z47" s="690"/>
      <c r="AA47" s="690"/>
      <c r="AB47" s="690"/>
      <c r="AC47" s="690"/>
    </row>
    <row r="48" spans="1:29" ht="15" thickBot="1">
      <c r="A48" s="437" t="s">
        <v>1792</v>
      </c>
      <c r="B48" s="438"/>
      <c r="C48" s="1160">
        <f>R49</f>
        <v>79533</v>
      </c>
      <c r="D48" s="2317" t="s">
        <v>2137</v>
      </c>
      <c r="E48" s="1161">
        <f>R48</f>
        <v>78630</v>
      </c>
      <c r="F48" s="2318"/>
      <c r="G48" s="1160">
        <f>T48</f>
        <v>78098</v>
      </c>
      <c r="H48" s="2318"/>
      <c r="I48" s="1161">
        <f>V48</f>
        <v>81872</v>
      </c>
      <c r="J48" s="2318"/>
      <c r="K48" s="2320">
        <f>F48+H48+J48</f>
        <v>0</v>
      </c>
      <c r="L48" s="2719">
        <v>0.9</v>
      </c>
      <c r="M48" s="2720"/>
      <c r="N48" s="2711"/>
      <c r="O48" s="2720"/>
      <c r="P48" s="3673" t="str">
        <f>A48</f>
        <v>比较价值（元/平方米）</v>
      </c>
      <c r="Q48" s="3673"/>
      <c r="R48" s="3674">
        <f>IF(F1="售价",ROUND(PRODUCT(R47,AA7:AA46),0),ROUND(PRODUCT(R47,AA7:AA46),1))</f>
        <v>78630</v>
      </c>
      <c r="S48" s="3674"/>
      <c r="T48" s="3674">
        <f>IF(F1="售价",ROUND(PRODUCT(T47,AB7:AB46),0),ROUND(PRODUCT(T47,AB7:AB46),1))</f>
        <v>78098</v>
      </c>
      <c r="U48" s="3674"/>
      <c r="V48" s="3674">
        <f>IF(F1="售价",ROUND(PRODUCT(V47,AC7:AC46),0),ROUND(PRODUCT(V47,AC7:AC46),1))</f>
        <v>81872</v>
      </c>
      <c r="W48" s="3674"/>
      <c r="X48" s="690"/>
      <c r="Y48" s="690"/>
      <c r="Z48" s="690"/>
      <c r="AA48" s="690"/>
      <c r="AB48" s="690"/>
      <c r="AC48" s="690"/>
    </row>
    <row r="49" spans="1:29" ht="15" thickBot="1">
      <c r="A49" s="441" t="s">
        <v>1793</v>
      </c>
      <c r="B49" s="442"/>
      <c r="C49" s="1163">
        <f>R49</f>
        <v>79533</v>
      </c>
      <c r="D49" s="1163"/>
      <c r="E49" s="1163"/>
      <c r="F49" s="1163"/>
      <c r="G49" s="1163"/>
      <c r="H49" s="1163"/>
      <c r="I49" s="1163"/>
      <c r="J49" s="1163"/>
      <c r="K49" s="715"/>
      <c r="L49" s="2719"/>
      <c r="M49" s="2720"/>
      <c r="N49" s="2711"/>
      <c r="O49" s="2720"/>
      <c r="P49" s="3675" t="str">
        <f>A49</f>
        <v>估价对象XX用房的比较价值（楼面单价，元/平方米）</v>
      </c>
      <c r="Q49" s="3676"/>
      <c r="R49" s="3677">
        <f>IF(F1="售价",ROUND(IF(D48="简单平均",AVERAGE(R48:V48),R48*F48+T48*H48+V48*J48),0),ROUND(IF(D48="简单平均",AVERAGE(R48:V48),R48*F48+T48*H48+V48*J48),1))</f>
        <v>79533</v>
      </c>
      <c r="S49" s="3677"/>
      <c r="T49" s="3677"/>
      <c r="U49" s="3677"/>
      <c r="V49" s="3677"/>
      <c r="W49" s="367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1794</v>
      </c>
      <c r="D52" s="447"/>
      <c r="E52" s="448">
        <f>IF(E47&lt;E48,E48/E47-1,E47/E48-1)</f>
        <v>0.1444995548772734</v>
      </c>
      <c r="F52" s="449" t="str">
        <f>IF(OR(E52&gt;=0.3,E52&lt;=-0.3),"超过30%","")</f>
        <v/>
      </c>
      <c r="G52" s="448">
        <f>IF(G47&lt;G48,G48/G47-1,G47/G48-1)</f>
        <v>0.19165663653358611</v>
      </c>
      <c r="H52" s="449" t="str">
        <f>IF(OR(G52&gt;=0.3,G52&lt;=-0.3),"超过30%","")</f>
        <v/>
      </c>
      <c r="I52" s="448">
        <f>IF(I47&lt;I48,I48/I47-1,I47/I48-1)</f>
        <v>0.18946648426812596</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1795</v>
      </c>
      <c r="D53" s="450"/>
      <c r="E53" s="448">
        <f>IF(E48&lt;G48,G48/E48-1,E48/G48-1)</f>
        <v>6.8119542113753706E-3</v>
      </c>
      <c r="F53" s="449" t="str">
        <f>IF(OR(E53&gt;=0.2,E53&lt;=-0.2),"超过20%","")</f>
        <v/>
      </c>
      <c r="G53" s="448">
        <f>IF(G48&lt;I48,I48/G48-1,G48/I48-1)</f>
        <v>4.8323900740095738E-2</v>
      </c>
      <c r="H53" s="449" t="str">
        <f>IF(OR(G53&gt;=0.2,G53&lt;=-0.2),"超过20%","")</f>
        <v/>
      </c>
      <c r="I53" s="448">
        <f>IF(I48&lt;E48,E48/I48-1,I48/E48-1)</f>
        <v>4.1231082284115539E-2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1796</v>
      </c>
      <c r="D54" s="450"/>
      <c r="E54" s="448">
        <f>IF(E47&lt;G47,G47/E47-1,E47/G47-1)</f>
        <v>3.4158591874833277E-2</v>
      </c>
      <c r="F54" s="449" t="str">
        <f>IF(OR(E54&gt;=0.3,E54&lt;=-0.3),"超过30%","")</f>
        <v/>
      </c>
      <c r="G54" s="448">
        <f>IF(G47&lt;I47,I47/G47-1,G47/I47-1)</f>
        <v>4.6397180495562296E-2</v>
      </c>
      <c r="H54" s="449" t="str">
        <f>IF(OR(G54&gt;=0.3,G54&lt;=-0.3),"超过30%","")</f>
        <v/>
      </c>
      <c r="I54" s="448">
        <f>IF(I47&lt;E47,E47/I47-1,I47/E47-1)</f>
        <v>8.2140634723086414E-2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2.2" thickBot="1">
      <c r="A57" s="694" t="s">
        <v>1797</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4.4">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5"/>
      <c r="Q58" s="2736"/>
      <c r="R58" s="2736"/>
      <c r="S58" s="2736"/>
      <c r="T58" s="2736"/>
      <c r="U58" s="2736"/>
      <c r="V58" s="2736"/>
      <c r="W58" s="2736"/>
      <c r="X58" s="2736"/>
      <c r="Y58" s="2736"/>
      <c r="Z58" s="2736"/>
      <c r="AA58" s="2736"/>
      <c r="AB58" s="2736"/>
      <c r="AC58" s="2736"/>
    </row>
    <row r="59" spans="1:29" s="108" customFormat="1">
      <c r="A59" s="458"/>
      <c r="B59" s="459"/>
      <c r="C59" s="1183">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 thickBot="1">
      <c r="A60" s="464" t="s">
        <v>1715</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4.4">
      <c r="A61" s="470" t="s">
        <v>1680</v>
      </c>
      <c r="B61" s="459"/>
      <c r="C61" s="471" t="s">
        <v>1775</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4.4"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ht="14.4">
      <c r="A63" s="476" t="s">
        <v>1718</v>
      </c>
      <c r="B63" s="477" t="s">
        <v>1684</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4.4"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9.4" thickTop="1">
      <c r="A65" s="483"/>
      <c r="B65" s="487" t="s">
        <v>1687</v>
      </c>
      <c r="C65" s="532" t="s">
        <v>3442</v>
      </c>
      <c r="D65" s="532" t="s">
        <v>3443</v>
      </c>
      <c r="E65" s="532" t="s">
        <v>3444</v>
      </c>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4.4" thickBot="1">
      <c r="A66" s="483"/>
      <c r="B66" s="492"/>
      <c r="C66" s="485">
        <v>100</v>
      </c>
      <c r="D66" s="485">
        <v>95</v>
      </c>
      <c r="E66" s="485">
        <v>90</v>
      </c>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c r="A68" s="483"/>
      <c r="B68" s="497"/>
      <c r="C68" s="498">
        <v>0</v>
      </c>
      <c r="D68" s="498">
        <v>1</v>
      </c>
      <c r="E68" s="498">
        <v>2</v>
      </c>
      <c r="F68" s="498">
        <v>3</v>
      </c>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4.4"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4.4"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4.4"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4.4"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4.4"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4.4"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ht="14.4">
      <c r="A76" s="476" t="s">
        <v>1689</v>
      </c>
      <c r="B76" s="477" t="s">
        <v>1719</v>
      </c>
      <c r="C76" s="522" t="s">
        <v>1720</v>
      </c>
      <c r="D76" s="522" t="s">
        <v>1721</v>
      </c>
      <c r="E76" s="522" t="s">
        <v>1722</v>
      </c>
      <c r="F76" s="522" t="s">
        <v>1723</v>
      </c>
      <c r="G76" s="522" t="s">
        <v>1724</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4.4" thickBot="1">
      <c r="A77" s="483"/>
      <c r="B77" s="492"/>
      <c r="C77" s="493">
        <v>100</v>
      </c>
      <c r="D77" s="493">
        <f>C77-$K15</f>
        <v>95</v>
      </c>
      <c r="E77" s="493">
        <f>D77-$K15</f>
        <v>90</v>
      </c>
      <c r="F77" s="493">
        <f>E77-$K15</f>
        <v>85</v>
      </c>
      <c r="G77" s="493">
        <f>F77-$K15</f>
        <v>80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 thickTop="1">
      <c r="A78" s="483"/>
      <c r="B78" s="487" t="s">
        <v>1725</v>
      </c>
      <c r="C78" s="527" t="s">
        <v>1720</v>
      </c>
      <c r="D78" s="527" t="s">
        <v>1721</v>
      </c>
      <c r="E78" s="527" t="s">
        <v>1722</v>
      </c>
      <c r="F78" s="527" t="s">
        <v>1723</v>
      </c>
      <c r="G78" s="527" t="s">
        <v>1724</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4.4"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 thickTop="1">
      <c r="A80" s="483"/>
      <c r="B80" s="487" t="s">
        <v>1726</v>
      </c>
      <c r="C80" s="527" t="s">
        <v>1720</v>
      </c>
      <c r="D80" s="527" t="s">
        <v>1721</v>
      </c>
      <c r="E80" s="527" t="s">
        <v>1722</v>
      </c>
      <c r="F80" s="527" t="s">
        <v>1723</v>
      </c>
      <c r="G80" s="527" t="s">
        <v>1724</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4.4"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 thickTop="1">
      <c r="A82" s="483"/>
      <c r="B82" s="495" t="s">
        <v>1778</v>
      </c>
      <c r="C82" s="608" t="s">
        <v>1798</v>
      </c>
      <c r="D82" s="608" t="s">
        <v>1799</v>
      </c>
      <c r="E82" s="608" t="s">
        <v>1800</v>
      </c>
      <c r="F82" s="608" t="s">
        <v>1801</v>
      </c>
      <c r="G82" s="608" t="s">
        <v>1802</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 thickTop="1">
      <c r="A84" s="483"/>
      <c r="B84" s="487" t="s">
        <v>1732</v>
      </c>
      <c r="C84" s="527" t="s">
        <v>1720</v>
      </c>
      <c r="D84" s="527" t="s">
        <v>1721</v>
      </c>
      <c r="E84" s="527" t="s">
        <v>1722</v>
      </c>
      <c r="F84" s="527" t="s">
        <v>1723</v>
      </c>
      <c r="G84" s="527" t="s">
        <v>1724</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4.4"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 thickTop="1">
      <c r="A86" s="528"/>
      <c r="B86" s="487" t="s">
        <v>1803</v>
      </c>
      <c r="C86" s="3467" t="s">
        <v>3445</v>
      </c>
      <c r="D86" s="3467" t="s">
        <v>3446</v>
      </c>
      <c r="E86" s="3467" t="s">
        <v>3448</v>
      </c>
      <c r="F86" s="3467" t="s">
        <v>3449</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4.4"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 thickTop="1">
      <c r="A88" s="528"/>
      <c r="B88" s="487" t="str">
        <f>B26</f>
        <v>平面位置/可视性</v>
      </c>
      <c r="C88" s="3467" t="str">
        <f t="shared" ref="C88:G89" si="21">C84</f>
        <v>好</v>
      </c>
      <c r="D88" s="3467" t="str">
        <f t="shared" si="21"/>
        <v>较好</v>
      </c>
      <c r="E88" s="3467" t="str">
        <f t="shared" si="21"/>
        <v>一般</v>
      </c>
      <c r="F88" s="3467" t="str">
        <f t="shared" si="21"/>
        <v>较差</v>
      </c>
      <c r="G88" s="3467" t="str">
        <f t="shared" si="21"/>
        <v>差</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4.4" thickBot="1">
      <c r="A89" s="528"/>
      <c r="B89" s="492"/>
      <c r="C89" s="509">
        <f t="shared" si="21"/>
        <v>100</v>
      </c>
      <c r="D89" s="509">
        <f t="shared" si="21"/>
        <v>98</v>
      </c>
      <c r="E89" s="509">
        <f t="shared" si="21"/>
        <v>96</v>
      </c>
      <c r="F89" s="509">
        <f t="shared" si="21"/>
        <v>94</v>
      </c>
      <c r="G89" s="509">
        <f t="shared" si="21"/>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 thickTop="1">
      <c r="A90" s="502"/>
      <c r="B90" s="487" t="str">
        <f>B27</f>
        <v>人流量</v>
      </c>
      <c r="C90" s="3467" t="s">
        <v>3451</v>
      </c>
      <c r="D90" s="3467" t="s">
        <v>3453</v>
      </c>
      <c r="E90" s="3467" t="s">
        <v>3454</v>
      </c>
      <c r="F90" s="3467" t="s">
        <v>3455</v>
      </c>
      <c r="G90" s="3467" t="s">
        <v>3456</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4.4"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0"/>
      <c r="O91" s="2750"/>
      <c r="P91" s="2740"/>
      <c r="Q91" s="2741"/>
      <c r="R91" s="2742"/>
      <c r="S91" s="2742"/>
      <c r="T91" s="2742"/>
      <c r="U91" s="2742"/>
      <c r="V91" s="2742"/>
      <c r="W91" s="2742"/>
      <c r="X91" s="2742"/>
      <c r="Y91" s="2742"/>
      <c r="Z91" s="2742"/>
      <c r="AA91" s="2742"/>
      <c r="AB91" s="2742"/>
      <c r="AC91" s="2742"/>
    </row>
    <row r="92" spans="1:29" ht="15" thickTop="1">
      <c r="A92" s="483"/>
      <c r="B92" s="487" t="str">
        <f>B28</f>
        <v>楼层</v>
      </c>
      <c r="C92" s="503" t="s">
        <v>3457</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4.4"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4.4"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4.4"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4.4"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4.4"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4.4"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4.4" thickBot="1">
      <c r="A99" s="1928"/>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ht="14.4">
      <c r="A100" s="476" t="s">
        <v>1693</v>
      </c>
      <c r="B100" s="477" t="s">
        <v>1804</v>
      </c>
      <c r="C100" s="3468" t="s">
        <v>3458</v>
      </c>
      <c r="D100" s="3468" t="s">
        <v>3459</v>
      </c>
      <c r="E100" s="3468" t="s">
        <v>3461</v>
      </c>
      <c r="F100" s="3468" t="s">
        <v>3463</v>
      </c>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4.4"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9"/>
      <c r="O101" s="2749"/>
      <c r="P101" s="2739"/>
      <c r="Q101" s="2734"/>
      <c r="R101" s="2720"/>
      <c r="S101" s="2720"/>
      <c r="T101" s="2720"/>
      <c r="U101" s="2720"/>
      <c r="V101" s="2720"/>
      <c r="W101" s="2720"/>
      <c r="X101" s="2720"/>
      <c r="Y101" s="2720"/>
      <c r="Z101" s="2720"/>
      <c r="AA101" s="2720"/>
      <c r="AB101" s="2720"/>
      <c r="AC101" s="2720"/>
    </row>
    <row r="102" spans="1:29" ht="28.2" thickTop="1">
      <c r="A102" s="483"/>
      <c r="B102" s="487" t="s">
        <v>1736</v>
      </c>
      <c r="C102" s="527" t="str">
        <f>C103&amp;"(含)"&amp;"-"&amp;D103</f>
        <v>0(含)-200</v>
      </c>
      <c r="D102" s="527" t="str">
        <f t="shared" ref="D102:L102" si="24">D103&amp;"(含)"&amp;"-"&amp;E103</f>
        <v>200(含)-500</v>
      </c>
      <c r="E102" s="527" t="str">
        <f t="shared" si="24"/>
        <v>500(含)-1000</v>
      </c>
      <c r="F102" s="527" t="str">
        <f t="shared" si="24"/>
        <v>1000(含)-1500</v>
      </c>
      <c r="G102" s="527" t="str">
        <f t="shared" si="24"/>
        <v>1500(含)-</v>
      </c>
      <c r="H102" s="527" t="str">
        <f t="shared" si="24"/>
        <v>(含)-</v>
      </c>
      <c r="I102" s="527" t="str">
        <f t="shared" si="24"/>
        <v>(含)-</v>
      </c>
      <c r="J102" s="527" t="str">
        <f t="shared" si="24"/>
        <v>(含)-</v>
      </c>
      <c r="K102" s="527" t="str">
        <f t="shared" si="24"/>
        <v>(含)-</v>
      </c>
      <c r="L102" s="527" t="str">
        <f t="shared" si="24"/>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200</v>
      </c>
      <c r="E103" s="544">
        <v>500</v>
      </c>
      <c r="F103" s="544">
        <v>1000</v>
      </c>
      <c r="G103" s="544">
        <v>1500</v>
      </c>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4.4" thickBot="1">
      <c r="A104" s="502"/>
      <c r="B104" s="492"/>
      <c r="C104" s="509">
        <v>100</v>
      </c>
      <c r="D104" s="3831">
        <v>95</v>
      </c>
      <c r="E104" s="485">
        <f>D104-2</f>
        <v>93</v>
      </c>
      <c r="F104" s="485">
        <f>E104-2</f>
        <v>91</v>
      </c>
      <c r="G104" s="485">
        <f>F104-2</f>
        <v>89</v>
      </c>
      <c r="H104" s="485">
        <v>90</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1737</v>
      </c>
      <c r="C105" s="3467" t="s">
        <v>3464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1739</v>
      </c>
      <c r="C107" s="3467" t="s">
        <v>3466</v>
      </c>
      <c r="D107" s="3467" t="s">
        <v>3468</v>
      </c>
      <c r="E107" s="3467" t="s">
        <v>3469</v>
      </c>
      <c r="F107" s="3469" t="s">
        <v>3470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4.4"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4.4"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1805</v>
      </c>
      <c r="C114" s="3467" t="s">
        <v>3471</v>
      </c>
      <c r="D114" s="3467" t="s">
        <v>3473</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4.4"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1806</v>
      </c>
      <c r="C116" s="3467" t="s">
        <v>3474</v>
      </c>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1807</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4.4"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1808</v>
      </c>
      <c r="C120" s="3469" t="s">
        <v>3475</v>
      </c>
      <c r="D120" s="3469" t="s">
        <v>3477</v>
      </c>
      <c r="E120" s="3469" t="s">
        <v>3454</v>
      </c>
      <c r="F120" s="3469" t="s">
        <v>3478</v>
      </c>
      <c r="G120" s="3470" t="s">
        <v>3479</v>
      </c>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4.4"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9"/>
      <c r="O123" s="2749"/>
      <c r="P123" s="2739"/>
      <c r="Q123" s="2734"/>
      <c r="R123" s="2720"/>
      <c r="S123" s="2720"/>
      <c r="T123" s="2720"/>
      <c r="U123" s="2720"/>
      <c r="V123" s="2720"/>
      <c r="W123" s="2720"/>
      <c r="X123" s="2720"/>
      <c r="Y123" s="2720"/>
      <c r="Z123" s="2720"/>
      <c r="AA123" s="2720"/>
      <c r="AB123" s="2720"/>
      <c r="AC123" s="2720"/>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4.4"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4.4"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4.4"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4.4"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4.4"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4.4" thickBot="1">
      <c r="A131" s="1928"/>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北京市崇文区珠市口东大街14号1-C房地产抵押价值预评估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t="str">
        <f>项目基本情况!B5</f>
        <v>工行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B6" sqref="B6"/>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2"/>
      <c r="G1" s="1489"/>
      <c r="H1" s="1489"/>
      <c r="I1" s="1489"/>
      <c r="J1" s="1489"/>
      <c r="K1" s="1489"/>
      <c r="L1" s="1489"/>
      <c r="M1" s="1489"/>
      <c r="N1" s="1489"/>
      <c r="O1" s="1489"/>
      <c r="P1" s="1489"/>
      <c r="Q1" s="1489"/>
      <c r="R1" s="1489"/>
      <c r="S1" s="1489"/>
    </row>
    <row r="2" spans="1:22" ht="15.6">
      <c r="A2" s="1870" t="s">
        <v>1461</v>
      </c>
      <c r="B2" s="1871">
        <f ca="1">SUMIF(B6:B13,"&lt;&gt;#ref!",B6:B13)</f>
        <v>5174.5572000000002</v>
      </c>
      <c r="C2" s="1872" t="s">
        <v>1650</v>
      </c>
      <c r="D2" s="1873" t="s">
        <v>1651</v>
      </c>
      <c r="E2" s="2602">
        <f>SUM(E6:E13)</f>
        <v>1139.1299999999999</v>
      </c>
      <c r="F2" s="2702"/>
      <c r="G2" s="1489"/>
      <c r="H2" s="1489"/>
      <c r="I2" s="1489"/>
      <c r="J2" s="1489"/>
      <c r="K2" s="1489"/>
      <c r="L2" s="1489"/>
      <c r="M2" s="1489"/>
      <c r="N2" s="1489"/>
      <c r="O2" s="1489"/>
      <c r="P2" s="1489"/>
      <c r="Q2" s="1489"/>
      <c r="R2" s="1489"/>
      <c r="S2" s="1489"/>
    </row>
    <row r="3" spans="1:22" ht="15.6">
      <c r="A3" s="1870" t="s">
        <v>686</v>
      </c>
      <c r="B3" s="2596">
        <f ca="1">ROUND(B2*10000/E2,0)</f>
        <v>45426</v>
      </c>
      <c r="C3" s="1872" t="s">
        <v>1658</v>
      </c>
      <c r="D3" s="2704"/>
      <c r="E3" s="2706"/>
      <c r="F3" s="2702"/>
      <c r="G3" s="1489"/>
      <c r="H3" s="1489"/>
      <c r="I3" s="1489"/>
      <c r="J3" s="1489"/>
      <c r="K3" s="1489"/>
      <c r="L3" s="1489"/>
      <c r="M3" s="1489"/>
      <c r="N3" s="1489"/>
      <c r="O3" s="1489"/>
      <c r="P3" s="1489"/>
      <c r="Q3" s="1489"/>
      <c r="R3" s="1489"/>
      <c r="S3" s="1489"/>
    </row>
    <row r="4" spans="1:22" ht="15.6">
      <c r="A4" s="2707"/>
      <c r="B4" s="2704"/>
      <c r="C4" s="2704"/>
      <c r="D4" s="2704"/>
      <c r="E4" s="2706"/>
      <c r="F4" s="2702"/>
      <c r="G4" s="1489"/>
      <c r="H4" s="1489"/>
      <c r="I4" s="1489"/>
      <c r="J4" s="1489"/>
      <c r="K4" s="1489"/>
      <c r="L4" s="1489"/>
      <c r="M4" s="1489"/>
      <c r="N4" s="1489"/>
      <c r="O4" s="1489"/>
      <c r="P4" s="1489"/>
      <c r="Q4" s="1489"/>
      <c r="R4" s="1489"/>
      <c r="S4" s="1489"/>
    </row>
    <row r="5" spans="1:22" ht="14.4">
      <c r="A5" s="2598" t="s">
        <v>1652</v>
      </c>
      <c r="B5" s="3720" t="s">
        <v>1653</v>
      </c>
      <c r="C5" s="3721"/>
      <c r="D5" s="2703"/>
      <c r="E5" s="1874" t="s">
        <v>1654</v>
      </c>
      <c r="F5" s="1875" t="s">
        <v>1655</v>
      </c>
      <c r="G5" s="1489"/>
      <c r="H5" s="1489"/>
      <c r="I5" s="1489"/>
      <c r="J5" s="1489"/>
      <c r="K5" s="1489"/>
      <c r="L5" s="1489"/>
      <c r="M5" s="1489"/>
      <c r="N5" s="1489"/>
      <c r="O5" s="1489"/>
      <c r="P5" s="1489"/>
      <c r="Q5" s="1489"/>
      <c r="R5" s="1489"/>
      <c r="S5" s="1489"/>
    </row>
    <row r="6" spans="1:22" ht="14.4">
      <c r="A6" s="2599" t="str">
        <f>'数据-取费表'!AN6</f>
        <v>收益法-北京银行</v>
      </c>
      <c r="B6" s="2597">
        <f ca="1">IF(F6="是",'数据-取费表'!AO6,0)</f>
        <v>4876.6448</v>
      </c>
      <c r="C6" s="1872" t="s">
        <v>1650</v>
      </c>
      <c r="D6" s="2704"/>
      <c r="E6" s="2601">
        <f>IF(OR(A6=0,F6="否"),0,'数据-取费表'!K6+'数据-取费表'!S6)</f>
        <v>1077.56</v>
      </c>
      <c r="F6" s="1876" t="s">
        <v>1656</v>
      </c>
      <c r="G6" s="1489"/>
      <c r="H6" s="1489"/>
      <c r="I6" s="1489"/>
      <c r="J6" s="1489"/>
      <c r="K6" s="1489"/>
      <c r="L6" s="1489"/>
      <c r="M6" s="1489"/>
      <c r="N6" s="1489"/>
      <c r="O6" s="1489"/>
      <c r="P6" s="1489"/>
      <c r="Q6" s="1489"/>
      <c r="R6" s="1489"/>
      <c r="S6" s="1489"/>
    </row>
    <row r="7" spans="1:22" ht="14.4">
      <c r="A7" s="2599" t="str">
        <f>'数据-取费表'!AN7</f>
        <v>收益法-其他</v>
      </c>
      <c r="B7" s="2597">
        <f ca="1">IF(F7="是",'数据-取费表'!AO7,0)</f>
        <v>297.91239999999999</v>
      </c>
      <c r="C7" s="1872" t="s">
        <v>1650</v>
      </c>
      <c r="D7" s="2704"/>
      <c r="E7" s="2601">
        <f>IF(OR(A7=0,F7="否"),0,'数据-取费表'!K7+'数据-取费表'!S7)</f>
        <v>61.57</v>
      </c>
      <c r="F7" s="1876" t="s">
        <v>1656</v>
      </c>
      <c r="G7" s="1489"/>
      <c r="H7" s="1489"/>
      <c r="I7" s="1489"/>
      <c r="J7" s="1489"/>
      <c r="K7" s="1489"/>
      <c r="L7" s="1489"/>
      <c r="M7" s="1489"/>
      <c r="N7" s="1489"/>
      <c r="O7" s="1489"/>
      <c r="P7" s="1489"/>
      <c r="Q7" s="1489"/>
      <c r="R7" s="1489"/>
      <c r="S7" s="1489"/>
    </row>
    <row r="8" spans="1:22" ht="14.4">
      <c r="A8" s="2599">
        <f>'数据-取费表'!AN8</f>
        <v>0</v>
      </c>
      <c r="B8" s="2597">
        <f>IF(F8="是",'数据-取费表'!AO8,0)</f>
        <v>0</v>
      </c>
      <c r="C8" s="1872" t="s">
        <v>1650</v>
      </c>
      <c r="D8" s="2704"/>
      <c r="E8" s="2601">
        <f>IF(OR(A8=0,F8="否"),0,'数据-取费表'!K8+'数据-取费表'!S8)</f>
        <v>0</v>
      </c>
      <c r="F8" s="1876"/>
      <c r="G8" s="1489"/>
      <c r="H8" s="1489"/>
      <c r="I8" s="1489"/>
      <c r="J8" s="1489"/>
      <c r="K8" s="1489"/>
      <c r="L8" s="1489"/>
      <c r="M8" s="1489"/>
      <c r="N8" s="1489"/>
      <c r="O8" s="1489"/>
      <c r="P8" s="1489"/>
      <c r="Q8" s="1489"/>
      <c r="R8" s="1489"/>
      <c r="S8" s="1489"/>
    </row>
    <row r="9" spans="1:22" ht="14.4">
      <c r="A9" s="2599">
        <f>'数据-取费表'!AN9</f>
        <v>0</v>
      </c>
      <c r="B9" s="2597">
        <f>IF(F9="是",'数据-取费表'!AO9,0)</f>
        <v>0</v>
      </c>
      <c r="C9" s="1872" t="s">
        <v>1650</v>
      </c>
      <c r="D9" s="2704"/>
      <c r="E9" s="2601">
        <f>IF(OR(A9=0,F9="否"),0,'数据-取费表'!K9+'数据-取费表'!S9)</f>
        <v>0</v>
      </c>
      <c r="F9" s="1876"/>
      <c r="G9" s="1489"/>
      <c r="H9" s="1489"/>
      <c r="I9" s="1489"/>
      <c r="J9" s="1489"/>
      <c r="K9" s="1489"/>
      <c r="L9" s="1489"/>
      <c r="M9" s="1489"/>
      <c r="N9" s="1489"/>
      <c r="O9" s="1489"/>
      <c r="P9" s="1489"/>
      <c r="Q9" s="1489"/>
      <c r="R9" s="1489"/>
      <c r="S9" s="1489"/>
    </row>
    <row r="10" spans="1:22" ht="14.4">
      <c r="A10" s="2599">
        <f>'数据-取费表'!AN10</f>
        <v>0</v>
      </c>
      <c r="B10" s="2597">
        <f>IF(F10="是",'数据-取费表'!AO10,0)</f>
        <v>0</v>
      </c>
      <c r="C10" s="1872" t="s">
        <v>1650</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ht="14.4">
      <c r="A11" s="2599">
        <f>'数据-取费表'!AN11</f>
        <v>0</v>
      </c>
      <c r="B11" s="2597">
        <f>IF(F11="是",'数据-取费表'!AO11,0)</f>
        <v>0</v>
      </c>
      <c r="C11" s="1872" t="s">
        <v>1650</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ht="14.4">
      <c r="A12" s="2599">
        <f>'数据-取费表'!AN12</f>
        <v>0</v>
      </c>
      <c r="B12" s="2597">
        <f>IF(F12="是",'数据-取费表'!AO12,0)</f>
        <v>0</v>
      </c>
      <c r="C12" s="1872" t="s">
        <v>1650</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1650</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B2" sqref="B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3492</v>
      </c>
      <c r="D1" s="1362" t="s">
        <v>43</v>
      </c>
      <c r="E1" s="1363" t="s">
        <v>678</v>
      </c>
      <c r="F1" s="1062">
        <f ca="1">J53</f>
        <v>18.3</v>
      </c>
      <c r="G1" s="1378">
        <f>MATCH(C1,'数据-取费表'!A6:A16,0)+5</f>
        <v>6</v>
      </c>
      <c r="H1" s="2687"/>
      <c r="I1" s="3489">
        <f ca="1">C40+J29</f>
        <v>4789</v>
      </c>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4874</v>
      </c>
      <c r="C2" s="1387" t="s">
        <v>805</v>
      </c>
      <c r="D2" s="1387"/>
      <c r="E2" s="1388"/>
      <c r="F2" s="1389"/>
      <c r="G2" s="2701"/>
      <c r="H2" s="2690"/>
      <c r="I2" s="2690"/>
      <c r="J2" s="2690"/>
      <c r="K2" s="2691"/>
      <c r="L2" s="2690"/>
      <c r="M2" s="2690"/>
    </row>
    <row r="3" spans="1:37" ht="18" customHeight="1" thickBot="1">
      <c r="A3" s="1390" t="s">
        <v>806</v>
      </c>
      <c r="B3" s="1391">
        <f ca="1">IF(ISERROR(B2*10000/F43),0,ROUND(B2*10000/F43,0))</f>
        <v>45232</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402</v>
      </c>
      <c r="D5" s="1364" t="s">
        <v>693</v>
      </c>
      <c r="E5" s="1071"/>
      <c r="F5" s="1072"/>
      <c r="G5" s="1384"/>
      <c r="H5" s="299">
        <v>1</v>
      </c>
      <c r="I5" s="300" t="s">
        <v>692</v>
      </c>
      <c r="J5" s="1070">
        <f ca="1">J6+J10+J12</f>
        <v>543</v>
      </c>
      <c r="K5" s="1364" t="s">
        <v>693</v>
      </c>
      <c r="L5" s="1071"/>
      <c r="M5" s="1072"/>
    </row>
    <row r="6" spans="1:37" ht="18" customHeight="1">
      <c r="A6" s="1069" t="s">
        <v>398</v>
      </c>
      <c r="B6" s="3724" t="s">
        <v>694</v>
      </c>
      <c r="C6" s="1074">
        <f ca="1">ROUND(F6*F8*F7*(1-F9)/10000,0)</f>
        <v>401</v>
      </c>
      <c r="D6" s="155" t="s">
        <v>2108</v>
      </c>
      <c r="E6" s="302" t="s">
        <v>696</v>
      </c>
      <c r="F6" s="303">
        <f ca="1">INDIRECT("'数据-取费表'!u"&amp;$G$1)</f>
        <v>10.199999999999999</v>
      </c>
      <c r="G6" s="1384"/>
      <c r="H6" s="1069" t="s">
        <v>398</v>
      </c>
      <c r="I6" s="3724" t="s">
        <v>694</v>
      </c>
      <c r="J6" s="301">
        <f ca="1">ROUND(M6*M8*M7*(1-M9)/10000,0)</f>
        <v>542</v>
      </c>
      <c r="K6" s="155" t="s">
        <v>2107</v>
      </c>
      <c r="L6" s="302" t="s">
        <v>696</v>
      </c>
      <c r="M6" s="303">
        <f ca="1">INDIRECT("'数据-取费表'!z"&amp;$G$1)</f>
        <v>14.5</v>
      </c>
    </row>
    <row r="7" spans="1:37" ht="18" customHeight="1">
      <c r="A7" s="1073"/>
      <c r="B7" s="3725"/>
      <c r="C7" s="1075"/>
      <c r="D7" s="307"/>
      <c r="E7" s="1076" t="s">
        <v>697</v>
      </c>
      <c r="F7" s="303">
        <f ca="1">IF(INDIRECT("'数据-取费表'!ah"&amp;$G$1)="",INDIRECT("'数据-取费表'!k"&amp;$G$1),INDIRECT("'数据-取费表'!ah"&amp;$G$1))</f>
        <v>1077.56</v>
      </c>
      <c r="G7" s="1384"/>
      <c r="H7" s="304"/>
      <c r="I7" s="3725"/>
      <c r="J7" s="306"/>
      <c r="K7" s="307"/>
      <c r="L7" s="302" t="s">
        <v>697</v>
      </c>
      <c r="M7" s="303">
        <f ca="1">F7</f>
        <v>1077.56</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v>
      </c>
      <c r="G9" s="1384"/>
      <c r="H9" s="304"/>
      <c r="I9" s="3726"/>
      <c r="J9" s="306"/>
      <c r="K9" s="307"/>
      <c r="L9" s="313" t="s">
        <v>699</v>
      </c>
      <c r="M9" s="314">
        <f ca="1">INDIRECT("'数据-取费表'!ab"&amp;$G$1)</f>
        <v>0.05</v>
      </c>
    </row>
    <row r="10" spans="1:37" ht="18" customHeight="1">
      <c r="A10" s="1069" t="s">
        <v>402</v>
      </c>
      <c r="B10" s="1365" t="s">
        <v>700</v>
      </c>
      <c r="C10" s="316">
        <f ca="1">ROUND(IF(F10="押一",C6/12*F11,IF(F10="押二",C6/12*2*F11,IF(F10="押三",C6/12*3*F11,C11*F11))),0)</f>
        <v>1</v>
      </c>
      <c r="D10" s="1366" t="s">
        <v>2116</v>
      </c>
      <c r="E10" s="313" t="s">
        <v>701</v>
      </c>
      <c r="F10" s="1116" t="s">
        <v>3391</v>
      </c>
      <c r="G10" s="1384"/>
      <c r="H10" s="1069" t="s">
        <v>402</v>
      </c>
      <c r="I10" s="1365" t="s">
        <v>700</v>
      </c>
      <c r="J10" s="301">
        <f ca="1">ROUND(IF(M10="押一",J6/12*M11,IF(M10="押二",J6/12*2*M11,IF(M10="押三",J6/12*3*M11,J11*M11))),0)</f>
        <v>1</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683</v>
      </c>
      <c r="D13" s="1081" t="s">
        <v>705</v>
      </c>
      <c r="E13" s="1081" t="s">
        <v>706</v>
      </c>
      <c r="F13" s="1082">
        <f ca="1">INDIRECT("'数据-取费表'!y"&amp;$G$1)</f>
        <v>0.85</v>
      </c>
      <c r="G13" s="1384"/>
      <c r="H13" s="1079">
        <v>2</v>
      </c>
      <c r="I13" s="1080" t="s">
        <v>704</v>
      </c>
      <c r="J13" s="1068">
        <f ca="1">ROUND(J14*J15,0)</f>
        <v>634</v>
      </c>
      <c r="K13" s="1087" t="s">
        <v>705</v>
      </c>
      <c r="L13" s="1392"/>
      <c r="M13" s="1393"/>
    </row>
    <row r="14" spans="1:37" ht="18" customHeight="1">
      <c r="A14" s="982" t="s">
        <v>397</v>
      </c>
      <c r="B14" s="302" t="s">
        <v>707</v>
      </c>
      <c r="C14" s="318">
        <f ca="1">INDIRECT("'数据-取费表'!m"&amp;$G$1)+INDIRECT("'数据-取费表'!t"&amp;$G$1)</f>
        <v>539</v>
      </c>
      <c r="D14" s="1345" t="s">
        <v>708</v>
      </c>
      <c r="E14" s="1342"/>
      <c r="F14" s="319"/>
      <c r="G14" s="1384"/>
      <c r="H14" s="982" t="s">
        <v>398</v>
      </c>
      <c r="I14" s="302" t="s">
        <v>709</v>
      </c>
      <c r="J14" s="21">
        <f ca="1">C29</f>
        <v>803</v>
      </c>
      <c r="K14" s="12"/>
      <c r="L14" s="807"/>
      <c r="M14" s="808"/>
    </row>
    <row r="15" spans="1:37" s="1397" customFormat="1" ht="18" customHeight="1" thickBot="1">
      <c r="A15" s="982" t="s">
        <v>399</v>
      </c>
      <c r="B15" s="302" t="s">
        <v>710</v>
      </c>
      <c r="C15" s="21">
        <f ca="1">ROUND(C14*F15,0)</f>
        <v>16</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106</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91.48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28.91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585</v>
      </c>
      <c r="D19" s="131" t="s">
        <v>726</v>
      </c>
      <c r="E19" s="1360"/>
      <c r="F19" s="23"/>
      <c r="G19" s="1384"/>
      <c r="H19" s="982" t="s">
        <v>399</v>
      </c>
      <c r="I19" s="302" t="s">
        <v>727</v>
      </c>
      <c r="J19" s="21">
        <f ca="1">IF(K19="按租金收入计税",ROUND(J6*M19/(1+'数据-取费表'!C42),2),ROUND(C29*M19*0.7,2))</f>
        <v>61.94</v>
      </c>
      <c r="K19" s="1370" t="s">
        <v>3335</v>
      </c>
      <c r="L19" s="302" t="s">
        <v>712</v>
      </c>
      <c r="M19" s="322">
        <f>IF(K19="按租金收入计税",'数据-取费表'!B51,'数据-取费表'!B50)</f>
        <v>0.12</v>
      </c>
    </row>
    <row r="20" spans="1:37" s="1397" customFormat="1" ht="18" customHeight="1">
      <c r="A20" s="982" t="s">
        <v>402</v>
      </c>
      <c r="B20" s="302" t="s">
        <v>728</v>
      </c>
      <c r="C20" s="21">
        <f ca="1">ROUND(C19*F20,0)</f>
        <v>12</v>
      </c>
      <c r="D20" s="323" t="s">
        <v>729</v>
      </c>
      <c r="E20" s="302" t="s">
        <v>712</v>
      </c>
      <c r="F20" s="322">
        <f>'数据-取费表'!B37</f>
        <v>0.02</v>
      </c>
      <c r="G20" s="1396"/>
      <c r="H20" s="982" t="s">
        <v>680</v>
      </c>
      <c r="I20" s="155" t="s">
        <v>730</v>
      </c>
      <c r="J20" s="22">
        <f ca="1">ROUND(M20*M21/10000,2)</f>
        <v>0.63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8.0299999999999994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0.63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5.43</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437</v>
      </c>
      <c r="K25" s="1095" t="s">
        <v>753</v>
      </c>
      <c r="L25" s="1096"/>
      <c r="M25" s="1097"/>
    </row>
    <row r="26" spans="1:37">
      <c r="A26" s="982" t="s">
        <v>397</v>
      </c>
      <c r="B26" s="302" t="s">
        <v>754</v>
      </c>
      <c r="C26" s="21">
        <f ca="1">ROUND((C19+C20)*F26,0)</f>
        <v>119</v>
      </c>
      <c r="D26" s="323" t="s">
        <v>755</v>
      </c>
      <c r="E26" s="313" t="s">
        <v>756</v>
      </c>
      <c r="F26" s="312">
        <f ca="1">INDIRECT("'数据-取费表'!q"&amp;$G$1)</f>
        <v>0.2</v>
      </c>
      <c r="G26" s="1384"/>
      <c r="H26" s="299" t="s">
        <v>395</v>
      </c>
      <c r="I26" s="300" t="s">
        <v>757</v>
      </c>
      <c r="J26" s="301">
        <f ca="1">IF(J5&lt;&gt;0,ROUND(J25*(1-((1+M28)/(1+M26))^M27)/(M26-M28),0),0)</f>
        <v>4368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803</v>
      </c>
      <c r="D29" s="1092"/>
      <c r="E29" s="1090"/>
      <c r="F29" s="1093"/>
      <c r="G29" s="1396"/>
      <c r="H29" s="334" t="s">
        <v>396</v>
      </c>
      <c r="I29" s="335" t="s">
        <v>768</v>
      </c>
      <c r="J29" s="336">
        <f ca="1">ROUND(J26/(1+F40)^F41,0)</f>
        <v>3116</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67.849999999999994</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21.39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45.83</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0.63</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c r="J35" s="1399"/>
      <c r="K35" s="2696"/>
      <c r="L35" s="2695"/>
      <c r="M35" s="2695"/>
    </row>
    <row r="36" spans="1:18" ht="18" customHeight="1">
      <c r="A36" s="1102" t="s">
        <v>402</v>
      </c>
      <c r="B36" s="302" t="s">
        <v>738</v>
      </c>
      <c r="C36" s="21">
        <f ca="1">ROUND(C29*F36,2)</f>
        <v>8.0299999999999994</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0.68</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4.0199999999999996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1673</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15526</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f ca="1">C68-C40</f>
        <v>-1725</v>
      </c>
      <c r="D46" s="1406" t="str">
        <f>C2</f>
        <v>万元</v>
      </c>
      <c r="E46" s="1400"/>
      <c r="F46" s="1400"/>
      <c r="I46" s="1407" t="s">
        <v>810</v>
      </c>
      <c r="J46" s="1408"/>
      <c r="K46" s="1409"/>
      <c r="L46" s="1410">
        <f ca="1">IF(M47="住宅",0,IF(L48&gt;J51,L60,J60))</f>
        <v>85</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4789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85</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f>'数据-取费表'!N19</f>
        <v>2003</v>
      </c>
      <c r="K49" s="1423" t="s">
        <v>824</v>
      </c>
      <c r="L49" s="1427"/>
      <c r="O49" s="1428" t="s">
        <v>405</v>
      </c>
      <c r="P49" s="1419" t="s">
        <v>825</v>
      </c>
      <c r="Q49" s="1420">
        <f ca="1">C29</f>
        <v>803</v>
      </c>
      <c r="R49" s="1420" t="s">
        <v>818</v>
      </c>
    </row>
    <row r="50" spans="1:18" s="1384" customFormat="1" ht="13.8" thickBot="1">
      <c r="A50" s="976"/>
      <c r="B50" s="979"/>
      <c r="C50" s="1118"/>
      <c r="D50" s="953"/>
      <c r="E50" s="1056" t="s">
        <v>697</v>
      </c>
      <c r="F50" s="1057">
        <f ca="1">F7</f>
        <v>1077.56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4688</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4874</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683</v>
      </c>
      <c r="D56" s="1447"/>
      <c r="E56" s="1448"/>
      <c r="F56" s="1440"/>
      <c r="I56" s="1449" t="s">
        <v>842</v>
      </c>
      <c r="J56" s="1450" t="s">
        <v>3433</v>
      </c>
      <c r="K56" s="1421" t="s">
        <v>843</v>
      </c>
      <c r="L56" s="1424" t="str">
        <f ca="1">IF(L48&lt;J51,"——",L48-J53)</f>
        <v>——</v>
      </c>
      <c r="O56" s="1418" t="s">
        <v>403</v>
      </c>
      <c r="P56" s="1419" t="s">
        <v>817</v>
      </c>
      <c r="Q56" s="1420">
        <f ca="1">C40+J29</f>
        <v>4789</v>
      </c>
      <c r="R56" s="1420" t="s">
        <v>818</v>
      </c>
    </row>
    <row r="57" spans="1:18" s="1384" customFormat="1" ht="24.6" thickBot="1">
      <c r="A57" s="1451"/>
      <c r="B57" s="950" t="s">
        <v>767</v>
      </c>
      <c r="C57" s="238">
        <f ca="1">C29</f>
        <v>803</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85</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0.63</v>
      </c>
      <c r="D62" s="965" t="s">
        <v>786</v>
      </c>
      <c r="E62" s="950" t="s">
        <v>787</v>
      </c>
      <c r="F62" s="325">
        <f t="shared" si="0"/>
        <v>24</v>
      </c>
      <c r="I62" s="1462" t="s">
        <v>858</v>
      </c>
      <c r="J62" s="1463" t="s">
        <v>859</v>
      </c>
      <c r="K62" s="1463" t="s">
        <v>860</v>
      </c>
      <c r="L62" s="1463" t="s">
        <v>861</v>
      </c>
      <c r="M62" s="1464" t="s">
        <v>862</v>
      </c>
      <c r="O62" s="1418" t="s">
        <v>409</v>
      </c>
      <c r="P62" s="1419" t="s">
        <v>863</v>
      </c>
      <c r="Q62" s="1420">
        <f ca="1">Q56+Q57</f>
        <v>4789</v>
      </c>
      <c r="R62" s="1420" t="s">
        <v>410</v>
      </c>
    </row>
    <row r="63" spans="1:18" s="1384" customFormat="1" ht="13.8"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8.0299999999999994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0.68</v>
      </c>
      <c r="D65" s="964" t="s">
        <v>743</v>
      </c>
      <c r="E65" s="950" t="s">
        <v>744</v>
      </c>
      <c r="F65" s="330">
        <f t="shared" ca="1" si="0"/>
        <v>1E-3</v>
      </c>
      <c r="I65" s="1462" t="s">
        <v>867</v>
      </c>
      <c r="J65" s="1463">
        <v>40</v>
      </c>
      <c r="K65" s="1463">
        <v>30</v>
      </c>
      <c r="L65" s="1463">
        <v>50</v>
      </c>
      <c r="M65" s="1465">
        <v>0.02</v>
      </c>
      <c r="O65" s="1418" t="s">
        <v>403</v>
      </c>
      <c r="P65" s="1419" t="s">
        <v>868</v>
      </c>
      <c r="Q65" s="1420">
        <f ca="1">C40+J29</f>
        <v>4789</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-10</v>
      </c>
      <c r="D67" s="963" t="s">
        <v>753</v>
      </c>
      <c r="E67" s="968"/>
      <c r="F67" s="969"/>
      <c r="O67" s="1428" t="s">
        <v>405</v>
      </c>
      <c r="P67" s="1419" t="s">
        <v>850</v>
      </c>
      <c r="Q67" s="1466">
        <f ca="1">L51</f>
        <v>4688</v>
      </c>
      <c r="R67" s="1420" t="s">
        <v>870</v>
      </c>
    </row>
    <row r="68" spans="1:18" s="1384" customFormat="1" ht="16.2" thickBot="1">
      <c r="A68" s="947" t="s">
        <v>395</v>
      </c>
      <c r="B68" s="948" t="s">
        <v>774</v>
      </c>
      <c r="C68" s="301">
        <f ca="1">ROUND(C67*(1-((1+F70)/(1+F68))^F69)/(F68-F70),0)</f>
        <v>-52</v>
      </c>
      <c r="D68" s="965" t="s">
        <v>758</v>
      </c>
      <c r="E68" s="950" t="s">
        <v>759</v>
      </c>
      <c r="F68" s="312">
        <f ca="1">F40</f>
        <v>5.5E-2</v>
      </c>
      <c r="K68" s="1384" t="s">
        <v>3510</v>
      </c>
      <c r="O68" s="1428" t="s">
        <v>406</v>
      </c>
      <c r="P68" s="1467" t="s">
        <v>871</v>
      </c>
      <c r="Q68" s="1420">
        <f ca="1">ROUND(Q69-Q70*Q71,0)</f>
        <v>273</v>
      </c>
      <c r="R68" s="1420" t="s">
        <v>414</v>
      </c>
    </row>
    <row r="69" spans="1:18" s="1384" customFormat="1" ht="13.8" thickBot="1">
      <c r="A69" s="951"/>
      <c r="B69" s="952"/>
      <c r="C69" s="306"/>
      <c r="D69" s="970" t="s">
        <v>762</v>
      </c>
      <c r="E69" s="950" t="s">
        <v>763</v>
      </c>
      <c r="F69" s="333">
        <f ca="1">F41</f>
        <v>6.31</v>
      </c>
      <c r="O69" s="1428" t="s">
        <v>411</v>
      </c>
      <c r="P69" s="1467" t="s">
        <v>872</v>
      </c>
      <c r="Q69" s="1420">
        <f ca="1">C39</f>
        <v>321</v>
      </c>
      <c r="R69" s="1420" t="s">
        <v>818</v>
      </c>
    </row>
    <row r="70" spans="1:18" s="1384" customFormat="1" ht="13.8" thickBot="1">
      <c r="A70" s="954"/>
      <c r="B70" s="955"/>
      <c r="C70" s="310"/>
      <c r="D70" s="966"/>
      <c r="E70" s="950" t="s">
        <v>766</v>
      </c>
      <c r="F70" s="1054"/>
      <c r="O70" s="1428" t="s">
        <v>412</v>
      </c>
      <c r="P70" s="1467" t="s">
        <v>873</v>
      </c>
      <c r="Q70" s="1420">
        <f ca="1">C13</f>
        <v>683</v>
      </c>
      <c r="R70" s="1420" t="s">
        <v>818</v>
      </c>
    </row>
    <row r="71" spans="1:18" s="1384" customFormat="1" ht="13.8" thickBot="1">
      <c r="A71" s="971" t="s">
        <v>396</v>
      </c>
      <c r="B71" s="972" t="s">
        <v>776</v>
      </c>
      <c r="C71" s="336">
        <f ca="1">ROUND(C68*10000/F71,0)</f>
        <v>-483</v>
      </c>
      <c r="D71" s="973" t="s">
        <v>777</v>
      </c>
      <c r="E71" s="974" t="s">
        <v>778</v>
      </c>
      <c r="F71" s="339">
        <f ca="1">F43</f>
        <v>1077.56</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48</v>
      </c>
      <c r="D75" s="1384"/>
      <c r="E75" s="1384"/>
      <c r="F75" s="1384"/>
      <c r="K75" s="1402"/>
      <c r="L75" s="1384"/>
      <c r="O75" s="1418" t="s">
        <v>409</v>
      </c>
      <c r="P75" s="1419" t="s">
        <v>838</v>
      </c>
      <c r="Q75" s="1420">
        <f ca="1">Q65+Q66</f>
        <v>4789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v>
      </c>
    </row>
    <row r="80" spans="1:18">
      <c r="B80" s="340" t="s">
        <v>800</v>
      </c>
      <c r="C80" s="274">
        <f ca="1">ROUND(C75/C39,3)</f>
        <v>0.15</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25" sqref="D2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3494</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302</v>
      </c>
      <c r="C2" s="1387" t="s">
        <v>805</v>
      </c>
      <c r="D2" s="1387"/>
      <c r="E2" s="1388"/>
      <c r="F2" s="1389"/>
      <c r="G2" s="2701"/>
      <c r="H2" s="2690"/>
      <c r="I2" s="2690"/>
      <c r="J2" s="2690"/>
      <c r="K2" s="2691"/>
      <c r="L2" s="2690"/>
      <c r="M2" s="2690"/>
    </row>
    <row r="3" spans="1:37" ht="18" customHeight="1" thickBot="1">
      <c r="A3" s="1390" t="s">
        <v>806</v>
      </c>
      <c r="B3" s="1391">
        <f ca="1">IF(ISERROR(B2*10000/F43),0,ROUND(B2*10000/F43,0))</f>
        <v>49050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v>
      </c>
      <c r="D5" s="1364" t="s">
        <v>693</v>
      </c>
      <c r="E5" s="1071"/>
      <c r="F5" s="1072"/>
      <c r="G5" s="1384"/>
      <c r="H5" s="299">
        <v>1</v>
      </c>
      <c r="I5" s="300" t="s">
        <v>692</v>
      </c>
      <c r="J5" s="1070">
        <f ca="1">J6+J10+J12</f>
        <v>0</v>
      </c>
      <c r="K5" s="1364" t="s">
        <v>693</v>
      </c>
      <c r="L5" s="1071"/>
      <c r="M5" s="1072"/>
    </row>
    <row r="6" spans="1:37" ht="18" customHeight="1">
      <c r="A6" s="1069" t="s">
        <v>398</v>
      </c>
      <c r="B6" s="3724" t="s">
        <v>694</v>
      </c>
      <c r="C6" s="1074">
        <f ca="1">ROUND(F6*F8*F7*(1-F9)/10000,0)</f>
        <v>26</v>
      </c>
      <c r="D6" s="155" t="s">
        <v>2108</v>
      </c>
      <c r="E6" s="302" t="s">
        <v>696</v>
      </c>
      <c r="F6" s="303">
        <f ca="1">INDIRECT("'数据-取费表'!u"&amp;$G$1)</f>
        <v>12</v>
      </c>
      <c r="G6" s="1384"/>
      <c r="H6" s="1069" t="s">
        <v>398</v>
      </c>
      <c r="I6" s="3724" t="s">
        <v>694</v>
      </c>
      <c r="J6" s="301">
        <f ca="1">ROUND(M6*M8*M7*(1-M9)/10000,0)</f>
        <v>0</v>
      </c>
      <c r="K6" s="155" t="s">
        <v>2107</v>
      </c>
      <c r="L6" s="302" t="s">
        <v>696</v>
      </c>
      <c r="M6" s="303">
        <f ca="1">INDIRECT("'数据-取费表'!z"&amp;$G$1)</f>
        <v>0</v>
      </c>
    </row>
    <row r="7" spans="1:37" ht="18" customHeight="1">
      <c r="A7" s="1073"/>
      <c r="B7" s="3725"/>
      <c r="C7" s="1075"/>
      <c r="D7" s="307"/>
      <c r="E7" s="3449" t="s">
        <v>697</v>
      </c>
      <c r="F7" s="303">
        <f ca="1">IF(INDIRECT("'数据-取费表'!ah"&amp;$G$1)="",INDIRECT("'数据-取费表'!k"&amp;$G$1),INDIRECT("'数据-取费表'!ah"&amp;$G$1))</f>
        <v>61.57</v>
      </c>
      <c r="G7" s="1384"/>
      <c r="H7" s="304"/>
      <c r="I7" s="3725"/>
      <c r="J7" s="306"/>
      <c r="K7" s="307"/>
      <c r="L7" s="302" t="s">
        <v>697</v>
      </c>
      <c r="M7" s="303">
        <f ca="1">F7</f>
        <v>61.57</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0.05</v>
      </c>
      <c r="G9" s="1384"/>
      <c r="H9" s="304"/>
      <c r="I9" s="372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3391</v>
      </c>
      <c r="G10" s="1384"/>
      <c r="H10" s="1069" t="s">
        <v>402</v>
      </c>
      <c r="I10" s="1365" t="s">
        <v>700</v>
      </c>
      <c r="J10" s="301">
        <f ca="1">ROUND(IF(M10="押一",J6/12*M11,IF(M10="押二",J6/12*2*M11,IF(M10="押三",J6/12*3*M11,J11*M11))),0)</f>
        <v>0</v>
      </c>
      <c r="K10" s="1366" t="s">
        <v>2115</v>
      </c>
      <c r="L10" s="313" t="s">
        <v>701</v>
      </c>
      <c r="M10" s="1116" t="s">
        <v>3391</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v>
      </c>
      <c r="D13" s="3446" t="s">
        <v>705</v>
      </c>
      <c r="E13" s="3446"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26</v>
      </c>
      <c r="D14" s="3452" t="s">
        <v>708</v>
      </c>
      <c r="E14" s="3451"/>
      <c r="F14" s="319"/>
      <c r="G14" s="1384"/>
      <c r="H14" s="982" t="s">
        <v>398</v>
      </c>
      <c r="I14" s="302" t="s">
        <v>709</v>
      </c>
      <c r="J14" s="21">
        <f ca="1">C29</f>
        <v>39</v>
      </c>
      <c r="K14" s="3448"/>
      <c r="L14" s="807"/>
      <c r="M14" s="808"/>
    </row>
    <row r="15" spans="1:37" s="1397" customFormat="1" ht="18" customHeight="1" thickBot="1">
      <c r="A15" s="982" t="s">
        <v>399</v>
      </c>
      <c r="B15" s="302" t="s">
        <v>710</v>
      </c>
      <c r="C15" s="21">
        <f ca="1">ROUND(C14*F15,0)</f>
        <v>1</v>
      </c>
      <c r="D15" s="3447" t="s">
        <v>711</v>
      </c>
      <c r="E15" s="3447"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3454"/>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0.04</v>
      </c>
      <c r="K17" s="3452"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f ca="1">C14*F18</f>
        <v>0.39</v>
      </c>
      <c r="H18" s="982" t="s">
        <v>397</v>
      </c>
      <c r="I18" s="302" t="s">
        <v>723</v>
      </c>
      <c r="J18" s="21">
        <f ca="1">ROUND(J6*M18/(1+'数据-取费表'!C42),2)</f>
        <v>0</v>
      </c>
      <c r="K18" s="3453"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v>
      </c>
      <c r="D19" s="131" t="s">
        <v>726</v>
      </c>
      <c r="E19" s="3456"/>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v>
      </c>
      <c r="D20" s="2424" t="s">
        <v>729</v>
      </c>
      <c r="E20" s="302" t="s">
        <v>712</v>
      </c>
      <c r="F20" s="322">
        <f>'数据-取费表'!B37</f>
        <v>0.02</v>
      </c>
      <c r="G20" s="1396"/>
      <c r="H20" s="982" t="s">
        <v>680</v>
      </c>
      <c r="I20" s="155" t="s">
        <v>730</v>
      </c>
      <c r="J20" s="22">
        <f ca="1">ROUND(M20*M21/10000,2)</f>
        <v>0.04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0.39</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3"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0</v>
      </c>
      <c r="K25" s="1095" t="s">
        <v>753</v>
      </c>
      <c r="L25" s="1096"/>
      <c r="M25" s="1097"/>
    </row>
    <row r="26" spans="1:37">
      <c r="A26" s="982" t="s">
        <v>397</v>
      </c>
      <c r="B26" s="302" t="s">
        <v>754</v>
      </c>
      <c r="C26" s="21">
        <f ca="1">ROUND((C19+C20)*F26,0)</f>
        <v>6</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v>
      </c>
      <c r="D30" s="1087" t="s">
        <v>715</v>
      </c>
      <c r="E30" s="3454"/>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4.4000000000000004</v>
      </c>
      <c r="D31" s="3452" t="s">
        <v>720</v>
      </c>
      <c r="E31" s="3453"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IF(项目基本情况!B11="自然人","——",ROUND(C6*F32/(1+'数据-取费表'!C42),2))</f>
        <v>1.39</v>
      </c>
      <c r="D32" s="3453"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2.97</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0.04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ROUND(C29*F36,2)</f>
        <v>0.39</v>
      </c>
      <c r="D36" s="3453"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0.03</v>
      </c>
      <c r="D37" s="3453"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0.26</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21</v>
      </c>
      <c r="D39" s="1095" t="s">
        <v>773</v>
      </c>
      <c r="E39" s="1096"/>
      <c r="F39" s="1097"/>
      <c r="G39" s="1384"/>
      <c r="H39" s="2695"/>
      <c r="I39" s="1398"/>
      <c r="J39" s="1399"/>
      <c r="K39" s="2699"/>
      <c r="L39" s="2695"/>
      <c r="M39" s="2695"/>
    </row>
    <row r="40" spans="1:18" ht="18" customHeight="1">
      <c r="A40" s="299" t="s">
        <v>395</v>
      </c>
      <c r="B40" s="300" t="s">
        <v>774</v>
      </c>
      <c r="C40" s="301">
        <f ca="1">ROUND(C39*(1-((1+F42)/(1+F40))^F41)/(F40-F42),0)</f>
        <v>298</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ROUND(C40*10000/F43,0)</f>
        <v>48400</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8" thickBot="1">
      <c r="A46" s="1404" t="s">
        <v>809</v>
      </c>
      <c r="C46" s="1405">
        <f ca="1">C68-C40</f>
        <v>-298</v>
      </c>
      <c r="D46" s="1406" t="str">
        <f>C2</f>
        <v>万元</v>
      </c>
      <c r="E46" s="1400"/>
      <c r="F46" s="1400"/>
      <c r="I46" s="1407" t="s">
        <v>810</v>
      </c>
      <c r="J46" s="1408"/>
      <c r="K46" s="1409"/>
      <c r="L46" s="1410">
        <f ca="1">IF(M47="住宅",0,IF(L48&gt;J51,L60,J60))</f>
        <v>4</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298</v>
      </c>
      <c r="R47" s="1420" t="s">
        <v>818</v>
      </c>
    </row>
    <row r="48" spans="1:18" s="1384" customFormat="1" ht="40.200000000000003" thickBot="1">
      <c r="A48" s="1110" t="s">
        <v>438</v>
      </c>
      <c r="B48" s="300" t="s">
        <v>692</v>
      </c>
      <c r="C48" s="3455">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4</v>
      </c>
      <c r="R48" s="1420" t="s">
        <v>822</v>
      </c>
    </row>
    <row r="49" spans="1:18" s="1384" customFormat="1" ht="13.8" thickBot="1">
      <c r="A49" s="975" t="s">
        <v>439</v>
      </c>
      <c r="B49" s="1371" t="s">
        <v>779</v>
      </c>
      <c r="C49" s="1114">
        <f ca="1">ROUND(F49*F51*F50*(1-F52)/10000,0)</f>
        <v>0</v>
      </c>
      <c r="D49" s="1055" t="s">
        <v>2107</v>
      </c>
      <c r="E49" s="1372" t="s">
        <v>780</v>
      </c>
      <c r="F49" s="1060"/>
      <c r="G49" s="1425"/>
      <c r="H49" s="723"/>
      <c r="I49" s="1421" t="s">
        <v>823</v>
      </c>
      <c r="J49" s="1426">
        <f>'数据-取费表'!N19</f>
        <v>2003</v>
      </c>
      <c r="K49" s="1423" t="s">
        <v>824</v>
      </c>
      <c r="L49" s="1427"/>
      <c r="O49" s="1428" t="s">
        <v>405</v>
      </c>
      <c r="P49" s="1419" t="s">
        <v>825</v>
      </c>
      <c r="Q49" s="1420">
        <f ca="1">C29</f>
        <v>39</v>
      </c>
      <c r="R49" s="1420" t="s">
        <v>818</v>
      </c>
    </row>
    <row r="50" spans="1:18" s="1384" customFormat="1" ht="13.8" thickBot="1">
      <c r="A50" s="976"/>
      <c r="B50" s="979"/>
      <c r="C50" s="1118"/>
      <c r="D50" s="953"/>
      <c r="E50" s="1056" t="s">
        <v>697</v>
      </c>
      <c r="F50" s="1057">
        <f ca="1">F7</f>
        <v>61.57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321</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'收益法-北京银行（万元）'!J52</f>
        <v>7.5000000000000011E-2</v>
      </c>
      <c r="K52" s="1437" t="s">
        <v>833</v>
      </c>
      <c r="L52" s="1438"/>
      <c r="O52" s="1428" t="s">
        <v>408</v>
      </c>
      <c r="P52" s="1419" t="s">
        <v>834</v>
      </c>
      <c r="Q52" s="1420">
        <f ca="1">J53</f>
        <v>18.3</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302</v>
      </c>
      <c r="R53" s="1420" t="s">
        <v>410</v>
      </c>
    </row>
    <row r="54" spans="1:18" s="1384" customFormat="1" ht="24.6" thickBot="1">
      <c r="A54" s="1153"/>
      <c r="B54" s="1367" t="s">
        <v>679</v>
      </c>
      <c r="C54" s="959"/>
      <c r="D54" s="1366"/>
      <c r="E54" s="3450"/>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50"/>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33</v>
      </c>
      <c r="D56" s="1447"/>
      <c r="E56" s="1448"/>
      <c r="F56" s="1440"/>
      <c r="I56" s="1449" t="s">
        <v>842</v>
      </c>
      <c r="J56" s="1450" t="s">
        <v>3433</v>
      </c>
      <c r="K56" s="1421" t="s">
        <v>843</v>
      </c>
      <c r="L56" s="1424" t="str">
        <f ca="1">IF(L48&lt;J51,"——",L48-J53)</f>
        <v>——</v>
      </c>
      <c r="O56" s="1418" t="s">
        <v>403</v>
      </c>
      <c r="P56" s="1419" t="s">
        <v>817</v>
      </c>
      <c r="Q56" s="1420">
        <f ca="1">C40+J29</f>
        <v>298</v>
      </c>
      <c r="R56" s="1420" t="s">
        <v>818</v>
      </c>
    </row>
    <row r="57" spans="1:18" s="1384" customFormat="1" ht="24.6" thickBot="1">
      <c r="A57" s="1451"/>
      <c r="B57" s="950" t="s">
        <v>767</v>
      </c>
      <c r="C57" s="238">
        <f ca="1">C29</f>
        <v>39</v>
      </c>
      <c r="D57" s="1452"/>
      <c r="E57" s="1453"/>
      <c r="F57" s="1454"/>
      <c r="I57" s="1455" t="s">
        <v>844</v>
      </c>
      <c r="J57" s="1456">
        <f ca="1">IF(OR(M47="住宅",J51&lt;L48,J56="是"),"——",J51-L48)</f>
        <v>21.7</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0.04</v>
      </c>
      <c r="D62" s="965" t="s">
        <v>786</v>
      </c>
      <c r="E62" s="950" t="s">
        <v>787</v>
      </c>
      <c r="F62" s="325">
        <f t="shared" si="0"/>
        <v>24</v>
      </c>
      <c r="I62" s="1462" t="s">
        <v>858</v>
      </c>
      <c r="J62" s="1463" t="s">
        <v>859</v>
      </c>
      <c r="K62" s="1463" t="s">
        <v>860</v>
      </c>
      <c r="L62" s="1463" t="s">
        <v>861</v>
      </c>
      <c r="M62" s="1464" t="s">
        <v>862</v>
      </c>
      <c r="O62" s="1418" t="s">
        <v>409</v>
      </c>
      <c r="P62" s="1419" t="s">
        <v>863</v>
      </c>
      <c r="Q62" s="1420">
        <f ca="1">Q56+Q57</f>
        <v>298</v>
      </c>
      <c r="R62" s="1420" t="s">
        <v>410</v>
      </c>
    </row>
    <row r="63" spans="1:18" s="1384" customFormat="1" ht="13.8" thickBot="1">
      <c r="A63" s="326"/>
      <c r="B63" s="956"/>
      <c r="C63" s="26"/>
      <c r="D63" s="966"/>
      <c r="E63" s="950" t="s">
        <v>788</v>
      </c>
      <c r="F63" s="303">
        <f t="shared" ca="1" si="0"/>
        <v>15.06</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0.39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0.03</v>
      </c>
      <c r="D65" s="964" t="s">
        <v>743</v>
      </c>
      <c r="E65" s="950" t="s">
        <v>744</v>
      </c>
      <c r="F65" s="330">
        <f t="shared" ca="1" si="0"/>
        <v>1E-3</v>
      </c>
      <c r="I65" s="1462" t="s">
        <v>867</v>
      </c>
      <c r="J65" s="1463">
        <v>40</v>
      </c>
      <c r="K65" s="1463">
        <v>30</v>
      </c>
      <c r="L65" s="1463">
        <v>50</v>
      </c>
      <c r="M65" s="1465">
        <v>0.02</v>
      </c>
      <c r="O65" s="1418" t="s">
        <v>403</v>
      </c>
      <c r="P65" s="1419" t="s">
        <v>868</v>
      </c>
      <c r="Q65" s="1420">
        <f ca="1">C40+J29</f>
        <v>298</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321</v>
      </c>
      <c r="R67" s="1420" t="s">
        <v>870</v>
      </c>
    </row>
    <row r="68" spans="1:18" s="1384" customFormat="1" ht="16.2" thickBot="1">
      <c r="A68" s="947" t="s">
        <v>395</v>
      </c>
      <c r="B68" s="948" t="s">
        <v>774</v>
      </c>
      <c r="C68" s="301">
        <f ca="1">ROUND(C67*(1-((1+F70)/(1+F68))^F69)/(F68-F70),0)</f>
        <v>0</v>
      </c>
      <c r="D68" s="965" t="s">
        <v>758</v>
      </c>
      <c r="E68" s="950" t="s">
        <v>759</v>
      </c>
      <c r="F68" s="312">
        <f ca="1">F40</f>
        <v>5.5E-2</v>
      </c>
      <c r="O68" s="1428" t="s">
        <v>406</v>
      </c>
      <c r="P68" s="1467" t="s">
        <v>871</v>
      </c>
      <c r="Q68" s="1420">
        <f ca="1">ROUND(Q69-Q70*Q71,0)</f>
        <v>19</v>
      </c>
      <c r="R68" s="1420" t="s">
        <v>414</v>
      </c>
    </row>
    <row r="69" spans="1:18" s="1384" customFormat="1" ht="13.8" thickBot="1">
      <c r="A69" s="951"/>
      <c r="B69" s="952"/>
      <c r="C69" s="306"/>
      <c r="D69" s="970" t="s">
        <v>762</v>
      </c>
      <c r="E69" s="950" t="s">
        <v>763</v>
      </c>
      <c r="F69" s="333">
        <f ca="1">F41</f>
        <v>18.3</v>
      </c>
      <c r="O69" s="1428" t="s">
        <v>411</v>
      </c>
      <c r="P69" s="1467" t="s">
        <v>872</v>
      </c>
      <c r="Q69" s="1420">
        <f ca="1">C39</f>
        <v>21</v>
      </c>
      <c r="R69" s="1420" t="s">
        <v>818</v>
      </c>
    </row>
    <row r="70" spans="1:18" s="1384" customFormat="1" ht="13.8" thickBot="1">
      <c r="A70" s="954"/>
      <c r="B70" s="955"/>
      <c r="C70" s="310"/>
      <c r="D70" s="966"/>
      <c r="E70" s="950" t="s">
        <v>766</v>
      </c>
      <c r="F70" s="1054"/>
      <c r="O70" s="1428" t="s">
        <v>412</v>
      </c>
      <c r="P70" s="1467" t="s">
        <v>873</v>
      </c>
      <c r="Q70" s="1420">
        <f ca="1">C13</f>
        <v>33</v>
      </c>
      <c r="R70" s="1420" t="s">
        <v>818</v>
      </c>
    </row>
    <row r="71" spans="1:18" s="1384" customFormat="1" ht="13.8" thickBot="1">
      <c r="A71" s="971" t="s">
        <v>396</v>
      </c>
      <c r="B71" s="972" t="s">
        <v>776</v>
      </c>
      <c r="C71" s="336">
        <f ca="1">ROUND(C68*10000/F71,0)</f>
        <v>0</v>
      </c>
      <c r="D71" s="973" t="s">
        <v>777</v>
      </c>
      <c r="E71" s="974" t="s">
        <v>778</v>
      </c>
      <c r="F71" s="339">
        <f ca="1">F43</f>
        <v>61.57</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v>
      </c>
      <c r="D75" s="1384"/>
      <c r="E75" s="1384"/>
      <c r="F75" s="1384"/>
      <c r="K75" s="1402"/>
      <c r="L75" s="1384"/>
      <c r="O75" s="1418" t="s">
        <v>409</v>
      </c>
      <c r="P75" s="1419" t="s">
        <v>838</v>
      </c>
      <c r="Q75" s="1420">
        <f ca="1">Q65+Q66</f>
        <v>298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0.90500000000000003</v>
      </c>
    </row>
    <row r="80" spans="1:18">
      <c r="B80" s="340" t="s">
        <v>800</v>
      </c>
      <c r="C80" s="274">
        <f ca="1">ROUND(C75/C39,3)</f>
        <v>9.5000000000000001E-2</v>
      </c>
    </row>
    <row r="81" spans="2:3">
      <c r="B81" s="270" t="s">
        <v>801</v>
      </c>
      <c r="C81" s="238"/>
    </row>
    <row r="82" spans="2:3">
      <c r="B82" s="273" t="s">
        <v>802</v>
      </c>
      <c r="C82" s="275">
        <f ca="1">1-C83</f>
        <v>0.88900000000000001</v>
      </c>
    </row>
    <row r="83" spans="2:3">
      <c r="B83" s="273" t="s">
        <v>803</v>
      </c>
      <c r="C83" s="274">
        <f ca="1">ROUND(C13/C40,3)</f>
        <v>0.111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M10" sqref="M1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3492</v>
      </c>
      <c r="D1" s="1362" t="s">
        <v>43</v>
      </c>
      <c r="E1" s="1363" t="s">
        <v>678</v>
      </c>
      <c r="F1" s="1062">
        <f ca="1">J53</f>
        <v>18.3</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f ca="1">ROUND(D2/10000,4)</f>
        <v>4876.6448</v>
      </c>
      <c r="C2" s="1387" t="s">
        <v>879</v>
      </c>
      <c r="D2" s="1471">
        <f ca="1">C40+J29+L46</f>
        <v>48766448</v>
      </c>
      <c r="E2" s="1388" t="s">
        <v>880</v>
      </c>
      <c r="F2" s="1389"/>
      <c r="G2" s="2701"/>
      <c r="H2" s="2690"/>
      <c r="I2" s="2690"/>
      <c r="J2" s="2690"/>
      <c r="K2" s="2691"/>
      <c r="L2" s="2690"/>
      <c r="M2" s="2690"/>
    </row>
    <row r="3" spans="1:37" ht="18" customHeight="1" thickBot="1">
      <c r="A3" s="1390" t="s">
        <v>881</v>
      </c>
      <c r="B3" s="1391">
        <f ca="1">IF(ISERROR(D2/F43),0,ROUND(D2/F43,0))</f>
        <v>45256</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4011756</v>
      </c>
      <c r="D5" s="1364" t="s">
        <v>889</v>
      </c>
      <c r="E5" s="1071"/>
      <c r="F5" s="1072"/>
      <c r="G5" s="1384"/>
      <c r="H5" s="299">
        <v>1</v>
      </c>
      <c r="I5" s="300" t="s">
        <v>888</v>
      </c>
      <c r="J5" s="1070">
        <f ca="1">J6+J10+J12</f>
        <v>5431382</v>
      </c>
      <c r="K5" s="1364" t="s">
        <v>889</v>
      </c>
      <c r="L5" s="1071"/>
      <c r="M5" s="1072"/>
    </row>
    <row r="6" spans="1:37" ht="18" customHeight="1">
      <c r="A6" s="1069" t="s">
        <v>398</v>
      </c>
      <c r="B6" s="3724" t="s">
        <v>694</v>
      </c>
      <c r="C6" s="1074">
        <f ca="1">ROUND(F6*F8*F7*(1-F9),0)</f>
        <v>4011756</v>
      </c>
      <c r="D6" s="155" t="s">
        <v>2105</v>
      </c>
      <c r="E6" s="302" t="s">
        <v>696</v>
      </c>
      <c r="F6" s="303">
        <f ca="1">INDIRECT("'数据-取费表'!u"&amp;$G$1)</f>
        <v>10.199999999999999</v>
      </c>
      <c r="G6" s="1384"/>
      <c r="H6" s="1069" t="s">
        <v>398</v>
      </c>
      <c r="I6" s="3724" t="s">
        <v>694</v>
      </c>
      <c r="J6" s="301">
        <f ca="1">ROUND(M6*M8*M7*(1-M9),0)</f>
        <v>5417837</v>
      </c>
      <c r="K6" s="1376" t="s">
        <v>2106</v>
      </c>
      <c r="L6" s="302" t="s">
        <v>696</v>
      </c>
      <c r="M6" s="303">
        <f ca="1">INDIRECT("'数据-取费表'!z"&amp;$G$1)</f>
        <v>14.5</v>
      </c>
    </row>
    <row r="7" spans="1:37" ht="18" customHeight="1">
      <c r="A7" s="1073"/>
      <c r="B7" s="3725"/>
      <c r="C7" s="1075"/>
      <c r="D7" s="307"/>
      <c r="E7" s="1076" t="s">
        <v>697</v>
      </c>
      <c r="F7" s="303">
        <f ca="1">IF(INDIRECT("'数据-取费表'!ah"&amp;$G$1)="",INDIRECT("'数据-取费表'!k"&amp;$G$1),INDIRECT("'数据-取费表'!ah"&amp;$G$1))</f>
        <v>1077.56</v>
      </c>
      <c r="G7" s="1384"/>
      <c r="H7" s="304"/>
      <c r="I7" s="3725"/>
      <c r="J7" s="306"/>
      <c r="K7" s="307"/>
      <c r="L7" s="302" t="s">
        <v>697</v>
      </c>
      <c r="M7" s="303">
        <f ca="1">F7</f>
        <v>1077.56</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v>
      </c>
      <c r="G9" s="1384"/>
      <c r="H9" s="304"/>
      <c r="I9" s="3726"/>
      <c r="J9" s="306"/>
      <c r="K9" s="307"/>
      <c r="L9" s="313" t="s">
        <v>699</v>
      </c>
      <c r="M9" s="314">
        <f ca="1">INDIRECT("'数据-取费表'!ab"&amp;$G$1)</f>
        <v>0.05</v>
      </c>
    </row>
    <row r="10" spans="1:37" ht="18" customHeight="1">
      <c r="A10" s="1069" t="s">
        <v>402</v>
      </c>
      <c r="B10" s="1365" t="s">
        <v>700</v>
      </c>
      <c r="C10" s="316">
        <f ca="1">ROUND(IF(F10="押一",C6/12*F11,IF(F10="押二",C6/12*2*F11,IF(F10="押三",C6/12*3*F11,C11*F11))),0)</f>
        <v>0</v>
      </c>
      <c r="D10" s="1366" t="s">
        <v>2115</v>
      </c>
      <c r="E10" s="313" t="s">
        <v>701</v>
      </c>
      <c r="F10" s="1116" t="s">
        <v>3512</v>
      </c>
      <c r="G10" s="1384"/>
      <c r="H10" s="1069" t="s">
        <v>402</v>
      </c>
      <c r="I10" s="1365" t="s">
        <v>700</v>
      </c>
      <c r="J10" s="301">
        <f ca="1">ROUND(IF(M10="押一",J6/12*M11,IF(M10="押二",J6/12*2*M11,IF(M10="押三",J6/12*3*M11,J11*M11))),0)</f>
        <v>13545</v>
      </c>
      <c r="K10" s="1377" t="s">
        <v>2117</v>
      </c>
      <c r="L10" s="313" t="s">
        <v>701</v>
      </c>
      <c r="M10" s="1116" t="s">
        <v>3514</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6825323</v>
      </c>
      <c r="D13" s="1081" t="s">
        <v>705</v>
      </c>
      <c r="E13" s="1081" t="s">
        <v>706</v>
      </c>
      <c r="F13" s="1082">
        <f ca="1">INDIRECT("'数据-取费表'!y"&amp;$G$1)</f>
        <v>0.85</v>
      </c>
      <c r="G13" s="1384"/>
      <c r="H13" s="1079">
        <v>2</v>
      </c>
      <c r="I13" s="1080" t="s">
        <v>704</v>
      </c>
      <c r="J13" s="1068">
        <f ca="1">ROUND(J14*J15,0)</f>
        <v>6343536</v>
      </c>
      <c r="K13" s="1087" t="s">
        <v>705</v>
      </c>
      <c r="L13" s="1392"/>
      <c r="M13" s="1393"/>
    </row>
    <row r="14" spans="1:37" ht="18" customHeight="1">
      <c r="A14" s="982" t="s">
        <v>397</v>
      </c>
      <c r="B14" s="302" t="s">
        <v>707</v>
      </c>
      <c r="C14" s="318">
        <f ca="1">ROUND(INDIRECT("'数据-取费表'!l"&amp;$G$1)*F43+'数据-取费表'!L14*INDIRECT("'数据-取费表'!S"&amp;$G$1),0)</f>
        <v>5387800</v>
      </c>
      <c r="D14" s="1345" t="s">
        <v>708</v>
      </c>
      <c r="E14" s="1342"/>
      <c r="F14" s="319"/>
      <c r="G14" s="1384"/>
      <c r="H14" s="982" t="s">
        <v>398</v>
      </c>
      <c r="I14" s="302" t="s">
        <v>709</v>
      </c>
      <c r="J14" s="21">
        <f ca="1">C29</f>
        <v>8029792</v>
      </c>
      <c r="K14" s="12"/>
      <c r="L14" s="807"/>
      <c r="M14" s="808"/>
    </row>
    <row r="15" spans="1:37" s="1397" customFormat="1" ht="18" customHeight="1" thickBot="1">
      <c r="A15" s="982" t="s">
        <v>399</v>
      </c>
      <c r="B15" s="302" t="s">
        <v>710</v>
      </c>
      <c r="C15" s="21">
        <f ca="1">ROUND(C14*F15,0)</f>
        <v>161634</v>
      </c>
      <c r="D15" s="320" t="s">
        <v>711</v>
      </c>
      <c r="E15" s="320" t="s">
        <v>712</v>
      </c>
      <c r="F15" s="321">
        <f>'数据-取费表'!B33</f>
        <v>0.03</v>
      </c>
      <c r="G15" s="1396"/>
      <c r="H15" s="1089" t="s">
        <v>402</v>
      </c>
      <c r="I15" s="1090" t="s">
        <v>706</v>
      </c>
      <c r="J15" s="1099">
        <f ca="1">INDIRECT("'数据-取费表'!ad"&amp;$G$1)</f>
        <v>0.79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1055412</v>
      </c>
      <c r="K16" s="1087" t="s">
        <v>715</v>
      </c>
      <c r="L16" s="1088"/>
      <c r="M16" s="1072"/>
    </row>
    <row r="17" spans="1:37" s="1397" customFormat="1" ht="18" customHeight="1">
      <c r="A17" s="982" t="s">
        <v>681</v>
      </c>
      <c r="B17" s="302" t="s">
        <v>716</v>
      </c>
      <c r="C17" s="21">
        <f ca="1">ROUND(F17*(F43+INDIRECT("'数据-取费表'!S"&amp;$G$1)),0)</f>
        <v>215512</v>
      </c>
      <c r="D17" s="302" t="s">
        <v>717</v>
      </c>
      <c r="E17" s="302" t="s">
        <v>718</v>
      </c>
      <c r="F17" s="23">
        <f>'数据-取费表'!B35</f>
        <v>200</v>
      </c>
      <c r="G17" s="1396"/>
      <c r="H17" s="982" t="s">
        <v>398</v>
      </c>
      <c r="I17" s="302" t="s">
        <v>719</v>
      </c>
      <c r="J17" s="2316">
        <f ca="1">ROUND(IF(AND(项目基本情况!B11="自然人",项目基本情况!B10="北京市"),J6*M17/(1+'数据-取费表'!C42),J18+J19+J20),0)</f>
        <v>914456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80817</v>
      </c>
      <c r="D18" s="302" t="s">
        <v>711</v>
      </c>
      <c r="E18" s="302" t="s">
        <v>712</v>
      </c>
      <c r="F18" s="322">
        <f>'数据-取费表'!B36</f>
        <v>1.4999999999999999E-2</v>
      </c>
      <c r="G18" s="1396"/>
      <c r="H18" s="982" t="s">
        <v>397</v>
      </c>
      <c r="I18" s="302" t="s">
        <v>723</v>
      </c>
      <c r="J18" s="21">
        <f ca="1">ROUND(J6*M18/(1+'数据-取费表'!C42),0)</f>
        <v>288951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5845763</v>
      </c>
      <c r="D19" s="131" t="s">
        <v>726</v>
      </c>
      <c r="E19" s="1360"/>
      <c r="F19" s="23"/>
      <c r="G19" s="1384"/>
      <c r="H19" s="982" t="s">
        <v>399</v>
      </c>
      <c r="I19" s="302" t="s">
        <v>727</v>
      </c>
      <c r="J19" s="21">
        <f ca="1">IF(K19="按租金收入计税",ROUND(J6*M19/(1+'数据-取费表'!C42),0),ROUND(C29*M19*0.7,0))</f>
        <v>619181</v>
      </c>
      <c r="K19" s="1370" t="s">
        <v>3335</v>
      </c>
      <c r="L19" s="302" t="s">
        <v>712</v>
      </c>
      <c r="M19" s="322">
        <f>IF(K19="按租金收入计税",'数据-取费表'!B51,'数据-取费表'!B50)</f>
        <v>0.12</v>
      </c>
    </row>
    <row r="20" spans="1:37" s="1397" customFormat="1" ht="18" customHeight="1">
      <c r="A20" s="982" t="s">
        <v>402</v>
      </c>
      <c r="B20" s="302" t="s">
        <v>728</v>
      </c>
      <c r="C20" s="21">
        <f ca="1">ROUND(C19*F20,0)</f>
        <v>116915</v>
      </c>
      <c r="D20" s="323" t="s">
        <v>729</v>
      </c>
      <c r="E20" s="302" t="s">
        <v>712</v>
      </c>
      <c r="F20" s="322">
        <f>'数据-取费表'!B37</f>
        <v>0.02</v>
      </c>
      <c r="G20" s="1396"/>
      <c r="H20" s="982" t="s">
        <v>680</v>
      </c>
      <c r="I20" s="155" t="s">
        <v>730</v>
      </c>
      <c r="J20" s="22">
        <f ca="1">ROUND(M20*M21,0)</f>
        <v>6324</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263.48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80298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247451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6344</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54314</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4375970</v>
      </c>
      <c r="K25" s="1095" t="s">
        <v>753</v>
      </c>
      <c r="L25" s="1096"/>
      <c r="M25" s="1097"/>
    </row>
    <row r="26" spans="1:37" ht="18" customHeight="1">
      <c r="A26" s="982" t="s">
        <v>397</v>
      </c>
      <c r="B26" s="302" t="s">
        <v>754</v>
      </c>
      <c r="C26" s="21">
        <f ca="1">ROUND((C19+C20)*F26,0)</f>
        <v>1192536</v>
      </c>
      <c r="D26" s="323" t="s">
        <v>755</v>
      </c>
      <c r="E26" s="313" t="s">
        <v>756</v>
      </c>
      <c r="F26" s="312">
        <f ca="1">INDIRECT("'数据-取费表'!q"&amp;$G$1)</f>
        <v>0.2</v>
      </c>
      <c r="G26" s="1384"/>
      <c r="H26" s="299" t="s">
        <v>395</v>
      </c>
      <c r="I26" s="300" t="s">
        <v>757</v>
      </c>
      <c r="J26" s="301">
        <f ca="1">IF(J5&lt;&gt;0,ROUND(J25*(1-((1+M28)/(1+M26))^M27)/(M26-M28),0),0)</f>
        <v>43741541</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11.990000000000002</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8029792</v>
      </c>
      <c r="D29" s="1092"/>
      <c r="E29" s="1090"/>
      <c r="F29" s="1093"/>
      <c r="G29" s="1396"/>
      <c r="H29" s="334" t="s">
        <v>396</v>
      </c>
      <c r="I29" s="335" t="s">
        <v>768</v>
      </c>
      <c r="J29" s="336">
        <f ca="1">ROUND(J26/(1+F40)^F41,0)</f>
        <v>31201183</v>
      </c>
      <c r="K29" s="337" t="s">
        <v>769</v>
      </c>
      <c r="L29" s="338"/>
      <c r="M29" s="339">
        <f ca="1">INDIRECT("'数据-取费表'!k"&amp;$G$1)</f>
        <v>1077.56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806011</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678770</v>
      </c>
      <c r="D31" s="1345" t="s">
        <v>720</v>
      </c>
      <c r="E31" s="1344"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213960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458486</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6324</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263.48</v>
      </c>
      <c r="G35" s="1384"/>
      <c r="H35" s="2692"/>
      <c r="I35" s="1398">
        <f ca="1">C40+J29</f>
        <v>47911402</v>
      </c>
      <c r="J35" s="1399"/>
      <c r="K35" s="2696"/>
      <c r="L35" s="2695"/>
      <c r="M35" s="2695"/>
    </row>
    <row r="36" spans="1:18" ht="18" customHeight="1">
      <c r="A36" s="1102" t="s">
        <v>402</v>
      </c>
      <c r="B36" s="302" t="s">
        <v>738</v>
      </c>
      <c r="C36" s="21">
        <f ca="1">ROUND(C29*F36,0)</f>
        <v>80298</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6825</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ROUND(C5*F38,0)</f>
        <v>40118</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3205745</v>
      </c>
      <c r="D39" s="1095" t="s">
        <v>773</v>
      </c>
      <c r="E39" s="1096"/>
      <c r="F39" s="1097"/>
      <c r="G39" s="1384"/>
      <c r="H39" s="2695"/>
      <c r="I39" s="1398"/>
      <c r="J39" s="1399"/>
      <c r="K39" s="2699"/>
      <c r="L39" s="2695"/>
      <c r="M39" s="2695"/>
    </row>
    <row r="40" spans="1:18" ht="18" customHeight="1">
      <c r="A40" s="299" t="s">
        <v>395</v>
      </c>
      <c r="B40" s="300" t="s">
        <v>774</v>
      </c>
      <c r="C40" s="301">
        <f ca="1">ROUND(C39*(1-((1+F42)/(1+F40))^F41)/(F40-F42),0)</f>
        <v>16710219</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6.31</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ROUND(C40/F43,0)</f>
        <v>15507</v>
      </c>
      <c r="D43" s="337" t="s">
        <v>777</v>
      </c>
      <c r="E43" s="338" t="s">
        <v>778</v>
      </c>
      <c r="F43" s="339">
        <f ca="1">INDIRECT("'数据-取费表'!k"&amp;$G$1)</f>
        <v>1077.56</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207.79400000000001</v>
      </c>
      <c r="D45" s="3427" t="s">
        <v>3352</v>
      </c>
      <c r="E45" s="1400"/>
      <c r="F45" s="1400"/>
      <c r="O45" s="1403" t="s">
        <v>808</v>
      </c>
      <c r="P45" s="1461"/>
      <c r="Q45" s="1461"/>
      <c r="R45" s="1461"/>
    </row>
    <row r="46" spans="1:18" s="1384" customFormat="1" ht="13.8" thickBot="1">
      <c r="A46" s="1404" t="s">
        <v>809</v>
      </c>
      <c r="C46" s="1405">
        <f ca="1">ROUND(C45,0)</f>
        <v>208</v>
      </c>
      <c r="D46" s="1406" t="str">
        <f>C2</f>
        <v>万元</v>
      </c>
      <c r="I46" s="1407" t="s">
        <v>810</v>
      </c>
      <c r="J46" s="1408"/>
      <c r="K46" s="1409"/>
      <c r="L46" s="1410">
        <f ca="1">IF(M47="住宅",0,IF(L48&gt;J51,L60,J60))</f>
        <v>855046</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47911402</v>
      </c>
      <c r="R47" s="1420" t="s">
        <v>818</v>
      </c>
    </row>
    <row r="48" spans="1:18" s="1384" customFormat="1" ht="40.200000000000003" thickBot="1">
      <c r="A48" s="1110" t="s">
        <v>438</v>
      </c>
      <c r="B48" s="300" t="s">
        <v>692</v>
      </c>
      <c r="C48" s="1359">
        <f ca="1">C49+C53+C55</f>
        <v>4494936</v>
      </c>
      <c r="D48" s="1112"/>
      <c r="E48" s="1113"/>
      <c r="F48" s="962"/>
      <c r="G48" s="722"/>
      <c r="H48" s="723"/>
      <c r="I48" s="1421" t="s">
        <v>819</v>
      </c>
      <c r="J48" s="1422" t="s">
        <v>3393</v>
      </c>
      <c r="K48" s="1423" t="s">
        <v>820</v>
      </c>
      <c r="L48" s="1424">
        <f ca="1">INDIRECT("'数据-取费表'!f"&amp;$G$1)</f>
        <v>18.3</v>
      </c>
      <c r="O48" s="1418" t="s">
        <v>404</v>
      </c>
      <c r="P48" s="1419" t="s">
        <v>821</v>
      </c>
      <c r="Q48" s="1420">
        <f ca="1">J60</f>
        <v>855046</v>
      </c>
      <c r="R48" s="1420" t="s">
        <v>822</v>
      </c>
    </row>
    <row r="49" spans="1:18" s="1384" customFormat="1" ht="13.8" thickBot="1">
      <c r="A49" s="975" t="s">
        <v>439</v>
      </c>
      <c r="B49" s="1371" t="s">
        <v>779</v>
      </c>
      <c r="C49" s="1114">
        <f ca="1">ROUND(F49*F51*F50*(1-F52),0)</f>
        <v>4483727</v>
      </c>
      <c r="D49" s="1055" t="s">
        <v>695</v>
      </c>
      <c r="E49" s="1372" t="s">
        <v>780</v>
      </c>
      <c r="F49" s="1060">
        <v>12</v>
      </c>
      <c r="G49" s="1425"/>
      <c r="H49" s="723"/>
      <c r="I49" s="1421" t="s">
        <v>823</v>
      </c>
      <c r="J49" s="1426">
        <f>'数据-取费表'!N19</f>
        <v>2003</v>
      </c>
      <c r="K49" s="1423" t="s">
        <v>824</v>
      </c>
      <c r="L49" s="1427"/>
      <c r="O49" s="1428" t="s">
        <v>405</v>
      </c>
      <c r="P49" s="1419" t="s">
        <v>825</v>
      </c>
      <c r="Q49" s="1420">
        <f ca="1">C29</f>
        <v>8029792</v>
      </c>
      <c r="R49" s="1420" t="s">
        <v>818</v>
      </c>
    </row>
    <row r="50" spans="1:18" s="1384" customFormat="1" ht="13.8" thickBot="1">
      <c r="A50" s="976"/>
      <c r="B50" s="979"/>
      <c r="C50" s="980"/>
      <c r="D50" s="953"/>
      <c r="E50" s="1056" t="s">
        <v>697</v>
      </c>
      <c r="F50" s="1057">
        <f ca="1">F7</f>
        <v>1077.56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46809514</v>
      </c>
      <c r="M51" s="1436"/>
      <c r="O51" s="1428" t="s">
        <v>407</v>
      </c>
      <c r="P51" s="1419" t="s">
        <v>831</v>
      </c>
      <c r="Q51" s="1431">
        <f>J52</f>
        <v>7.5000000000000011E-2</v>
      </c>
      <c r="R51" s="1420"/>
    </row>
    <row r="52" spans="1:18" s="1384" customFormat="1" ht="13.8" thickBot="1">
      <c r="A52" s="977"/>
      <c r="B52" s="979"/>
      <c r="C52" s="980"/>
      <c r="D52" s="953"/>
      <c r="E52" s="981" t="s">
        <v>699</v>
      </c>
      <c r="F52" s="1054">
        <v>0.05</v>
      </c>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323" t="s">
        <v>700</v>
      </c>
      <c r="C53" s="316">
        <f ca="1">ROUND(IF(F53="押一",C49/12*F11,IF(F53="押二",C49/12*2*F11,IF(F53="押三",C49/12*3*F11,C54*F11))),0)</f>
        <v>11209</v>
      </c>
      <c r="D53" s="1366" t="s">
        <v>2118</v>
      </c>
      <c r="E53" s="313" t="s">
        <v>701</v>
      </c>
      <c r="F53" s="1116" t="s">
        <v>3514</v>
      </c>
      <c r="I53" s="1439" t="s">
        <v>836</v>
      </c>
      <c r="J53" s="2168">
        <f ca="1">IF(M47="住宅",IF(D1="——",MAX(J51,L48),MAX(J51,L48-'数据-取费表'!B24)),IF(D1="——",MIN(J51,L48),MIN(J51,L48-'数据-取费表'!B24)))</f>
        <v>18.3</v>
      </c>
      <c r="K53" s="3722" t="s">
        <v>837</v>
      </c>
      <c r="L53" s="3723"/>
      <c r="O53" s="1418" t="s">
        <v>409</v>
      </c>
      <c r="P53" s="1419" t="s">
        <v>838</v>
      </c>
      <c r="Q53" s="1420">
        <f ca="1">Q47+Q48</f>
        <v>48766448</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6825323</v>
      </c>
      <c r="D56" s="1447"/>
      <c r="E56" s="1448"/>
      <c r="F56" s="1440"/>
      <c r="I56" s="1449" t="s">
        <v>842</v>
      </c>
      <c r="J56" s="1450" t="s">
        <v>3433</v>
      </c>
      <c r="K56" s="1421" t="s">
        <v>843</v>
      </c>
      <c r="L56" s="1424" t="str">
        <f ca="1">IF(L48&lt;J51,"——",L48-J51)</f>
        <v>——</v>
      </c>
      <c r="O56" s="1418" t="s">
        <v>403</v>
      </c>
      <c r="P56" s="1419" t="s">
        <v>817</v>
      </c>
      <c r="Q56" s="1420">
        <f ca="1">C40+J29</f>
        <v>47911402</v>
      </c>
      <c r="R56" s="1420" t="s">
        <v>818</v>
      </c>
    </row>
    <row r="57" spans="1:18" s="1384" customFormat="1" ht="24.6" thickBot="1">
      <c r="A57" s="1451"/>
      <c r="B57" s="950" t="s">
        <v>767</v>
      </c>
      <c r="C57" s="238">
        <f ca="1">C29</f>
        <v>8029792</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890552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758480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3211917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239730</v>
      </c>
      <c r="D60" s="964" t="s">
        <v>724</v>
      </c>
      <c r="E60" s="950" t="s">
        <v>712</v>
      </c>
      <c r="F60" s="331">
        <f t="shared" ref="F60:F66" si="0">F32</f>
        <v>5.6000000000000001E-2</v>
      </c>
      <c r="I60" s="1458" t="s">
        <v>853</v>
      </c>
      <c r="J60" s="1459">
        <f ca="1">IF(OR(M47="住宅",J51&lt;L48,J56="是"),"0",ROUND(J59/(1+J52)^J53,0))</f>
        <v>855046</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512426</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6324</v>
      </c>
      <c r="D62" s="965" t="s">
        <v>786</v>
      </c>
      <c r="E62" s="950" t="s">
        <v>787</v>
      </c>
      <c r="F62" s="325">
        <f t="shared" si="0"/>
        <v>24</v>
      </c>
      <c r="I62" s="1462" t="s">
        <v>858</v>
      </c>
      <c r="J62" s="1463" t="s">
        <v>859</v>
      </c>
      <c r="K62" s="1463" t="s">
        <v>860</v>
      </c>
      <c r="L62" s="1463" t="s">
        <v>861</v>
      </c>
      <c r="M62" s="1464" t="s">
        <v>862</v>
      </c>
      <c r="O62" s="1418" t="s">
        <v>409</v>
      </c>
      <c r="P62" s="1419" t="s">
        <v>863</v>
      </c>
      <c r="Q62" s="1420">
        <f ca="1">Q56+Q57</f>
        <v>47911402</v>
      </c>
      <c r="R62" s="1420" t="s">
        <v>410</v>
      </c>
    </row>
    <row r="63" spans="1:18" s="1384" customFormat="1" ht="13.8" thickBot="1">
      <c r="A63" s="326"/>
      <c r="B63" s="956"/>
      <c r="C63" s="26"/>
      <c r="D63" s="966"/>
      <c r="E63" s="950" t="s">
        <v>788</v>
      </c>
      <c r="F63" s="303">
        <f t="shared" ca="1" si="0"/>
        <v>263.48</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80298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6825</v>
      </c>
      <c r="D65" s="964" t="s">
        <v>743</v>
      </c>
      <c r="E65" s="950" t="s">
        <v>744</v>
      </c>
      <c r="F65" s="330">
        <f t="shared" ca="1" si="0"/>
        <v>1E-3</v>
      </c>
      <c r="I65" s="1462" t="s">
        <v>867</v>
      </c>
      <c r="J65" s="1463">
        <v>40</v>
      </c>
      <c r="K65" s="1463">
        <v>30</v>
      </c>
      <c r="L65" s="1463">
        <v>50</v>
      </c>
      <c r="M65" s="1465">
        <v>0.02</v>
      </c>
      <c r="O65" s="1418" t="s">
        <v>403</v>
      </c>
      <c r="P65" s="1419" t="s">
        <v>868</v>
      </c>
      <c r="Q65" s="1420">
        <f ca="1">C40+J29</f>
        <v>47911402</v>
      </c>
      <c r="R65" s="1420" t="s">
        <v>818</v>
      </c>
    </row>
    <row r="66" spans="1:18" s="1384" customFormat="1" ht="16.2" thickBot="1">
      <c r="A66" s="982" t="s">
        <v>793</v>
      </c>
      <c r="B66" s="950" t="s">
        <v>728</v>
      </c>
      <c r="C66" s="21">
        <f ca="1">ROUND(C48*F66,0)</f>
        <v>44949</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3604384</v>
      </c>
      <c r="D67" s="963" t="s">
        <v>753</v>
      </c>
      <c r="E67" s="968"/>
      <c r="F67" s="969"/>
      <c r="O67" s="1428" t="s">
        <v>405</v>
      </c>
      <c r="P67" s="1419" t="s">
        <v>850</v>
      </c>
      <c r="Q67" s="1466">
        <f ca="1">L51</f>
        <v>46809514</v>
      </c>
      <c r="R67" s="1420" t="s">
        <v>870</v>
      </c>
    </row>
    <row r="68" spans="1:18" s="1384" customFormat="1" ht="16.2" thickBot="1">
      <c r="A68" s="947" t="s">
        <v>395</v>
      </c>
      <c r="B68" s="948" t="s">
        <v>774</v>
      </c>
      <c r="C68" s="301">
        <f ca="1">ROUND(C67*(1-((1+F70)/(1+F68))^F69)/(F68-F70),0)</f>
        <v>18788159</v>
      </c>
      <c r="D68" s="965" t="s">
        <v>758</v>
      </c>
      <c r="E68" s="950" t="s">
        <v>759</v>
      </c>
      <c r="F68" s="312">
        <f ca="1">F40</f>
        <v>5.5E-2</v>
      </c>
      <c r="O68" s="1428" t="s">
        <v>406</v>
      </c>
      <c r="P68" s="1467" t="s">
        <v>871</v>
      </c>
      <c r="Q68" s="1420">
        <f ca="1">ROUND(Q69-Q70*Q71,0)</f>
        <v>2727972</v>
      </c>
      <c r="R68" s="1420" t="s">
        <v>414</v>
      </c>
    </row>
    <row r="69" spans="1:18" s="1384" customFormat="1" ht="13.8" thickBot="1">
      <c r="A69" s="951"/>
      <c r="B69" s="952"/>
      <c r="C69" s="306"/>
      <c r="D69" s="970" t="s">
        <v>762</v>
      </c>
      <c r="E69" s="950" t="s">
        <v>763</v>
      </c>
      <c r="F69" s="333">
        <f ca="1">F41</f>
        <v>6.31</v>
      </c>
      <c r="O69" s="1428" t="s">
        <v>411</v>
      </c>
      <c r="P69" s="1467" t="s">
        <v>872</v>
      </c>
      <c r="Q69" s="1420">
        <f ca="1">C39</f>
        <v>3205745</v>
      </c>
      <c r="R69" s="1420" t="s">
        <v>818</v>
      </c>
    </row>
    <row r="70" spans="1:18" s="1384" customFormat="1" ht="13.8" thickBot="1">
      <c r="A70" s="954"/>
      <c r="B70" s="955"/>
      <c r="C70" s="310"/>
      <c r="D70" s="966"/>
      <c r="E70" s="950" t="s">
        <v>766</v>
      </c>
      <c r="F70" s="1054"/>
      <c r="O70" s="1428" t="s">
        <v>412</v>
      </c>
      <c r="P70" s="1467" t="s">
        <v>873</v>
      </c>
      <c r="Q70" s="1420">
        <f ca="1">C13</f>
        <v>6825323</v>
      </c>
      <c r="R70" s="1420" t="s">
        <v>818</v>
      </c>
    </row>
    <row r="71" spans="1:18" s="1384" customFormat="1" ht="13.8" thickBot="1">
      <c r="A71" s="971" t="s">
        <v>396</v>
      </c>
      <c r="B71" s="972" t="s">
        <v>776</v>
      </c>
      <c r="C71" s="336">
        <f ca="1">ROUND(C68/F71,0)</f>
        <v>17436</v>
      </c>
      <c r="D71" s="973" t="s">
        <v>777</v>
      </c>
      <c r="E71" s="974" t="s">
        <v>778</v>
      </c>
      <c r="F71" s="339">
        <f ca="1">F43</f>
        <v>1077.56</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477773</v>
      </c>
      <c r="D75" s="1384"/>
      <c r="E75" s="1384"/>
      <c r="F75" s="1384"/>
      <c r="K75" s="1402"/>
      <c r="L75" s="1384"/>
      <c r="O75" s="1418" t="s">
        <v>409</v>
      </c>
      <c r="P75" s="1419" t="s">
        <v>838</v>
      </c>
      <c r="Q75" s="1420">
        <f ca="1">Q65+Q66</f>
        <v>47911402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0.85099999999999998</v>
      </c>
    </row>
    <row r="80" spans="1:18">
      <c r="B80" s="340" t="s">
        <v>800</v>
      </c>
      <c r="C80" s="274">
        <f ca="1">ROUND(C75/C39,3)</f>
        <v>0.14899999999999999</v>
      </c>
    </row>
    <row r="81" spans="2:3">
      <c r="B81" s="270" t="s">
        <v>801</v>
      </c>
      <c r="C81" s="238"/>
    </row>
    <row r="82" spans="2:3">
      <c r="B82" s="273" t="s">
        <v>802</v>
      </c>
      <c r="C82" s="275">
        <f ca="1">1-C83</f>
        <v>0.59200000000000008</v>
      </c>
    </row>
    <row r="83" spans="2:3">
      <c r="B83" s="273" t="s">
        <v>803</v>
      </c>
      <c r="C83" s="274">
        <f ca="1">ROUND(C13/C40,3)</f>
        <v>0.40799999999999997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3494</v>
      </c>
      <c r="D1" s="1362" t="s">
        <v>43</v>
      </c>
      <c r="E1" s="1363" t="s">
        <v>678</v>
      </c>
      <c r="F1" s="1062">
        <f ca="1">J53</f>
        <v>18.3</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0">
        <f ca="1">ROUND(D2/10000,4)</f>
        <v>297.91239999999999</v>
      </c>
      <c r="C2" s="1387" t="s">
        <v>879</v>
      </c>
      <c r="D2" s="1471">
        <f ca="1">C40+J29+L46</f>
        <v>2979124</v>
      </c>
      <c r="E2" s="1388" t="s">
        <v>880</v>
      </c>
      <c r="F2" s="1389"/>
      <c r="G2" s="2701"/>
      <c r="H2" s="2690"/>
      <c r="I2" s="2690"/>
      <c r="J2" s="2690"/>
      <c r="K2" s="2691"/>
      <c r="L2" s="2690"/>
      <c r="M2" s="2690"/>
    </row>
    <row r="3" spans="1:37" ht="18" customHeight="1" thickBot="1">
      <c r="A3" s="1390" t="s">
        <v>881</v>
      </c>
      <c r="B3" s="1391">
        <f ca="1">IF(ISERROR(D2/F43),0,ROUND(D2/F43,0))</f>
        <v>48386</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888</v>
      </c>
      <c r="C5" s="1070">
        <f ca="1">C6+C10+C12</f>
        <v>256833</v>
      </c>
      <c r="D5" s="1364" t="s">
        <v>889</v>
      </c>
      <c r="E5" s="1071"/>
      <c r="F5" s="1072"/>
      <c r="G5" s="1384"/>
      <c r="H5" s="299">
        <v>1</v>
      </c>
      <c r="I5" s="300" t="s">
        <v>888</v>
      </c>
      <c r="J5" s="1070">
        <f ca="1">J6+J10+J12</f>
        <v>0</v>
      </c>
      <c r="K5" s="1364" t="s">
        <v>889</v>
      </c>
      <c r="L5" s="1071"/>
      <c r="M5" s="1072"/>
    </row>
    <row r="6" spans="1:37" ht="18" customHeight="1">
      <c r="A6" s="1069" t="s">
        <v>398</v>
      </c>
      <c r="B6" s="3724" t="s">
        <v>694</v>
      </c>
      <c r="C6" s="1074">
        <f ca="1">ROUND(F6*F8*F7*(1-F9),0)</f>
        <v>256193</v>
      </c>
      <c r="D6" s="155" t="s">
        <v>2105</v>
      </c>
      <c r="E6" s="302" t="s">
        <v>696</v>
      </c>
      <c r="F6" s="303">
        <f ca="1">INDIRECT("'数据-取费表'!u"&amp;$G$1)</f>
        <v>12</v>
      </c>
      <c r="G6" s="1384"/>
      <c r="H6" s="1069" t="s">
        <v>398</v>
      </c>
      <c r="I6" s="3724" t="s">
        <v>694</v>
      </c>
      <c r="J6" s="301">
        <f ca="1">ROUND(M6*M8*M7*(1-M9),0)</f>
        <v>0</v>
      </c>
      <c r="K6" s="1376" t="s">
        <v>2106</v>
      </c>
      <c r="L6" s="302" t="s">
        <v>696</v>
      </c>
      <c r="M6" s="303">
        <f ca="1">INDIRECT("'数据-取费表'!z"&amp;$G$1)</f>
        <v>0</v>
      </c>
    </row>
    <row r="7" spans="1:37" ht="18" customHeight="1">
      <c r="A7" s="1073"/>
      <c r="B7" s="3725"/>
      <c r="C7" s="1075"/>
      <c r="D7" s="307"/>
      <c r="E7" s="3478" t="s">
        <v>697</v>
      </c>
      <c r="F7" s="303">
        <f ca="1">IF(INDIRECT("'数据-取费表'!ah"&amp;$G$1)="",INDIRECT("'数据-取费表'!k"&amp;$G$1),INDIRECT("'数据-取费表'!ah"&amp;$G$1))</f>
        <v>61.57</v>
      </c>
      <c r="G7" s="1384"/>
      <c r="H7" s="304"/>
      <c r="I7" s="3725"/>
      <c r="J7" s="306"/>
      <c r="K7" s="307"/>
      <c r="L7" s="302" t="s">
        <v>697</v>
      </c>
      <c r="M7" s="303">
        <f ca="1">F7</f>
        <v>61.57</v>
      </c>
    </row>
    <row r="8" spans="1:37" ht="18" customHeight="1">
      <c r="A8" s="304"/>
      <c r="B8" s="3725"/>
      <c r="C8" s="306"/>
      <c r="D8" s="307"/>
      <c r="E8" s="302" t="s">
        <v>698</v>
      </c>
      <c r="F8" s="303">
        <f ca="1">INDIRECT("'数据-取费表'!ai"&amp;$G$1)</f>
        <v>365</v>
      </c>
      <c r="G8" s="1384"/>
      <c r="H8" s="304"/>
      <c r="I8" s="3725"/>
      <c r="J8" s="306"/>
      <c r="K8" s="307"/>
      <c r="L8" s="302" t="s">
        <v>698</v>
      </c>
      <c r="M8" s="303">
        <f ca="1">INDIRECT("'数据-取费表'!ai"&amp;$G$1)</f>
        <v>365</v>
      </c>
    </row>
    <row r="9" spans="1:37" ht="18" customHeight="1">
      <c r="A9" s="304"/>
      <c r="B9" s="3726"/>
      <c r="C9" s="306"/>
      <c r="D9" s="307"/>
      <c r="E9" s="302" t="s">
        <v>699</v>
      </c>
      <c r="F9" s="312">
        <f ca="1">INDIRECT("'数据-取费表'!w"&amp;$G$1)</f>
        <v>0.05</v>
      </c>
      <c r="G9" s="1384"/>
      <c r="H9" s="304"/>
      <c r="I9" s="3726"/>
      <c r="J9" s="306"/>
      <c r="K9" s="307"/>
      <c r="L9" s="313" t="s">
        <v>699</v>
      </c>
      <c r="M9" s="314">
        <f ca="1">INDIRECT("'数据-取费表'!ab"&amp;$G$1)</f>
        <v>0</v>
      </c>
    </row>
    <row r="10" spans="1:37" ht="18" customHeight="1">
      <c r="A10" s="1069" t="s">
        <v>402</v>
      </c>
      <c r="B10" s="1365" t="s">
        <v>700</v>
      </c>
      <c r="C10" s="316">
        <f ca="1">ROUND(IF(F10="押一",C6/12*F11,IF(F10="押二",C6/12*2*F11,IF(F10="押三",C6/12*3*F11,C11*F11))),0)</f>
        <v>640</v>
      </c>
      <c r="D10" s="1366" t="s">
        <v>2115</v>
      </c>
      <c r="E10" s="313" t="s">
        <v>701</v>
      </c>
      <c r="F10" s="1116" t="s">
        <v>3514</v>
      </c>
      <c r="G10" s="1384"/>
      <c r="H10" s="1069" t="s">
        <v>402</v>
      </c>
      <c r="I10" s="1365" t="s">
        <v>700</v>
      </c>
      <c r="J10" s="301">
        <f ca="1">ROUND(IF(M10="押一",J6/12*M11,IF(M10="押二",J6/12*2*M11,IF(M10="押三",J6/12*3*M11,J11*M11))),0)</f>
        <v>0</v>
      </c>
      <c r="K10" s="1377" t="s">
        <v>2117</v>
      </c>
      <c r="L10" s="313" t="s">
        <v>701</v>
      </c>
      <c r="M10" s="1116" t="s">
        <v>3391</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329891</v>
      </c>
      <c r="D13" s="3475" t="s">
        <v>705</v>
      </c>
      <c r="E13" s="3475"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258594</v>
      </c>
      <c r="D14" s="3481" t="s">
        <v>708</v>
      </c>
      <c r="E14" s="3480"/>
      <c r="F14" s="319"/>
      <c r="G14" s="1384"/>
      <c r="H14" s="982" t="s">
        <v>398</v>
      </c>
      <c r="I14" s="302" t="s">
        <v>709</v>
      </c>
      <c r="J14" s="21">
        <f ca="1">C29</f>
        <v>388107</v>
      </c>
      <c r="K14" s="3477"/>
      <c r="L14" s="807"/>
      <c r="M14" s="808"/>
    </row>
    <row r="15" spans="1:37" s="1397" customFormat="1" ht="18" customHeight="1" thickBot="1">
      <c r="A15" s="982" t="s">
        <v>399</v>
      </c>
      <c r="B15" s="302" t="s">
        <v>710</v>
      </c>
      <c r="C15" s="21">
        <f ca="1">ROUND(C14*F15,0)</f>
        <v>7758</v>
      </c>
      <c r="D15" s="3476" t="s">
        <v>711</v>
      </c>
      <c r="E15" s="3476"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4242</v>
      </c>
      <c r="K16" s="1087" t="s">
        <v>715</v>
      </c>
      <c r="L16" s="3483"/>
      <c r="M16" s="1072"/>
    </row>
    <row r="17" spans="1:37" s="1397" customFormat="1" ht="18" customHeight="1">
      <c r="A17" s="982" t="s">
        <v>681</v>
      </c>
      <c r="B17" s="302" t="s">
        <v>716</v>
      </c>
      <c r="C17" s="21">
        <f ca="1">ROUND(F17*(F43+INDIRECT("'数据-取费表'!S"&amp;$G$1)),0)</f>
        <v>12314</v>
      </c>
      <c r="D17" s="302" t="s">
        <v>717</v>
      </c>
      <c r="E17" s="302" t="s">
        <v>718</v>
      </c>
      <c r="F17" s="23">
        <f>'数据-取费表'!B35</f>
        <v>200</v>
      </c>
      <c r="G17" s="1396"/>
      <c r="H17" s="982" t="s">
        <v>398</v>
      </c>
      <c r="I17" s="302" t="s">
        <v>719</v>
      </c>
      <c r="J17" s="2316">
        <f ca="1">ROUND(IF(AND(项目基本情况!B11="自然人",项目基本情况!B10="北京市"),J6*M17/(1+'数据-取费表'!C42),J18+J19+J20),0)</f>
        <v>361</v>
      </c>
      <c r="K17" s="3481" t="s">
        <v>720</v>
      </c>
      <c r="L17" s="348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3879</v>
      </c>
      <c r="D18" s="302" t="s">
        <v>711</v>
      </c>
      <c r="E18" s="302" t="s">
        <v>712</v>
      </c>
      <c r="F18" s="322">
        <f>'数据-取费表'!B36</f>
        <v>1.4999999999999999E-2</v>
      </c>
      <c r="G18" s="1396"/>
      <c r="H18" s="982" t="s">
        <v>397</v>
      </c>
      <c r="I18" s="302" t="s">
        <v>723</v>
      </c>
      <c r="J18" s="21">
        <f ca="1">ROUND(J6*M18/(1+'数据-取费表'!C42),0)</f>
        <v>0</v>
      </c>
      <c r="K18" s="348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282545</v>
      </c>
      <c r="D19" s="131" t="s">
        <v>726</v>
      </c>
      <c r="E19" s="3485"/>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5651</v>
      </c>
      <c r="D20" s="2424" t="s">
        <v>729</v>
      </c>
      <c r="E20" s="302" t="s">
        <v>712</v>
      </c>
      <c r="F20" s="322">
        <f>'数据-取费表'!B37</f>
        <v>0.02</v>
      </c>
      <c r="G20" s="1396"/>
      <c r="H20" s="982" t="s">
        <v>680</v>
      </c>
      <c r="I20" s="155" t="s">
        <v>730</v>
      </c>
      <c r="J20" s="22">
        <f ca="1">ROUND(M20*M21,0)</f>
        <v>361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4" t="s">
        <v>734</v>
      </c>
      <c r="E21" s="302" t="s">
        <v>735</v>
      </c>
      <c r="F21" s="322">
        <f>'数据-取费表'!B38</f>
        <v>0.02</v>
      </c>
      <c r="G21" s="1396"/>
      <c r="H21" s="326"/>
      <c r="I21" s="311"/>
      <c r="J21" s="26"/>
      <c r="K21" s="327"/>
      <c r="L21" s="302" t="s">
        <v>736</v>
      </c>
      <c r="M21" s="303">
        <f ca="1">INDIRECT("'数据-取费表'!r"&amp;$G$1)</f>
        <v>15.06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5"/>
      <c r="F22" s="23"/>
      <c r="G22" s="1384"/>
      <c r="H22" s="982" t="s">
        <v>402</v>
      </c>
      <c r="I22" s="302" t="s">
        <v>738</v>
      </c>
      <c r="J22" s="21">
        <f ca="1">ROUND(J14*M22,0)</f>
        <v>3881</v>
      </c>
      <c r="K22" s="3482"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11961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82"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5"/>
      <c r="F25" s="23"/>
      <c r="G25" s="1384"/>
      <c r="H25" s="1079" t="s">
        <v>394</v>
      </c>
      <c r="I25" s="1094" t="s">
        <v>752</v>
      </c>
      <c r="J25" s="310">
        <f ca="1">J5-J16</f>
        <v>-4242</v>
      </c>
      <c r="K25" s="1095" t="s">
        <v>753</v>
      </c>
      <c r="L25" s="1096"/>
      <c r="M25" s="1097"/>
    </row>
    <row r="26" spans="1:37" ht="18" customHeight="1">
      <c r="A26" s="982" t="s">
        <v>397</v>
      </c>
      <c r="B26" s="302" t="s">
        <v>754</v>
      </c>
      <c r="C26" s="21">
        <f ca="1">ROUND((C19+C20)*F26,0)</f>
        <v>57639</v>
      </c>
      <c r="D26" s="2424"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4" t="s">
        <v>761</v>
      </c>
      <c r="E27" s="3476"/>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4"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388107</v>
      </c>
      <c r="D29" s="1092"/>
      <c r="E29" s="1090"/>
      <c r="F29" s="1093"/>
      <c r="G29" s="1396"/>
      <c r="H29" s="334" t="s">
        <v>396</v>
      </c>
      <c r="I29" s="335" t="s">
        <v>768</v>
      </c>
      <c r="J29" s="336">
        <f ca="1">ROUND(J26/(1+F40)^F41,0)</f>
        <v>0</v>
      </c>
      <c r="K29" s="337" t="s">
        <v>769</v>
      </c>
      <c r="L29" s="338"/>
      <c r="M29" s="339">
        <f ca="1">INDIRECT("'数据-取费表'!k"&amp;$G$1)</f>
        <v>61.57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50083</v>
      </c>
      <c r="D30" s="1087" t="s">
        <v>715</v>
      </c>
      <c r="E30" s="3483"/>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43304</v>
      </c>
      <c r="D31" s="3481" t="s">
        <v>720</v>
      </c>
      <c r="E31" s="3482" t="s">
        <v>770</v>
      </c>
      <c r="F31" s="2315" t="str">
        <f>IF(项目基本情况!B11="企业","——",IF(M47="住宅",IF(F6*F7*F8/12/(1+'数据-取费表'!F30)&gt;100000,4%,2.5%),IF(F6*F7*F8/12/(1+'数据-取费表'!F30)&gt;100000,12%,7%)))</f>
        <v>——</v>
      </c>
      <c r="G31" s="1384"/>
      <c r="H31" s="2803" t="s">
        <v>2303</v>
      </c>
      <c r="I31" s="1398"/>
      <c r="J31" s="1399"/>
      <c r="K31" s="2470"/>
      <c r="L31" s="2693"/>
      <c r="M31" s="2694"/>
    </row>
    <row r="32" spans="1:37" ht="18" customHeight="1">
      <c r="A32" s="982" t="s">
        <v>397</v>
      </c>
      <c r="B32" s="302" t="s">
        <v>723</v>
      </c>
      <c r="C32" s="21">
        <f ca="1">IF(项目基本情况!B11="自然人","——",ROUND(C6*F32/(1+'数据-取费表'!C42),0))</f>
        <v>13664</v>
      </c>
      <c r="D32" s="3482"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29279</v>
      </c>
      <c r="D33" s="1370" t="s">
        <v>3335</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361</v>
      </c>
      <c r="D34" s="324" t="s">
        <v>731</v>
      </c>
      <c r="E34" s="302" t="s">
        <v>732</v>
      </c>
      <c r="F34" s="325">
        <f>'数据-取费表'!B52</f>
        <v>24</v>
      </c>
      <c r="G34" s="1384"/>
      <c r="H34" s="2692"/>
      <c r="I34" s="1398"/>
      <c r="J34" s="1399"/>
      <c r="K34" s="2697"/>
      <c r="L34" s="2698"/>
      <c r="M34" s="2698"/>
    </row>
    <row r="35" spans="1:18" ht="18" customHeight="1">
      <c r="A35" s="1103"/>
      <c r="B35" s="1101"/>
      <c r="C35" s="26"/>
      <c r="D35" s="327"/>
      <c r="E35" s="302" t="s">
        <v>736</v>
      </c>
      <c r="F35" s="303">
        <f ca="1">INDIRECT("'数据-取费表'!r"&amp;$G$1)</f>
        <v>15.06</v>
      </c>
      <c r="G35" s="1384"/>
      <c r="H35" s="2692"/>
      <c r="I35" s="1398"/>
      <c r="J35" s="1399"/>
      <c r="K35" s="2696"/>
      <c r="L35" s="2695"/>
      <c r="M35" s="2695"/>
    </row>
    <row r="36" spans="1:18" ht="18" customHeight="1">
      <c r="A36" s="1102" t="s">
        <v>402</v>
      </c>
      <c r="B36" s="302" t="s">
        <v>738</v>
      </c>
      <c r="C36" s="21">
        <f ca="1">ROUND(C29*F36,0)</f>
        <v>3881</v>
      </c>
      <c r="D36" s="3482"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ROUND(C13*F37,0)</f>
        <v>330</v>
      </c>
      <c r="D37" s="3482" t="s">
        <v>743</v>
      </c>
      <c r="E37" s="302" t="s">
        <v>712</v>
      </c>
      <c r="F37" s="330">
        <f ca="1">INDIRECT("'数据-取费表'!Al"&amp;$G$1)</f>
        <v>1E-3</v>
      </c>
      <c r="G37" s="1384"/>
      <c r="H37" s="2695"/>
      <c r="I37" s="1398"/>
      <c r="J37" s="1399"/>
      <c r="K37" s="2539"/>
      <c r="L37" s="2695"/>
      <c r="M37" s="2695"/>
    </row>
    <row r="38" spans="1:18" ht="18" customHeight="1" thickBot="1">
      <c r="A38" s="1089" t="s">
        <v>683</v>
      </c>
      <c r="B38" s="1090" t="s">
        <v>728</v>
      </c>
      <c r="C38" s="1091">
        <f ca="1">ROUND(C5*F38,0)</f>
        <v>2568</v>
      </c>
      <c r="D38" s="1092" t="s">
        <v>748</v>
      </c>
      <c r="E38" s="1090" t="s">
        <v>712</v>
      </c>
      <c r="F38" s="1086">
        <f ca="1">INDIRECT("'数据-取费表'!Am"&amp;$G$1)</f>
        <v>0.01</v>
      </c>
      <c r="G38" s="1384"/>
      <c r="H38" s="2695"/>
      <c r="I38" s="1398"/>
      <c r="J38" s="1399"/>
      <c r="K38" s="2699"/>
      <c r="L38" s="2695"/>
      <c r="M38" s="2695"/>
    </row>
    <row r="39" spans="1:18" ht="24.6" customHeight="1" thickTop="1">
      <c r="A39" s="1079" t="s">
        <v>394</v>
      </c>
      <c r="B39" s="1094" t="s">
        <v>772</v>
      </c>
      <c r="C39" s="310">
        <f ca="1">C5-C30</f>
        <v>206750</v>
      </c>
      <c r="D39" s="1095" t="s">
        <v>773</v>
      </c>
      <c r="E39" s="1096"/>
      <c r="F39" s="1097"/>
      <c r="G39" s="1384"/>
      <c r="H39" s="2695"/>
      <c r="I39" s="1398"/>
      <c r="J39" s="1399"/>
      <c r="K39" s="2699"/>
      <c r="L39" s="2695"/>
      <c r="M39" s="2695"/>
    </row>
    <row r="40" spans="1:18" ht="18" customHeight="1">
      <c r="A40" s="299" t="s">
        <v>395</v>
      </c>
      <c r="B40" s="300" t="s">
        <v>774</v>
      </c>
      <c r="C40" s="301">
        <f ca="1">ROUND(C39*(1-((1+F42)/(1+F40))^F41)/(F40-F42),0)</f>
        <v>2937797</v>
      </c>
      <c r="D40" s="324" t="s">
        <v>758</v>
      </c>
      <c r="E40" s="302" t="s">
        <v>759</v>
      </c>
      <c r="F40" s="312">
        <f ca="1">INDIRECT("'数据-取费表'!I"&amp;$G$1)</f>
        <v>5.5E-2</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18.3</v>
      </c>
      <c r="G41" s="1384"/>
      <c r="H41" s="1191"/>
      <c r="I41" s="1398"/>
      <c r="J41" s="1399"/>
      <c r="K41" s="2539"/>
      <c r="L41" s="1191"/>
      <c r="M41" s="1191"/>
    </row>
    <row r="42" spans="1:18" ht="18" customHeight="1">
      <c r="A42" s="308"/>
      <c r="B42" s="309"/>
      <c r="C42" s="310"/>
      <c r="D42" s="327"/>
      <c r="E42" s="302" t="s">
        <v>766</v>
      </c>
      <c r="F42" s="312">
        <f ca="1">INDIRECT("'数据-取费表'!v"&amp;$G$1)</f>
        <v>0.03</v>
      </c>
      <c r="G42" s="1384"/>
      <c r="H42" s="1191"/>
      <c r="I42" s="1398"/>
      <c r="J42" s="1399"/>
      <c r="K42" s="2539"/>
      <c r="L42" s="1191"/>
      <c r="M42" s="1191"/>
    </row>
    <row r="43" spans="1:18" ht="18" customHeight="1" thickBot="1">
      <c r="A43" s="334" t="s">
        <v>396</v>
      </c>
      <c r="B43" s="335" t="s">
        <v>776</v>
      </c>
      <c r="C43" s="336">
        <f ca="1">ROUND(C40/F43,0)</f>
        <v>47715</v>
      </c>
      <c r="D43" s="337" t="s">
        <v>777</v>
      </c>
      <c r="E43" s="338" t="s">
        <v>778</v>
      </c>
      <c r="F43" s="339">
        <f ca="1">INDIRECT("'数据-取费表'!k"&amp;$G$1)</f>
        <v>61.57</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6" t="s">
        <v>3351</v>
      </c>
      <c r="B45" s="1400"/>
      <c r="C45" s="1472">
        <f ca="1">ROUND((C68-C40)/10000,4)</f>
        <v>-298.97190000000001</v>
      </c>
      <c r="D45" s="3427" t="s">
        <v>3352</v>
      </c>
      <c r="E45" s="1400"/>
      <c r="F45" s="1400"/>
      <c r="O45" s="1403" t="s">
        <v>808</v>
      </c>
      <c r="P45" s="1461"/>
      <c r="Q45" s="1461"/>
      <c r="R45" s="1461"/>
    </row>
    <row r="46" spans="1:18" s="1384" customFormat="1" ht="13.8" thickBot="1">
      <c r="A46" s="1404" t="s">
        <v>809</v>
      </c>
      <c r="C46" s="1405">
        <f ca="1">ROUND(C45,0)</f>
        <v>-299</v>
      </c>
      <c r="D46" s="1406" t="str">
        <f>C2</f>
        <v>万元</v>
      </c>
      <c r="I46" s="1407" t="s">
        <v>810</v>
      </c>
      <c r="J46" s="1408"/>
      <c r="K46" s="1409"/>
      <c r="L46" s="1410">
        <f ca="1">IF(M47="住宅",0,IF(L48&gt;J51,L60,J60))</f>
        <v>41327</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2937797</v>
      </c>
      <c r="R47" s="1420" t="s">
        <v>818</v>
      </c>
    </row>
    <row r="48" spans="1:18" s="1384" customFormat="1" ht="40.200000000000003" thickBot="1">
      <c r="A48" s="1110" t="s">
        <v>438</v>
      </c>
      <c r="B48" s="300" t="s">
        <v>692</v>
      </c>
      <c r="C48" s="3484">
        <f ca="1">C49+C53+C55</f>
        <v>0</v>
      </c>
      <c r="D48" s="1112"/>
      <c r="E48" s="1113"/>
      <c r="F48" s="962"/>
      <c r="G48" s="722"/>
      <c r="H48" s="723"/>
      <c r="I48" s="1421" t="s">
        <v>819</v>
      </c>
      <c r="J48" s="1422" t="s">
        <v>3393</v>
      </c>
      <c r="K48" s="1423" t="s">
        <v>820</v>
      </c>
      <c r="L48" s="1424">
        <f ca="1">INDIRECT("'数据-取费表'!f"&amp;$G$1)</f>
        <v>18.3</v>
      </c>
      <c r="O48" s="1418" t="s">
        <v>404</v>
      </c>
      <c r="P48" s="1419" t="s">
        <v>821</v>
      </c>
      <c r="Q48" s="1420">
        <f ca="1">J60</f>
        <v>41327</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f>'数据-取费表'!N19</f>
        <v>2003</v>
      </c>
      <c r="K49" s="1423" t="s">
        <v>824</v>
      </c>
      <c r="L49" s="1427"/>
      <c r="O49" s="1428" t="s">
        <v>405</v>
      </c>
      <c r="P49" s="1419" t="s">
        <v>825</v>
      </c>
      <c r="Q49" s="1420">
        <f ca="1">C29</f>
        <v>388107</v>
      </c>
      <c r="R49" s="1420" t="s">
        <v>818</v>
      </c>
    </row>
    <row r="50" spans="1:18" s="1384" customFormat="1" ht="13.8" thickBot="1">
      <c r="A50" s="976"/>
      <c r="B50" s="979"/>
      <c r="C50" s="980"/>
      <c r="D50" s="953"/>
      <c r="E50" s="1056" t="s">
        <v>697</v>
      </c>
      <c r="F50" s="1057">
        <f ca="1">F7</f>
        <v>61.57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3151397</v>
      </c>
      <c r="M51" s="1436"/>
      <c r="O51" s="1428" t="s">
        <v>407</v>
      </c>
      <c r="P51" s="1419" t="s">
        <v>831</v>
      </c>
      <c r="Q51" s="1431">
        <f>J52</f>
        <v>7.5000000000000011E-2</v>
      </c>
      <c r="R51" s="1420"/>
    </row>
    <row r="52" spans="1:18" s="1384" customFormat="1" ht="13.8"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18.3</v>
      </c>
      <c r="R52" s="1420" t="s">
        <v>835</v>
      </c>
    </row>
    <row r="53" spans="1:18" s="1384" customFormat="1" ht="30.75" customHeight="1" thickBot="1">
      <c r="A53" s="1111" t="s">
        <v>440</v>
      </c>
      <c r="B53" s="2424"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18.3</v>
      </c>
      <c r="K53" s="3722" t="s">
        <v>837</v>
      </c>
      <c r="L53" s="3723"/>
      <c r="O53" s="1418" t="s">
        <v>409</v>
      </c>
      <c r="P53" s="1419" t="s">
        <v>838</v>
      </c>
      <c r="Q53" s="1420">
        <f ca="1">Q47+Q48</f>
        <v>2979124</v>
      </c>
      <c r="R53" s="1420" t="s">
        <v>410</v>
      </c>
    </row>
    <row r="54" spans="1:18" s="1384" customFormat="1" ht="13.8" thickBot="1">
      <c r="A54" s="975"/>
      <c r="B54" s="1473" t="s">
        <v>891</v>
      </c>
      <c r="C54" s="959"/>
      <c r="D54" s="1366"/>
      <c r="E54" s="3479"/>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79"/>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329891</v>
      </c>
      <c r="D56" s="1447"/>
      <c r="E56" s="1448"/>
      <c r="F56" s="1440"/>
      <c r="I56" s="1449" t="s">
        <v>842</v>
      </c>
      <c r="J56" s="1450" t="s">
        <v>3433</v>
      </c>
      <c r="K56" s="1421" t="s">
        <v>843</v>
      </c>
      <c r="L56" s="1424" t="str">
        <f ca="1">IF(L48&lt;J51,"——",L48-J51)</f>
        <v>——</v>
      </c>
      <c r="O56" s="1418" t="s">
        <v>403</v>
      </c>
      <c r="P56" s="1419" t="s">
        <v>817</v>
      </c>
      <c r="Q56" s="1420">
        <f ca="1">C40+J29</f>
        <v>2937797</v>
      </c>
      <c r="R56" s="1420" t="s">
        <v>818</v>
      </c>
    </row>
    <row r="57" spans="1:18" s="1384" customFormat="1" ht="24.6" thickBot="1">
      <c r="A57" s="1451"/>
      <c r="B57" s="950" t="s">
        <v>767</v>
      </c>
      <c r="C57" s="238">
        <f ca="1">C29</f>
        <v>388107</v>
      </c>
      <c r="D57" s="1452"/>
      <c r="E57" s="1453"/>
      <c r="F57" s="1454"/>
      <c r="I57" s="1455" t="s">
        <v>844</v>
      </c>
      <c r="J57" s="1456">
        <f ca="1">IF(OR(M47="住宅",J51&lt;L48,J56="是"),"——",J51-L48)</f>
        <v>21.7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4572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361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155243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41327</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727</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730</v>
      </c>
      <c r="C62" s="22">
        <f ca="1">IF(项目基本情况!B11="自然人","——",ROUND(F62*F63,0))</f>
        <v>361</v>
      </c>
      <c r="D62" s="965" t="s">
        <v>786</v>
      </c>
      <c r="E62" s="950" t="s">
        <v>732</v>
      </c>
      <c r="F62" s="325">
        <f t="shared" si="0"/>
        <v>24</v>
      </c>
      <c r="I62" s="1462" t="s">
        <v>858</v>
      </c>
      <c r="J62" s="1463" t="s">
        <v>859</v>
      </c>
      <c r="K62" s="1463" t="s">
        <v>860</v>
      </c>
      <c r="L62" s="1463" t="s">
        <v>861</v>
      </c>
      <c r="M62" s="1464" t="s">
        <v>862</v>
      </c>
      <c r="O62" s="1418" t="s">
        <v>409</v>
      </c>
      <c r="P62" s="1419" t="s">
        <v>863</v>
      </c>
      <c r="Q62" s="1420">
        <f ca="1">Q56+Q57</f>
        <v>2937797</v>
      </c>
      <c r="R62" s="1420" t="s">
        <v>410</v>
      </c>
    </row>
    <row r="63" spans="1:18" s="1384" customFormat="1" ht="13.8" thickBot="1">
      <c r="A63" s="326"/>
      <c r="B63" s="956"/>
      <c r="C63" s="26"/>
      <c r="D63" s="966"/>
      <c r="E63" s="950" t="s">
        <v>736</v>
      </c>
      <c r="F63" s="303">
        <f t="shared" ca="1" si="0"/>
        <v>15.06</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3881</v>
      </c>
      <c r="D64" s="964" t="s">
        <v>771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330</v>
      </c>
      <c r="D65" s="964" t="s">
        <v>743</v>
      </c>
      <c r="E65" s="950" t="s">
        <v>712</v>
      </c>
      <c r="F65" s="330">
        <f t="shared" ca="1" si="0"/>
        <v>1E-3</v>
      </c>
      <c r="I65" s="1462" t="s">
        <v>867</v>
      </c>
      <c r="J65" s="1463">
        <v>40</v>
      </c>
      <c r="K65" s="1463">
        <v>30</v>
      </c>
      <c r="L65" s="1463">
        <v>50</v>
      </c>
      <c r="M65" s="1465">
        <v>0.02</v>
      </c>
      <c r="O65" s="1418" t="s">
        <v>403</v>
      </c>
      <c r="P65" s="1419" t="s">
        <v>868</v>
      </c>
      <c r="Q65" s="1420">
        <f ca="1">C40+J29</f>
        <v>2937797</v>
      </c>
      <c r="R65" s="1420" t="s">
        <v>818</v>
      </c>
    </row>
    <row r="66" spans="1:18" s="1384" customFormat="1" ht="16.2"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-4572</v>
      </c>
      <c r="D67" s="963" t="s">
        <v>753</v>
      </c>
      <c r="E67" s="968"/>
      <c r="F67" s="969"/>
      <c r="O67" s="1428" t="s">
        <v>405</v>
      </c>
      <c r="P67" s="1419" t="s">
        <v>850</v>
      </c>
      <c r="Q67" s="1466">
        <f ca="1">L51</f>
        <v>3151397</v>
      </c>
      <c r="R67" s="1420" t="s">
        <v>870</v>
      </c>
    </row>
    <row r="68" spans="1:18" s="1384" customFormat="1" ht="16.2" thickBot="1">
      <c r="A68" s="947" t="s">
        <v>395</v>
      </c>
      <c r="B68" s="948" t="s">
        <v>774</v>
      </c>
      <c r="C68" s="301">
        <f ca="1">ROUND(C67*(1-((1+F70)/(1+F68))^F69)/(F68-F70),0)</f>
        <v>-51922</v>
      </c>
      <c r="D68" s="965" t="s">
        <v>758</v>
      </c>
      <c r="E68" s="950" t="s">
        <v>759</v>
      </c>
      <c r="F68" s="312">
        <f ca="1">F40</f>
        <v>5.5E-2</v>
      </c>
      <c r="O68" s="1428" t="s">
        <v>406</v>
      </c>
      <c r="P68" s="1467" t="s">
        <v>871</v>
      </c>
      <c r="Q68" s="1420">
        <f ca="1">ROUND(Q69-Q70*Q71,0)</f>
        <v>183658</v>
      </c>
      <c r="R68" s="1420" t="s">
        <v>414</v>
      </c>
    </row>
    <row r="69" spans="1:18" s="1384" customFormat="1" ht="13.8" thickBot="1">
      <c r="A69" s="951"/>
      <c r="B69" s="952"/>
      <c r="C69" s="306"/>
      <c r="D69" s="970" t="s">
        <v>762</v>
      </c>
      <c r="E69" s="950" t="s">
        <v>763</v>
      </c>
      <c r="F69" s="333">
        <f ca="1">F41</f>
        <v>18.3</v>
      </c>
      <c r="O69" s="1428" t="s">
        <v>411</v>
      </c>
      <c r="P69" s="1467" t="s">
        <v>872</v>
      </c>
      <c r="Q69" s="1420">
        <f ca="1">C39</f>
        <v>206750</v>
      </c>
      <c r="R69" s="1420" t="s">
        <v>818</v>
      </c>
    </row>
    <row r="70" spans="1:18" s="1384" customFormat="1" ht="13.8" thickBot="1">
      <c r="A70" s="954"/>
      <c r="B70" s="955"/>
      <c r="C70" s="310"/>
      <c r="D70" s="966"/>
      <c r="E70" s="950" t="s">
        <v>766</v>
      </c>
      <c r="F70" s="1054"/>
      <c r="O70" s="1428" t="s">
        <v>412</v>
      </c>
      <c r="P70" s="1467" t="s">
        <v>873</v>
      </c>
      <c r="Q70" s="1420">
        <f ca="1">C13</f>
        <v>329891</v>
      </c>
      <c r="R70" s="1420" t="s">
        <v>818</v>
      </c>
    </row>
    <row r="71" spans="1:18" s="1384" customFormat="1" ht="13.8" thickBot="1">
      <c r="A71" s="971" t="s">
        <v>396</v>
      </c>
      <c r="B71" s="972" t="s">
        <v>776</v>
      </c>
      <c r="C71" s="336">
        <f ca="1">ROUND(C68/F71,0)</f>
        <v>-843</v>
      </c>
      <c r="D71" s="973" t="s">
        <v>777</v>
      </c>
      <c r="E71" s="974" t="s">
        <v>778</v>
      </c>
      <c r="F71" s="339">
        <f ca="1">F43</f>
        <v>61.57</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23092</v>
      </c>
      <c r="D75" s="1384"/>
      <c r="E75" s="1384"/>
      <c r="F75" s="1384"/>
      <c r="K75" s="1402"/>
      <c r="L75" s="1384"/>
      <c r="O75" s="1418" t="s">
        <v>409</v>
      </c>
      <c r="P75" s="1419" t="s">
        <v>838</v>
      </c>
      <c r="Q75" s="1420">
        <f ca="1">Q65+Q66</f>
        <v>2937797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0.88800000000000001</v>
      </c>
    </row>
    <row r="80" spans="1:18">
      <c r="B80" s="340" t="s">
        <v>800</v>
      </c>
      <c r="C80" s="274">
        <f ca="1">ROUND(C75/C39,3)</f>
        <v>0.112</v>
      </c>
    </row>
    <row r="81" spans="2:3">
      <c r="B81" s="270" t="s">
        <v>801</v>
      </c>
      <c r="C81" s="238"/>
    </row>
    <row r="82" spans="2:3">
      <c r="B82" s="273" t="s">
        <v>802</v>
      </c>
      <c r="C82" s="275">
        <f ca="1">1-C83</f>
        <v>0.88800000000000001</v>
      </c>
    </row>
    <row r="83" spans="2:3">
      <c r="B83" s="273" t="s">
        <v>803</v>
      </c>
      <c r="C83" s="274">
        <f ca="1">ROUND(C13/C40,3)</f>
        <v>0.112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zoomScale="90" zoomScaleNormal="70" zoomScaleSheetLayoutView="90" workbookViewId="0">
      <selection activeCell="I40" sqref="I40"/>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8</v>
      </c>
    </row>
    <row r="2" spans="1:9" s="200" customFormat="1" ht="18" customHeight="1">
      <c r="A2" s="201" t="s">
        <v>1461</v>
      </c>
      <c r="B2" s="202">
        <f ca="1">IF(D2="——",C52,C52-E2)</f>
        <v>5846</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51320</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 ca="1">C6+C7+C8</f>
        <v>3612</v>
      </c>
      <c r="D5" s="211" t="s">
        <v>1468</v>
      </c>
      <c r="E5" s="212" t="s">
        <v>1469</v>
      </c>
      <c r="F5" s="212" t="s">
        <v>1470</v>
      </c>
      <c r="G5" s="213"/>
    </row>
    <row r="6" spans="1:9" s="214" customFormat="1" ht="13.5" customHeight="1">
      <c r="A6" s="778" t="s">
        <v>1471</v>
      </c>
      <c r="B6" s="215" t="s">
        <v>1472</v>
      </c>
      <c r="C6" s="216">
        <f>基准地价修正!E33</f>
        <v>3483</v>
      </c>
      <c r="D6" s="217"/>
      <c r="E6" s="218"/>
      <c r="F6" s="218"/>
      <c r="G6" s="219"/>
    </row>
    <row r="7" spans="1:9" s="214" customFormat="1" ht="13.5" customHeight="1">
      <c r="A7" s="778" t="s">
        <v>1473</v>
      </c>
      <c r="B7" s="215" t="s">
        <v>1474</v>
      </c>
      <c r="C7" s="220">
        <f>ROUND(C6*F7,0)</f>
        <v>106</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23</v>
      </c>
      <c r="D8" s="222"/>
      <c r="E8" s="220"/>
      <c r="F8" s="221"/>
      <c r="G8" s="1856" t="s">
        <v>3394</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23</v>
      </c>
      <c r="D10" s="845">
        <f ca="1">IF(B1="",'数据-汇总表'!E6,IF(INDIRECT("'数据-取费表'!c"&amp;$G$1)="住宅",INDIRECT("'数据-取费表'!s"&amp;$G$1),INDIRECT("'数据-取费表'!k"&amp;$G$1)+INDIRECT("'数据-取费表'!s"&amp;$G$1)))</f>
        <v>1139.1300000000001</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1139.1300000000001</v>
      </c>
      <c r="E19" s="211">
        <f>'数据-取费表'!B31</f>
        <v>200</v>
      </c>
      <c r="F19" s="231"/>
      <c r="G19" s="1856" t="s">
        <v>3395</v>
      </c>
    </row>
    <row r="20" spans="1:7" s="214" customFormat="1" ht="13.5" customHeight="1">
      <c r="A20" s="255" t="s">
        <v>1492</v>
      </c>
      <c r="B20" s="210" t="s">
        <v>1493</v>
      </c>
      <c r="C20" s="232">
        <f ca="1">ROUND((C5+C19)*F20,0)</f>
        <v>72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309</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306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6.4">
      <c r="A27" s="255" t="s">
        <v>1511</v>
      </c>
      <c r="B27" s="244" t="s">
        <v>1512</v>
      </c>
      <c r="C27" s="245">
        <f ca="1">C28</f>
        <v>737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737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5131</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613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565</v>
      </c>
      <c r="D34" s="217"/>
      <c r="E34" s="220"/>
      <c r="F34" s="257">
        <f ca="1">IF('数据-取费表'!B24=0,1,IF(B1="",'数据-取费表'!N16,INDIRECT("'数据-取费表'!n"&amp;$G$1)))</f>
        <v>1</v>
      </c>
      <c r="G34" s="219" t="s">
        <v>1525</v>
      </c>
    </row>
    <row r="35" spans="1:7" ht="13.5" customHeight="1">
      <c r="A35" s="780" t="s">
        <v>351</v>
      </c>
      <c r="B35" s="215" t="s">
        <v>1526</v>
      </c>
      <c r="C35" s="220">
        <f ca="1">ROUND(C34*F35,0)</f>
        <v>17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23</v>
      </c>
      <c r="D37" s="217">
        <f ca="1">D19</f>
        <v>1139.1300000000001</v>
      </c>
      <c r="E37" s="249">
        <f>'数据-取费表'!B35</f>
        <v>200</v>
      </c>
      <c r="F37" s="259"/>
      <c r="G37" s="261" t="s">
        <v>1531</v>
      </c>
    </row>
    <row r="38" spans="1:7" ht="13.5" customHeight="1">
      <c r="A38" s="780" t="s">
        <v>354</v>
      </c>
      <c r="B38" s="215" t="s">
        <v>1532</v>
      </c>
      <c r="C38" s="220">
        <f ca="1">ROUND(C34*F38,0)</f>
        <v>8</v>
      </c>
      <c r="D38" s="220"/>
      <c r="E38" s="220"/>
      <c r="F38" s="259">
        <f>'数据-取费表'!B36</f>
        <v>1.4999999999999999E-2</v>
      </c>
      <c r="G38" s="219" t="s">
        <v>1527</v>
      </c>
    </row>
    <row r="39" spans="1:7" s="214" customFormat="1" ht="13.5" customHeight="1">
      <c r="A39" s="255" t="s">
        <v>1533</v>
      </c>
      <c r="B39" s="210" t="s">
        <v>1534</v>
      </c>
      <c r="C39" s="232">
        <f ca="1">ROUND(C33*F20,0)</f>
        <v>12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25</v>
      </c>
      <c r="D42" s="238"/>
      <c r="E42" s="238"/>
      <c r="F42" s="239"/>
      <c r="G42" s="3727" t="s">
        <v>1543</v>
      </c>
    </row>
    <row r="43" spans="1:7" ht="13.5" customHeight="1">
      <c r="A43" s="780" t="s">
        <v>347</v>
      </c>
      <c r="B43" s="215" t="s">
        <v>1544</v>
      </c>
      <c r="C43" s="238">
        <f ca="1">ROUND(IF('数据-取费表'!B22&lt;=1,C39*F22*'数据-取费表'!B21/2,C39*(POWER((1+F22),'数据-取费表'!B21/2)-1)),0)</f>
        <v>0</v>
      </c>
      <c r="D43" s="238"/>
      <c r="E43" s="238"/>
      <c r="F43" s="239"/>
      <c r="G43" s="3728"/>
    </row>
    <row r="44" spans="1:7" ht="13.5" customHeight="1">
      <c r="A44" s="780" t="s">
        <v>348</v>
      </c>
      <c r="B44" s="215" t="s">
        <v>1545</v>
      </c>
      <c r="C44" s="238">
        <f ca="1">ROUND(IF('数据-取费表'!B22&lt;=1,C40*F22*'数据-取费表'!B21/2,C40*(POWER((1+F22),'数据-取费表'!B21/2)-1)),4)</f>
        <v>8.0000000000000004E-4</v>
      </c>
      <c r="D44" s="238"/>
      <c r="E44" s="238"/>
      <c r="F44" s="239"/>
      <c r="G44" s="3729"/>
    </row>
    <row r="45" spans="1:7" s="214" customFormat="1" ht="13.5" customHeight="1">
      <c r="A45" s="255" t="s">
        <v>1546</v>
      </c>
      <c r="B45" s="244" t="s">
        <v>1512</v>
      </c>
      <c r="C45" s="245">
        <f ca="1">C46</f>
        <v>125</v>
      </c>
      <c r="D45" s="235">
        <f ca="1">C47</f>
        <v>4.0000000000000001E-3</v>
      </c>
      <c r="E45" s="236" t="s">
        <v>1538</v>
      </c>
      <c r="F45" s="246">
        <f ca="1">F27</f>
        <v>0.2</v>
      </c>
      <c r="G45" s="247" t="s">
        <v>1547</v>
      </c>
    </row>
    <row r="46" spans="1:7" s="214" customFormat="1" ht="13.5" customHeight="1">
      <c r="A46" s="780" t="s">
        <v>346</v>
      </c>
      <c r="B46" s="248" t="s">
        <v>1548</v>
      </c>
      <c r="C46" s="249">
        <f ca="1">ROUND((C33+C39)*F27,0)</f>
        <v>125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841</v>
      </c>
      <c r="D49" s="232"/>
      <c r="E49" s="232"/>
      <c r="F49" s="264"/>
      <c r="G49" s="234" t="s">
        <v>1553</v>
      </c>
    </row>
    <row r="50" spans="1:7" s="258" customFormat="1" ht="24">
      <c r="A50" s="255" t="s">
        <v>1554</v>
      </c>
      <c r="B50" s="210" t="s">
        <v>1555</v>
      </c>
      <c r="C50" s="232"/>
      <c r="D50" s="232"/>
      <c r="E50" s="232"/>
      <c r="F50" s="264">
        <f>IF('数据-取费表'!B24=0,'数据-取费表'!N16,1)</f>
        <v>0.85</v>
      </c>
      <c r="G50" s="247" t="s">
        <v>1556</v>
      </c>
    </row>
    <row r="51" spans="1:7" ht="16.5" customHeight="1">
      <c r="A51" s="255" t="s">
        <v>1557</v>
      </c>
      <c r="B51" s="210" t="s">
        <v>1558</v>
      </c>
      <c r="C51" s="232">
        <f ca="1">ROUND(C49*F50,0)</f>
        <v>715</v>
      </c>
      <c r="D51" s="232"/>
      <c r="E51" s="232"/>
      <c r="F51" s="264"/>
      <c r="G51" s="234" t="s">
        <v>1559</v>
      </c>
    </row>
    <row r="52" spans="1:7" s="208" customFormat="1" ht="16.8" thickBot="1">
      <c r="A52" s="265" t="s">
        <v>1560</v>
      </c>
      <c r="B52" s="266"/>
      <c r="C52" s="267">
        <f ca="1">C31+C51</f>
        <v>5846</v>
      </c>
      <c r="D52" s="266"/>
      <c r="E52" s="266"/>
      <c r="F52" s="266"/>
      <c r="G52" s="268"/>
    </row>
    <row r="55" spans="1:7" ht="15">
      <c r="B55" s="270" t="s">
        <v>1561</v>
      </c>
      <c r="C55" s="271"/>
    </row>
    <row r="56" spans="1:7">
      <c r="B56" s="273" t="s">
        <v>802</v>
      </c>
      <c r="C56" s="275">
        <f ca="1">1-C57</f>
        <v>0.878</v>
      </c>
    </row>
    <row r="57" spans="1:7">
      <c r="B57" s="273" t="s">
        <v>803</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M29" sqref="M2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1139.1299999999999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0</v>
      </c>
      <c r="C2" s="1999" t="s">
        <v>1934</v>
      </c>
      <c r="D2" s="2000" t="s">
        <v>1935</v>
      </c>
      <c r="E2" s="3417" t="s">
        <v>673</v>
      </c>
      <c r="F2" s="2000" t="s">
        <v>1936</v>
      </c>
      <c r="G2" s="2001" t="str">
        <f>IF(E2="商业",项目基本情况!B37,IF(E2="办公",项目基本情况!C37,IF(E2="住宅",项目基本情况!D37,IF(E2="工业",项目基本情况!E37,项目基本情况!F37))))</f>
        <v>二级</v>
      </c>
      <c r="H2" s="2000" t="s">
        <v>1937</v>
      </c>
      <c r="I2" s="2001" t="str">
        <f>IF(E2="商业",项目基本情况!B38,IF(E2="办公",项目基本情况!C38,IF(E2="住宅",项目基本情况!D38,IF(E2="工业",项目基本情况!E38,项目基本情况!F38))))</f>
        <v>Ⅱ—09</v>
      </c>
      <c r="J2" s="2002"/>
      <c r="K2" s="1119"/>
      <c r="L2" s="2003" t="s">
        <v>1938</v>
      </c>
      <c r="M2" s="864">
        <f>SUMPRODUCT((区片价!B10:B29=I2)*(区片价!C3:G3=E2)*(区片价!C10:G29))</f>
        <v>26840</v>
      </c>
      <c r="N2" s="866">
        <f>SUMPRODUCT((因素修正幅度!B10:B29=I2)*(因素修正幅度!C3:G3=E2)*(因素修正幅度!C10:G29))</f>
        <v>9.8000000000000004E-2</v>
      </c>
      <c r="O2" s="1119"/>
      <c r="P2" s="1119"/>
      <c r="Q2" s="1119"/>
      <c r="R2" s="1212">
        <v>1</v>
      </c>
      <c r="S2" s="3356">
        <f>ROUND(SUMPRODUCT((B106:B110=R2)*(C105:N105=G2)*(C106:N110)),4)</f>
        <v>1.5206</v>
      </c>
      <c r="T2" s="3356">
        <f t="shared" ref="T2:T16" si="0">ROUND($C$5*$C$22*$C$23*$C$24*S2*$C$28,0)</f>
        <v>30577</v>
      </c>
      <c r="U2" s="1213"/>
      <c r="V2" s="3356">
        <f>ROUND(T2*U2/10000,0)</f>
        <v>0</v>
      </c>
      <c r="W2" s="1216"/>
      <c r="X2" s="1216"/>
      <c r="Y2" s="1216"/>
      <c r="Z2" s="1216"/>
      <c r="AA2" s="1216"/>
      <c r="AB2" s="1216"/>
      <c r="AC2" s="1217"/>
      <c r="AD2" s="1218"/>
      <c r="AE2" s="1218"/>
      <c r="AF2" s="1218"/>
      <c r="AG2" s="1218"/>
      <c r="AH2" s="1218"/>
      <c r="AI2" s="1218"/>
      <c r="AJ2" s="1219"/>
    </row>
    <row r="3" spans="1:36" ht="15.6">
      <c r="A3" s="203" t="s">
        <v>1939</v>
      </c>
      <c r="B3" s="204">
        <f>ROUND(B2*10000/D1,0)</f>
        <v>0</v>
      </c>
      <c r="C3" s="1999" t="s">
        <v>1940</v>
      </c>
      <c r="D3" s="2000" t="s">
        <v>1941</v>
      </c>
      <c r="E3" s="3415" t="s">
        <v>2435</v>
      </c>
      <c r="F3" s="2004" t="s">
        <v>3396</v>
      </c>
      <c r="G3" s="752">
        <f>IF(F3="宗地容积率",'数据-汇总表'!I4,IF(F3="估价对象容积率",'数据-汇总表'!I6,'数据-汇总表'!I7))</f>
        <v>4.09</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24275</v>
      </c>
      <c r="U3" s="1213"/>
      <c r="V3" s="3356">
        <f t="shared" ref="V3:V16" si="1">ROUND(T3*U3/10000,0)</f>
        <v>0</v>
      </c>
      <c r="W3" s="1216"/>
      <c r="X3" s="1216"/>
      <c r="Y3" s="1216"/>
      <c r="Z3" s="1216"/>
      <c r="AA3" s="1216"/>
      <c r="AB3" s="1216"/>
      <c r="AC3" s="1217"/>
      <c r="AD3" s="1218"/>
      <c r="AE3" s="1218"/>
      <c r="AF3" s="1218"/>
      <c r="AG3" s="1218"/>
      <c r="AH3" s="1218"/>
      <c r="AI3" s="1218"/>
      <c r="AJ3" s="1219"/>
    </row>
    <row r="4" spans="1:36" ht="15.6">
      <c r="A4" s="3737"/>
      <c r="B4" s="3738"/>
      <c r="C4" s="3738"/>
      <c r="D4" s="3739"/>
      <c r="E4" s="3739"/>
      <c r="F4" s="3739"/>
      <c r="G4" s="3739"/>
      <c r="H4" s="3739"/>
      <c r="I4" s="3739"/>
      <c r="J4" s="374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20975</v>
      </c>
      <c r="U4" s="1213"/>
      <c r="V4" s="3356">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26809</v>
      </c>
      <c r="D5" s="1339">
        <f>ROUND(C6*C17+C20,0)</f>
        <v>26809</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18980</v>
      </c>
      <c r="U5" s="1213"/>
      <c r="V5" s="3356">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26840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18089</v>
      </c>
      <c r="U6" s="1213"/>
      <c r="V6" s="3356">
        <f t="shared" si="1"/>
        <v>0</v>
      </c>
      <c r="W6" s="1216"/>
      <c r="X6" s="1216"/>
      <c r="Y6" s="1216"/>
      <c r="Z6" s="1216"/>
      <c r="AA6" s="1216"/>
      <c r="AB6" s="1216"/>
      <c r="AC6" s="2011"/>
      <c r="AD6" s="2012"/>
      <c r="AE6" s="2012"/>
      <c r="AF6" s="2012"/>
      <c r="AG6" s="2012"/>
      <c r="AH6" s="2012"/>
      <c r="AI6" s="2012"/>
      <c r="AJ6" s="2013"/>
    </row>
    <row r="7" spans="1:36" ht="24.6" thickBot="1">
      <c r="A7" s="3299"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4.09</v>
      </c>
      <c r="AA7" s="1216"/>
      <c r="AB7" s="1216"/>
      <c r="AC7" s="1217"/>
      <c r="AD7" s="1218"/>
      <c r="AE7" s="1218"/>
      <c r="AF7" s="1218"/>
      <c r="AG7" s="1218"/>
      <c r="AH7" s="1218"/>
      <c r="AI7" s="1218"/>
      <c r="AJ7" s="1219"/>
    </row>
    <row r="8" spans="1:36" ht="26.4">
      <c r="A8" s="3294"/>
      <c r="B8" s="170" t="s">
        <v>1956</v>
      </c>
      <c r="C8" s="2026" t="s">
        <v>3397</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4" t="s">
        <v>1959</v>
      </c>
      <c r="X8" s="373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6"/>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6"/>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6" thickBot="1">
      <c r="A11" s="3298"/>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4"/>
      <c r="AE11" s="2784"/>
      <c r="AF11" s="2784"/>
      <c r="AG11" s="2784"/>
      <c r="AH11" s="2784"/>
      <c r="AI11" s="2784"/>
      <c r="AJ11" s="2785"/>
    </row>
    <row r="12" spans="1:36" ht="25.8"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4"/>
      <c r="AE12" s="2784"/>
      <c r="AF12" s="2784"/>
      <c r="AG12" s="2784"/>
      <c r="AH12" s="2784"/>
      <c r="AI12" s="2784"/>
      <c r="AJ12" s="2785"/>
    </row>
    <row r="13" spans="1:36" ht="24.6"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4"/>
      <c r="AE13" s="2784"/>
      <c r="AF13" s="2784"/>
      <c r="AG13" s="2784"/>
      <c r="AH13" s="2784"/>
      <c r="AI13" s="2784"/>
      <c r="AJ13" s="2785"/>
    </row>
    <row r="14" spans="1:36" ht="24">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4"/>
      <c r="AE14" s="2784"/>
      <c r="AF14" s="2784"/>
      <c r="AG14" s="2784"/>
      <c r="AH14" s="2784"/>
      <c r="AI14" s="2784"/>
      <c r="AJ14" s="2785"/>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4"/>
      <c r="AE15" s="2784"/>
      <c r="AF15" s="2784"/>
      <c r="AG15" s="2784"/>
      <c r="AH15" s="2784"/>
      <c r="AI15" s="2784"/>
      <c r="AJ15" s="2785"/>
    </row>
    <row r="16" spans="1:36" ht="15.6"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4"/>
      <c r="AE16" s="2784"/>
      <c r="AF16" s="2784"/>
      <c r="AG16" s="2784"/>
      <c r="AH16" s="2784"/>
      <c r="AI16" s="2784"/>
      <c r="AJ16" s="2785"/>
    </row>
    <row r="17" spans="1:37" ht="24">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28"/>
      <c r="B18" s="3005"/>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3"/>
    </row>
    <row r="19" spans="1:37" s="2014" customFormat="1" ht="14.4"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6"/>
      <c r="AH19" s="2141"/>
      <c r="AI19" s="2787"/>
      <c r="AJ19" s="2787"/>
      <c r="AK19" s="2057"/>
    </row>
    <row r="20" spans="1:37" s="2014" customFormat="1" ht="13.8">
      <c r="A20" s="3741" t="s">
        <v>3254</v>
      </c>
      <c r="B20" s="167" t="s">
        <v>1993</v>
      </c>
      <c r="C20" s="3320">
        <f>ROUND(IF(F21="与级别开发程度一致",0,(G21-E21)/C21),0)</f>
        <v>-31</v>
      </c>
      <c r="D20" s="3336" t="s">
        <v>1997</v>
      </c>
      <c r="E20" s="3337"/>
      <c r="F20" s="3747" t="s">
        <v>1994</v>
      </c>
      <c r="G20" s="3748"/>
      <c r="H20" s="3321" t="s">
        <v>3378</v>
      </c>
      <c r="I20" s="3321" t="s">
        <v>3379</v>
      </c>
      <c r="J20" s="3322" t="s">
        <v>3380</v>
      </c>
      <c r="K20" s="2047" t="s">
        <v>3381</v>
      </c>
      <c r="L20" s="2047" t="s">
        <v>3382</v>
      </c>
      <c r="M20" s="2047" t="s">
        <v>3383</v>
      </c>
      <c r="N20" s="2047"/>
      <c r="O20" s="2048"/>
      <c r="P20" s="1997"/>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4" customFormat="1" ht="27" thickBot="1">
      <c r="A21" s="3742"/>
      <c r="B21" s="2164" t="s">
        <v>1996</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3398</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4" customFormat="1" ht="15" thickBot="1">
      <c r="A22" s="2158" t="s">
        <v>363</v>
      </c>
      <c r="B22" s="2159" t="s">
        <v>1999</v>
      </c>
      <c r="C22" s="2160">
        <f>SUMIF(修正!C20:C51,E3,修正!E20:E51)</f>
        <v>1</v>
      </c>
      <c r="D22" s="2161"/>
      <c r="E22" s="2162"/>
      <c r="F22" s="2162"/>
      <c r="G22" s="2162"/>
      <c r="H22" s="2162"/>
      <c r="I22" s="2162"/>
      <c r="J22" s="2163"/>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7"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2001</v>
      </c>
      <c r="E23" s="761">
        <v>44197</v>
      </c>
      <c r="F23" s="2054" t="s">
        <v>2002</v>
      </c>
      <c r="G23" s="762">
        <f>'数据-取费表'!B2</f>
        <v>44965</v>
      </c>
      <c r="H23" s="3338" t="s">
        <v>3256</v>
      </c>
      <c r="I23" s="3339" t="str">
        <f>IF(H23="季度增幅（自定义）",SUMIF(N25:N28,E2,O25:O28),"")</f>
        <v/>
      </c>
      <c r="J23" s="3441" t="s">
        <v>3255</v>
      </c>
      <c r="K23" s="1125"/>
      <c r="L23" s="2055" t="s">
        <v>2003</v>
      </c>
      <c r="M23" s="1328">
        <f>ROUND(SUMIF(地价!B2:G2,E2,地价!B16:G16),0)</f>
        <v>350</v>
      </c>
      <c r="N23" s="2056" t="s">
        <v>2004</v>
      </c>
      <c r="O23" s="763">
        <f>ROUNDDOWN(DATEDIF(E23,G23,"M")/3,0)</f>
        <v>8</v>
      </c>
      <c r="P23" s="1122"/>
      <c r="Q23" s="278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0.7077</v>
      </c>
      <c r="D24" s="2060" t="s">
        <v>2006</v>
      </c>
      <c r="E24" s="1335">
        <f>存贷款利率!E22/100</f>
        <v>4.3499999999999997E-2</v>
      </c>
      <c r="F24" s="2060" t="s">
        <v>1998</v>
      </c>
      <c r="G24" s="768">
        <f>SUMIF(M30:Q30,E2,M33:Q33)</f>
        <v>5.5E-2</v>
      </c>
      <c r="H24" s="2060" t="s">
        <v>2007</v>
      </c>
      <c r="I24" s="769">
        <f>SUMIF('数据-取费表'!C6:C15,E2,'数据-取费表'!F6:F15)/COUNTIF('数据-取费表'!C6:C15,E2)</f>
        <v>18.3</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4.4">
      <c r="A25" s="2065" t="s">
        <v>366</v>
      </c>
      <c r="B25" s="2066" t="s">
        <v>3399</v>
      </c>
      <c r="C25" s="771">
        <f>IF(B25="容积率修正",IF(G3&lt;10,D26,J26),C27)</f>
        <v>1.5206</v>
      </c>
      <c r="D25" s="2067"/>
      <c r="E25" s="2067"/>
      <c r="F25" s="2067"/>
      <c r="G25" s="2067"/>
      <c r="H25" s="2067"/>
      <c r="I25" s="2067"/>
      <c r="J25" s="2068"/>
      <c r="K25" s="1125"/>
      <c r="L25" s="2783"/>
      <c r="M25" s="2783"/>
      <c r="N25" s="2069" t="s">
        <v>2012</v>
      </c>
      <c r="O25" s="1173"/>
      <c r="P25" s="1174">
        <f>SUMPRODUCT((地价!A3:A40=YEAR(G23)&amp;"-"&amp;ROUNDUP(MONTH(G23)/3,0))*(地价!AD2:AH2=N25)*(地价!AD3:AH40))</f>
        <v>0</v>
      </c>
      <c r="Q25" s="278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0" t="s">
        <v>3257</v>
      </c>
      <c r="D26" s="1352">
        <f>IF(E26=G26,F26,IF(G3&lt;10,ROUND(F26+(H26-F26)*(G3-E26)/(G26-E26),4),"——"))</f>
        <v>0.98140000000000005</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0.98399999999999999</v>
      </c>
      <c r="G26" s="752">
        <f>ROUNDUP(G3,1)</f>
        <v>4.0999999999999996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0.98109999999999997</v>
      </c>
      <c r="I26" s="3340" t="s">
        <v>3258</v>
      </c>
      <c r="J26" s="772" t="str">
        <f>IF(G3&gt;=10,D115,"——")</f>
        <v>——</v>
      </c>
      <c r="K26" s="1125"/>
      <c r="L26" s="2783"/>
      <c r="M26" s="2783"/>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1.5206</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1.0339</v>
      </c>
      <c r="D28" s="2052"/>
      <c r="E28" s="2077"/>
      <c r="F28" s="2077"/>
      <c r="G28" s="2077"/>
      <c r="H28" s="2077"/>
      <c r="I28" s="2077"/>
      <c r="J28" s="2078"/>
      <c r="K28" s="1125"/>
      <c r="L28" s="2783"/>
      <c r="M28" s="2783"/>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0" t="s">
        <v>2022</v>
      </c>
      <c r="O29" s="2781"/>
      <c r="P29" s="278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0</v>
      </c>
      <c r="D30" s="2083"/>
      <c r="E30" s="2046"/>
      <c r="F30" s="2084"/>
      <c r="G30" s="2046"/>
      <c r="H30" s="2046"/>
      <c r="I30" s="2046"/>
      <c r="J30" s="2085"/>
      <c r="K30" s="1119"/>
      <c r="L30" s="3346" t="s">
        <v>1935</v>
      </c>
      <c r="M30" s="3347" t="s">
        <v>1989</v>
      </c>
      <c r="N30" s="3347" t="s">
        <v>1990</v>
      </c>
      <c r="O30" s="3347" t="s">
        <v>1991</v>
      </c>
      <c r="P30" s="3347" t="s">
        <v>1992</v>
      </c>
      <c r="Q30" s="3350"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49" t="s">
        <v>1998</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30577</v>
      </c>
      <c r="D33" s="2098">
        <f>'数据-汇总表'!F27</f>
        <v>1139.1299999999999</v>
      </c>
      <c r="E33" s="773">
        <f>ROUND(C33*D33/10000,0)</f>
        <v>3483</v>
      </c>
      <c r="F33" s="3341" t="s">
        <v>3260</v>
      </c>
      <c r="G33" s="2099"/>
      <c r="H33" s="2099"/>
      <c r="I33" s="2099"/>
      <c r="J33" s="2100"/>
      <c r="K33" s="1119"/>
      <c r="L33" s="3344" t="s">
        <v>3263</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4" t="s">
        <v>3264</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2"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2" t="s">
        <v>3265</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45"/>
      <c r="B37" s="2113" t="s">
        <v>2035</v>
      </c>
      <c r="C37" s="175">
        <f>ROUND(D5*C22*C23*C24*C28*F37,0)</f>
        <v>14076</v>
      </c>
      <c r="D37" s="2098"/>
      <c r="E37" s="171">
        <f>ROUND(C37*D37/10000,0)</f>
        <v>0</v>
      </c>
      <c r="F37" s="171">
        <f>SUMIF(修正!A57:A68,G2,修正!B57:B68)</f>
        <v>0.7</v>
      </c>
      <c r="G37" s="171">
        <f>ROUND(IF(E2="工业",C37*$M$42,C37*$M$41),0)</f>
        <v>3519</v>
      </c>
      <c r="H37" s="171">
        <f>D37</f>
        <v>0</v>
      </c>
      <c r="I37" s="171">
        <f>ROUND(G37*H37/10000,0)</f>
        <v>0</v>
      </c>
      <c r="J37" s="3007"/>
      <c r="K37" s="3354" t="s">
        <v>3266</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6"/>
      <c r="B38" s="2041" t="s">
        <v>2036</v>
      </c>
      <c r="C38" s="175">
        <f>ROUND(D5*C22*C23*C24*C28*F38,0)</f>
        <v>8043</v>
      </c>
      <c r="D38" s="2098"/>
      <c r="E38" s="171">
        <f t="shared" ref="E38:E42" si="4">ROUND(C38*D38/10000,0)</f>
        <v>0</v>
      </c>
      <c r="F38" s="171">
        <f>SUMIF(修正!A57:A68,G2,修正!C57:C68)</f>
        <v>0.4</v>
      </c>
      <c r="G38" s="171">
        <f>ROUND(IF(E2="工业",C38*$M$42,C38*$M$41),0)</f>
        <v>2011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8" thickBot="1">
      <c r="A39" s="3746"/>
      <c r="B39" s="2041" t="s">
        <v>3259</v>
      </c>
      <c r="C39" s="175">
        <f>ROUND(D5*C22*C23*C24*C28*F39,0)</f>
        <v>6032</v>
      </c>
      <c r="D39" s="2098"/>
      <c r="E39" s="171">
        <f t="shared" si="4"/>
        <v>0</v>
      </c>
      <c r="F39" s="171">
        <f>SUMIF(修正!A57:A68,G2,修正!D57:D68)</f>
        <v>0.3</v>
      </c>
      <c r="G39" s="171">
        <f>ROUND(IF(E2="工业",C39*$M$42,C39*$M$41),0)</f>
        <v>1508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6032</v>
      </c>
      <c r="D40" s="2098"/>
      <c r="E40" s="171">
        <f t="shared" si="4"/>
        <v>0</v>
      </c>
      <c r="F40" s="175">
        <f>SUMIF(修正!A57:A68,G2,修正!E57:E68)</f>
        <v>0.3</v>
      </c>
      <c r="G40" s="171">
        <f>ROUND(IF(E2="工业",C40*$M$42,C40*$M$41),0)</f>
        <v>1508</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5"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1.0339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5.2">
      <c r="A50" s="2130" t="s">
        <v>2051</v>
      </c>
      <c r="B50" s="2133" t="str">
        <f>估价对象房地状况!C4</f>
        <v>一般</v>
      </c>
      <c r="C50" s="2044" t="s">
        <v>3418</v>
      </c>
      <c r="D50" s="1065">
        <f t="shared" ref="D50:D58" si="7">SUMIF($J$49:$N$49,C50,J50:N50)</f>
        <v>0</v>
      </c>
      <c r="E50" s="744">
        <f>ROUND(SUM(D50:D58),4)</f>
        <v>3.39E-2</v>
      </c>
      <c r="F50" s="1814">
        <f>IF(E2="商业",SUMIF(L1:L12,G2,N1:N12),"——")</f>
        <v>9.8000000000000004E-2</v>
      </c>
      <c r="G50" s="1063">
        <v>1.47E-2</v>
      </c>
      <c r="H50" s="1066">
        <f t="shared" ref="H50:H58" si="8">IFERROR(ROUNDDOWN($F$50*I50/2,4),"——")</f>
        <v>1.47E-2</v>
      </c>
      <c r="I50" s="3362">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24">
      <c r="A51" s="2130" t="s">
        <v>2052</v>
      </c>
      <c r="B51" s="2134" t="str">
        <f>估价对象房地状况!C18</f>
        <v>较好</v>
      </c>
      <c r="C51" s="2044" t="s">
        <v>3417</v>
      </c>
      <c r="D51" s="1065">
        <f t="shared" si="7"/>
        <v>1.0699999999999999E-2</v>
      </c>
      <c r="E51" s="745"/>
      <c r="F51" s="1814"/>
      <c r="G51" s="1063">
        <v>1.0699999999999999E-2</v>
      </c>
      <c r="H51" s="1066">
        <f t="shared" si="8"/>
        <v>1.0699999999999999E-2</v>
      </c>
      <c r="I51" s="3362">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48">
      <c r="A52" s="3364" t="s">
        <v>3269</v>
      </c>
      <c r="B52" s="2134">
        <f>估价对象房地状况!C19</f>
        <v>0</v>
      </c>
      <c r="C52" s="2044" t="s">
        <v>3417</v>
      </c>
      <c r="D52" s="1065">
        <f t="shared" si="7"/>
        <v>5.7999999999999996E-3</v>
      </c>
      <c r="E52" s="745"/>
      <c r="F52" s="1814"/>
      <c r="G52" s="1063">
        <v>5.7999999999999996E-3</v>
      </c>
      <c r="H52" s="1066">
        <f t="shared" si="8"/>
        <v>5.7999999999999996E-3</v>
      </c>
      <c r="I52" s="3362">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t="s">
        <v>3417</v>
      </c>
      <c r="D53" s="1065">
        <f t="shared" si="7"/>
        <v>2.3999999999999998E-3</v>
      </c>
      <c r="E53" s="745"/>
      <c r="F53" s="1814"/>
      <c r="G53" s="1063">
        <v>2.3999999999999998E-3</v>
      </c>
      <c r="H53" s="1066">
        <f t="shared" si="8"/>
        <v>2.3999999999999998E-3</v>
      </c>
      <c r="I53" s="3362">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3418</v>
      </c>
      <c r="D54" s="1065">
        <f t="shared" si="7"/>
        <v>0</v>
      </c>
      <c r="E54" s="745"/>
      <c r="F54" s="1814"/>
      <c r="G54" s="1063">
        <v>3.8999999999999998E-3</v>
      </c>
      <c r="H54" s="1066">
        <f t="shared" si="8"/>
        <v>3.8999999999999998E-3</v>
      </c>
      <c r="I54" s="3362">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36">
      <c r="A55" s="2130" t="s">
        <v>2056</v>
      </c>
      <c r="B55" s="2136" t="s">
        <v>2057</v>
      </c>
      <c r="C55" s="2044" t="s">
        <v>3417</v>
      </c>
      <c r="D55" s="1065">
        <f t="shared" si="7"/>
        <v>2.3999999999999998E-3</v>
      </c>
      <c r="E55" s="745"/>
      <c r="F55" s="1814"/>
      <c r="G55" s="1063">
        <v>2.3999999999999998E-3</v>
      </c>
      <c r="H55" s="1066">
        <f t="shared" si="8"/>
        <v>2.3999999999999998E-3</v>
      </c>
      <c r="I55" s="3362">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2058</v>
      </c>
      <c r="B56" s="1326" t="str">
        <f>估价对象房地状况!C21</f>
        <v>较好</v>
      </c>
      <c r="C56" s="2044" t="s">
        <v>3417</v>
      </c>
      <c r="D56" s="1065">
        <f t="shared" si="7"/>
        <v>2.3999999999999998E-3</v>
      </c>
      <c r="E56" s="745"/>
      <c r="F56" s="1814"/>
      <c r="G56" s="1063">
        <v>2.3999999999999998E-3</v>
      </c>
      <c r="H56" s="1066">
        <f t="shared" si="8"/>
        <v>2.3999999999999998E-3</v>
      </c>
      <c r="I56" s="3362">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2059</v>
      </c>
      <c r="B57" s="2134" t="str">
        <f>估价对象房地状况!C22</f>
        <v>七通</v>
      </c>
      <c r="C57" s="2044" t="s">
        <v>3419</v>
      </c>
      <c r="D57" s="1065">
        <f t="shared" si="7"/>
        <v>7.7999999999999996E-3</v>
      </c>
      <c r="E57" s="745"/>
      <c r="F57" s="1814"/>
      <c r="G57" s="1063">
        <v>3.8999999999999998E-3</v>
      </c>
      <c r="H57" s="1066">
        <f t="shared" si="8"/>
        <v>3.8999999999999998E-3</v>
      </c>
      <c r="I57" s="3362">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36.6" thickBot="1">
      <c r="A58" s="2138" t="s">
        <v>2060</v>
      </c>
      <c r="B58" s="2139" t="str">
        <f>估价对象房地状况!C20</f>
        <v>较好</v>
      </c>
      <c r="C58" s="2044" t="s">
        <v>3417</v>
      </c>
      <c r="D58" s="1065">
        <f t="shared" si="7"/>
        <v>2.3999999999999998E-3</v>
      </c>
      <c r="E58" s="746"/>
      <c r="F58" s="1814"/>
      <c r="G58" s="1063">
        <v>2.3999999999999998E-3</v>
      </c>
      <c r="H58" s="1066">
        <f t="shared" si="8"/>
        <v>2.3999999999999998E-3</v>
      </c>
      <c r="I58" s="3363">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24">
      <c r="A62" s="2130" t="s">
        <v>2052</v>
      </c>
      <c r="B62" s="2134" t="str">
        <f>估价对象房地状况!C18</f>
        <v>较好</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4" t="s">
        <v>3269</v>
      </c>
      <c r="B63" s="2134">
        <f>估价对象房地状况!C19</f>
        <v>0</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t="str">
        <f>估价对象房地状况!C21</f>
        <v>较好</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6.6" thickBot="1">
      <c r="A69" s="2138" t="s">
        <v>2060</v>
      </c>
      <c r="B69" s="2140"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24">
      <c r="A73" s="2130" t="s">
        <v>2052</v>
      </c>
      <c r="B73" s="2134" t="str">
        <f>估价对象房地状况!C18</f>
        <v>较好</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4" t="s">
        <v>3269</v>
      </c>
      <c r="B74" s="2134">
        <f>估价对象房地状况!C19</f>
        <v>0</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t="str">
        <f>估价对象房地状况!C21</f>
        <v>较好</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3"/>
      <c r="AG78" s="1121"/>
      <c r="AK78" s="2053"/>
    </row>
    <row r="79" spans="1:37" ht="36">
      <c r="A79" s="2130" t="s">
        <v>2060</v>
      </c>
      <c r="B79" s="2133"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3"/>
      <c r="AG84" s="1121"/>
      <c r="AK84" s="2053"/>
    </row>
    <row r="85" spans="1:37" ht="48">
      <c r="A85" s="3364" t="s">
        <v>3270</v>
      </c>
      <c r="B85" s="2134">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3.8">
      <c r="A91" s="3372" t="s">
        <v>2608</v>
      </c>
      <c r="B91" s="3373">
        <f>1+E93</f>
        <v>1</v>
      </c>
      <c r="C91" s="3366"/>
      <c r="D91" s="3367"/>
      <c r="E91" s="1814"/>
      <c r="F91" s="1814"/>
      <c r="G91" s="3368"/>
      <c r="H91" s="3369"/>
      <c r="I91" s="3370"/>
      <c r="J91" s="3371"/>
      <c r="K91" s="3371"/>
      <c r="L91" s="3371"/>
      <c r="M91" s="3371"/>
      <c r="N91" s="3371"/>
    </row>
    <row r="92" spans="1:37" ht="25.2">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24">
      <c r="A94" s="3374" t="s">
        <v>3273</v>
      </c>
      <c r="B94" s="3365" t="str">
        <f>估价对象房地状况!C18</f>
        <v>较好</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48">
      <c r="A95" s="3364" t="s">
        <v>3269</v>
      </c>
      <c r="B95" s="3365">
        <f>估价对象房地状况!C19</f>
        <v>0</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7.200000000000003">
      <c r="A96" s="3374" t="s">
        <v>3274</v>
      </c>
      <c r="B96" s="3380" t="s">
        <v>3285</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36">
      <c r="A98" s="3374" t="s">
        <v>3276</v>
      </c>
      <c r="B98" s="3381" t="s">
        <v>3286</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3277</v>
      </c>
      <c r="B99" s="3365" t="str">
        <f>估价对象房地状况!C21</f>
        <v>较好</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3278</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36.6" thickBot="1">
      <c r="A101" s="3375" t="s">
        <v>3279</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3" t="s">
        <v>3294</v>
      </c>
      <c r="B103" s="3743"/>
      <c r="C103" s="3743"/>
      <c r="D103" s="3743"/>
      <c r="E103" s="3743"/>
      <c r="F103" s="3743"/>
      <c r="G103" s="3743"/>
      <c r="H103" s="3743"/>
      <c r="I103" s="3743"/>
      <c r="J103" s="3743"/>
      <c r="K103" s="3385"/>
      <c r="L103" s="3385"/>
      <c r="M103" s="3385"/>
      <c r="N103" s="3385"/>
    </row>
    <row r="104" spans="1:14">
      <c r="A104" s="3744" t="s">
        <v>3295</v>
      </c>
      <c r="B104" s="3744" t="s">
        <v>3296</v>
      </c>
      <c r="C104" s="3386" t="s">
        <v>3297</v>
      </c>
      <c r="D104" s="3387"/>
      <c r="E104" s="3387"/>
      <c r="F104" s="3387"/>
      <c r="G104" s="3387"/>
      <c r="H104" s="3387"/>
      <c r="I104" s="3387"/>
      <c r="J104" s="3388"/>
      <c r="K104" s="3389"/>
      <c r="L104" s="3389"/>
      <c r="M104" s="3389"/>
      <c r="N104" s="3389"/>
    </row>
    <row r="105" spans="1:14">
      <c r="A105" s="3744"/>
      <c r="B105" s="3744"/>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30"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1"/>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1"/>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1"/>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1"/>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1"/>
      <c r="B111" s="3390" t="s">
        <v>3268</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32"/>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3" t="s">
        <v>3311</v>
      </c>
      <c r="B113" s="3733"/>
      <c r="C113" s="3733"/>
      <c r="D113" s="3733"/>
      <c r="E113" s="3733"/>
      <c r="F113" s="3733"/>
      <c r="G113" s="3733"/>
      <c r="H113" s="3733"/>
      <c r="I113" s="3733"/>
      <c r="J113" s="3733"/>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8" thickBot="1">
      <c r="A115" s="3393"/>
      <c r="B115" s="3393"/>
      <c r="C115" s="3393"/>
      <c r="D115" s="3393"/>
      <c r="E115" s="3393"/>
      <c r="F115" s="3393"/>
      <c r="G115" s="3393"/>
      <c r="H115" s="3393"/>
      <c r="I115" s="3393"/>
      <c r="J115" s="3393"/>
      <c r="K115" s="3352"/>
      <c r="L115" s="3393"/>
      <c r="M115" s="3393"/>
      <c r="N115" s="3393"/>
    </row>
    <row r="116" spans="1:14" ht="25.8" thickBot="1">
      <c r="A116" s="3394" t="s">
        <v>3312</v>
      </c>
      <c r="B116" s="3411">
        <f>G3</f>
        <v>4.09</v>
      </c>
      <c r="C116" s="3395" t="s">
        <v>3313</v>
      </c>
      <c r="D116" s="3396">
        <f>SUMPRODUCT((A118:A122=F116)*(B117:M117=H116)*B118:M122)</f>
        <v>0.95179999999999998</v>
      </c>
      <c r="E116" s="2000" t="s">
        <v>3314</v>
      </c>
      <c r="F116" s="3397" t="str">
        <f>E2</f>
        <v>商业</v>
      </c>
      <c r="G116" s="2000" t="s">
        <v>3315</v>
      </c>
      <c r="H116" s="3397" t="str">
        <f>G2</f>
        <v>二级</v>
      </c>
      <c r="I116" s="2000"/>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0.95179999999999998</v>
      </c>
      <c r="C118" s="3383">
        <f>B118</f>
        <v>0.95179999999999998</v>
      </c>
      <c r="D118" s="3383">
        <f>ROUND(0.949-0.014*B116,4)</f>
        <v>0.89170000000000005</v>
      </c>
      <c r="E118" s="3383">
        <f>D118</f>
        <v>0.89170000000000005</v>
      </c>
      <c r="F118" s="3383">
        <f>E118</f>
        <v>0.89170000000000005</v>
      </c>
      <c r="G118" s="3383">
        <f>F118</f>
        <v>0.89170000000000005</v>
      </c>
      <c r="H118" s="3383">
        <f>G118</f>
        <v>0.89170000000000005</v>
      </c>
      <c r="I118" s="3383">
        <f>ROUND(0.8486-0.018*B116,4)</f>
        <v>0.77500000000000002</v>
      </c>
      <c r="J118" s="3383">
        <f t="shared" ref="J118:M122" si="35">I118</f>
        <v>0.77500000000000002</v>
      </c>
      <c r="K118" s="3383">
        <f t="shared" si="35"/>
        <v>0.77500000000000002</v>
      </c>
      <c r="L118" s="3383">
        <f t="shared" si="35"/>
        <v>0.77500000000000002</v>
      </c>
      <c r="M118" s="3406">
        <f t="shared" si="35"/>
        <v>0.77500000000000002</v>
      </c>
      <c r="N118" s="3393"/>
    </row>
    <row r="119" spans="1:14">
      <c r="A119" s="3405" t="s">
        <v>3329</v>
      </c>
      <c r="B119" s="3383">
        <f>ROUND(0.993-0.0112*B116,4)</f>
        <v>0.94720000000000004</v>
      </c>
      <c r="C119" s="3383">
        <f>B119</f>
        <v>0.94720000000000004</v>
      </c>
      <c r="D119" s="3383">
        <f>ROUND(0.9415-0.0142*B116,4)</f>
        <v>0.88339999999999996</v>
      </c>
      <c r="E119" s="3383">
        <f t="shared" ref="E119:H120" si="36">D119</f>
        <v>0.88339999999999996</v>
      </c>
      <c r="F119" s="3383">
        <f t="shared" si="36"/>
        <v>0.88339999999999996</v>
      </c>
      <c r="G119" s="3383">
        <f t="shared" si="36"/>
        <v>0.88339999999999996</v>
      </c>
      <c r="H119" s="3383">
        <f t="shared" si="36"/>
        <v>0.88339999999999996</v>
      </c>
      <c r="I119" s="3383">
        <f>ROUND(0.838-0.0182*B116,4)</f>
        <v>0.76359999999999995</v>
      </c>
      <c r="J119" s="3383">
        <f t="shared" si="35"/>
        <v>0.76359999999999995</v>
      </c>
      <c r="K119" s="3383">
        <f t="shared" si="35"/>
        <v>0.76359999999999995</v>
      </c>
      <c r="L119" s="3383">
        <f t="shared" si="35"/>
        <v>0.76359999999999995</v>
      </c>
      <c r="M119" s="3406">
        <f t="shared" si="35"/>
        <v>0.76359999999999995</v>
      </c>
      <c r="N119" s="3393"/>
    </row>
    <row r="120" spans="1:14">
      <c r="A120" s="3405" t="s">
        <v>3330</v>
      </c>
      <c r="B120" s="3383">
        <f>ROUND(0.9448-0.0115*B116,4)</f>
        <v>0.89780000000000004</v>
      </c>
      <c r="C120" s="3383">
        <f>B120</f>
        <v>0.89780000000000004</v>
      </c>
      <c r="D120" s="3383">
        <f>ROUND(0.937-0.0145*B116,4)</f>
        <v>0.87770000000000004</v>
      </c>
      <c r="E120" s="3383">
        <f t="shared" si="36"/>
        <v>0.87770000000000004</v>
      </c>
      <c r="F120" s="3383">
        <f t="shared" si="36"/>
        <v>0.87770000000000004</v>
      </c>
      <c r="G120" s="3383">
        <f t="shared" si="36"/>
        <v>0.87770000000000004</v>
      </c>
      <c r="H120" s="3383">
        <f t="shared" si="36"/>
        <v>0.87770000000000004</v>
      </c>
      <c r="I120" s="3383">
        <f>ROUND(0.7965-0.0185*B116,4)</f>
        <v>0.7208</v>
      </c>
      <c r="J120" s="3383">
        <f t="shared" si="35"/>
        <v>0.7208</v>
      </c>
      <c r="K120" s="3383">
        <f t="shared" si="35"/>
        <v>0.7208</v>
      </c>
      <c r="L120" s="3383">
        <f t="shared" si="35"/>
        <v>0.7208</v>
      </c>
      <c r="M120" s="3406">
        <f t="shared" si="35"/>
        <v>0.7208</v>
      </c>
      <c r="N120" s="3393"/>
    </row>
    <row r="121" spans="1:14" ht="13.8" thickBot="1">
      <c r="A121" s="3407" t="s">
        <v>3331</v>
      </c>
      <c r="B121" s="3408">
        <f>ROUND(0.7836-0.012*B116,4)</f>
        <v>0.73450000000000004</v>
      </c>
      <c r="C121" s="3408">
        <f>B121</f>
        <v>0.73450000000000004</v>
      </c>
      <c r="D121" s="3408">
        <f>ROUND(0.753-0.015*B116,4)</f>
        <v>0.69169999999999998</v>
      </c>
      <c r="E121" s="3408">
        <f>D121</f>
        <v>0.69169999999999998</v>
      </c>
      <c r="F121" s="3408">
        <f>E121</f>
        <v>0.69169999999999998</v>
      </c>
      <c r="G121" s="3408">
        <f>ROUND(0.6612-0.018*B116,4)</f>
        <v>0.58760000000000001</v>
      </c>
      <c r="H121" s="3408">
        <f>G121</f>
        <v>0.58760000000000001</v>
      </c>
      <c r="I121" s="3408">
        <f>ROUND(0.5905-0.019*B116,4)</f>
        <v>0.51280000000000003</v>
      </c>
      <c r="J121" s="3408">
        <f t="shared" si="35"/>
        <v>0.51280000000000003</v>
      </c>
      <c r="K121" s="3408">
        <f t="shared" si="35"/>
        <v>0.51280000000000003</v>
      </c>
      <c r="L121" s="3408">
        <f t="shared" si="35"/>
        <v>0.51280000000000003</v>
      </c>
      <c r="M121" s="3409">
        <f t="shared" si="35"/>
        <v>0.51280000000000003</v>
      </c>
      <c r="N121" s="3393"/>
    </row>
    <row r="122" spans="1:14">
      <c r="A122" s="3410" t="s">
        <v>2608</v>
      </c>
      <c r="B122" s="3383">
        <f>ROUND(0.9404-0.0106*B116,4)</f>
        <v>0.89700000000000002</v>
      </c>
      <c r="C122" s="3383">
        <f>B122</f>
        <v>0.89700000000000002</v>
      </c>
      <c r="D122" s="3383">
        <f>ROUND(0.8955-0.0135*B116,4)</f>
        <v>0.84030000000000005</v>
      </c>
      <c r="E122" s="3383">
        <f t="shared" ref="E122:H122" si="37">D122</f>
        <v>0.84030000000000005</v>
      </c>
      <c r="F122" s="3383">
        <f t="shared" si="37"/>
        <v>0.84030000000000005</v>
      </c>
      <c r="G122" s="3383">
        <f t="shared" si="37"/>
        <v>0.84030000000000005</v>
      </c>
      <c r="H122" s="3383">
        <f t="shared" si="37"/>
        <v>0.84030000000000005</v>
      </c>
      <c r="I122" s="3383">
        <f>ROUND(0.7632-0.0166*B116,4)</f>
        <v>0.69530000000000003</v>
      </c>
      <c r="J122" s="3383">
        <f t="shared" si="35"/>
        <v>0.69530000000000003</v>
      </c>
      <c r="K122" s="3383">
        <f t="shared" si="35"/>
        <v>0.69530000000000003</v>
      </c>
      <c r="L122" s="3383">
        <f t="shared" si="35"/>
        <v>0.69530000000000003</v>
      </c>
      <c r="M122" s="3406">
        <f t="shared" si="35"/>
        <v>0.69530000000000003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19">
        <f ca="1">ROUND(IF(D2="——",C52/10000,C52/10000-E2),4)</f>
        <v>780.24630000000002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6849</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227826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227826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227826</v>
      </c>
      <c r="D10" s="845">
        <f ca="1">IF(B1="",'数据-汇总表'!E6,IF(INDIRECT("'数据-取费表'!c"&amp;$G$1)="住宅",INDIRECT("'数据-取费表'!s"&amp;$G$1),INDIRECT("'数据-取费表'!k"&amp;$G$1)+INDIRECT("'数据-取费表'!s"&amp;$G$1)))</f>
        <v>1139.1300000000001</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227826</v>
      </c>
      <c r="D19" s="849">
        <f ca="1">D9+D10</f>
        <v>1139.1300000000001</v>
      </c>
      <c r="E19" s="211">
        <f>'数据-取费表'!B31</f>
        <v>200</v>
      </c>
      <c r="F19" s="231"/>
      <c r="G19" s="1856"/>
    </row>
    <row r="20" spans="1:7" s="214" customFormat="1" ht="13.5" customHeight="1">
      <c r="A20" s="255" t="s">
        <v>1573</v>
      </c>
      <c r="B20" s="210" t="s">
        <v>1574</v>
      </c>
      <c r="C20" s="232">
        <f ca="1">ROUND((C5+C19)*F20,0)</f>
        <v>9113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38982</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19302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19302</v>
      </c>
      <c r="D24" s="238"/>
      <c r="E24" s="238"/>
      <c r="F24" s="239"/>
      <c r="G24" s="240" t="s">
        <v>1585</v>
      </c>
    </row>
    <row r="25" spans="1:7" s="214" customFormat="1" ht="24">
      <c r="A25" s="780" t="s">
        <v>1475</v>
      </c>
      <c r="B25" s="215" t="s">
        <v>1586</v>
      </c>
      <c r="C25" s="1128">
        <f ca="1">ROUND(IF('数据-取费表'!B22&lt;=1,C20*F22*'数据-取费表'!B22/2,C20*(POWER((1+F22),'数据-取费表'!B22/2)-1)),0)</f>
        <v>378</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6.4">
      <c r="A27" s="255" t="s">
        <v>1511</v>
      </c>
      <c r="B27" s="244" t="s">
        <v>1512</v>
      </c>
      <c r="C27" s="245">
        <f ca="1">C28</f>
        <v>92953</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92953</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647250</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6128308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5646394</v>
      </c>
      <c r="D34" s="217"/>
      <c r="E34" s="220"/>
      <c r="F34" s="257"/>
      <c r="G34" s="219"/>
    </row>
    <row r="35" spans="1:7" ht="13.5" customHeight="1">
      <c r="A35" s="780" t="s">
        <v>351</v>
      </c>
      <c r="B35" s="215" t="s">
        <v>1526</v>
      </c>
      <c r="C35" s="220">
        <f ca="1">ROUND(C34*F35,0)</f>
        <v>169392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227826</v>
      </c>
      <c r="D37" s="217">
        <f ca="1">D19</f>
        <v>1139.1300000000001</v>
      </c>
      <c r="E37" s="249">
        <f>'数据-取费表'!B35</f>
        <v>200</v>
      </c>
      <c r="F37" s="259"/>
      <c r="G37" s="261"/>
    </row>
    <row r="38" spans="1:7" ht="13.5" customHeight="1">
      <c r="A38" s="780" t="s">
        <v>354</v>
      </c>
      <c r="B38" s="215" t="s">
        <v>1532</v>
      </c>
      <c r="C38" s="220">
        <f ca="1">ROUND(C34*F38,0)</f>
        <v>84696</v>
      </c>
      <c r="D38" s="220"/>
      <c r="E38" s="220"/>
      <c r="F38" s="259">
        <f>'数据-取费表'!B36</f>
        <v>1.4999999999999999E-2</v>
      </c>
      <c r="G38" s="219" t="s">
        <v>1527</v>
      </c>
    </row>
    <row r="39" spans="1:7" s="214" customFormat="1" ht="13.5" customHeight="1">
      <c r="A39" s="255" t="s">
        <v>1533</v>
      </c>
      <c r="B39" s="210" t="s">
        <v>1534</v>
      </c>
      <c r="C39" s="232">
        <f ca="1">ROUND(C33*F20,0)</f>
        <v>122566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259411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254325</v>
      </c>
      <c r="D42" s="238"/>
      <c r="E42" s="238"/>
      <c r="F42" s="239"/>
      <c r="G42" s="3727" t="s">
        <v>1590</v>
      </c>
    </row>
    <row r="43" spans="1:7" ht="13.5" customHeight="1">
      <c r="A43" s="780" t="s">
        <v>347</v>
      </c>
      <c r="B43" s="215" t="s">
        <v>1544</v>
      </c>
      <c r="C43" s="238">
        <f ca="1">ROUND(IF('数据-取费表'!B22&lt;=1,C39*F22*'数据-取费表'!B20/2,C39*(POWER((1+F22),'数据-取费表'!B20/2)-1)),0)</f>
        <v>5086</v>
      </c>
      <c r="D43" s="238"/>
      <c r="E43" s="238"/>
      <c r="F43" s="239"/>
      <c r="G43" s="3728"/>
    </row>
    <row r="44" spans="1:7" ht="13.5" customHeight="1">
      <c r="A44" s="780" t="s">
        <v>348</v>
      </c>
      <c r="B44" s="215" t="s">
        <v>1545</v>
      </c>
      <c r="C44" s="238">
        <f ca="1">ROUND(IF('数据-取费表'!B22&lt;=1,C40*F22*'数据-取费表'!B20/2,C40*(POWER((1+F22),'数据-取费表'!B20/2)-1)),4)</f>
        <v>8.0000000000000004E-4</v>
      </c>
      <c r="D44" s="238"/>
      <c r="E44" s="238"/>
      <c r="F44" s="239"/>
      <c r="G44" s="3729"/>
    </row>
    <row r="45" spans="1:7" s="214" customFormat="1" ht="13.5" customHeight="1">
      <c r="A45" s="255" t="s">
        <v>1546</v>
      </c>
      <c r="B45" s="244" t="s">
        <v>1512</v>
      </c>
      <c r="C45" s="245">
        <f ca="1">C46</f>
        <v>1250175</v>
      </c>
      <c r="D45" s="235">
        <f ca="1">C47</f>
        <v>4.0000000000000001E-3</v>
      </c>
      <c r="E45" s="236" t="s">
        <v>1538</v>
      </c>
      <c r="F45" s="246">
        <f ca="1">F27</f>
        <v>0.2</v>
      </c>
      <c r="G45" s="247" t="s">
        <v>1547</v>
      </c>
    </row>
    <row r="46" spans="1:7" s="214" customFormat="1" ht="13.5" customHeight="1">
      <c r="A46" s="780" t="s">
        <v>346</v>
      </c>
      <c r="B46" s="248" t="s">
        <v>1548</v>
      </c>
      <c r="C46" s="249">
        <f ca="1">ROUND((C33+C39)*F27,0)</f>
        <v>1250175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8417898</v>
      </c>
      <c r="D49" s="232"/>
      <c r="E49" s="232"/>
      <c r="F49" s="264"/>
      <c r="G49" s="234" t="s">
        <v>1553</v>
      </c>
    </row>
    <row r="50" spans="1:7" s="258" customFormat="1">
      <c r="A50" s="255" t="s">
        <v>1554</v>
      </c>
      <c r="B50" s="210" t="s">
        <v>1555</v>
      </c>
      <c r="C50" s="232"/>
      <c r="D50" s="232"/>
      <c r="E50" s="232"/>
      <c r="F50" s="264">
        <f>IF('数据-取费表'!B24=0,'数据-取费表'!N16,1)</f>
        <v>0.85</v>
      </c>
      <c r="G50" s="247"/>
    </row>
    <row r="51" spans="1:7" ht="16.5" customHeight="1">
      <c r="A51" s="255" t="s">
        <v>1557</v>
      </c>
      <c r="B51" s="210" t="s">
        <v>1592</v>
      </c>
      <c r="C51" s="232">
        <f ca="1">ROUND(C49*F50,0)</f>
        <v>7155213</v>
      </c>
      <c r="D51" s="232"/>
      <c r="E51" s="232"/>
      <c r="F51" s="264"/>
      <c r="G51" s="234" t="s">
        <v>1559</v>
      </c>
    </row>
    <row r="52" spans="1:7" s="208" customFormat="1" ht="16.8" thickBot="1">
      <c r="A52" s="265" t="s">
        <v>1560</v>
      </c>
      <c r="B52" s="266"/>
      <c r="C52" s="267">
        <f ca="1">C31+C51</f>
        <v>7802463</v>
      </c>
      <c r="D52" s="266"/>
      <c r="E52" s="266"/>
      <c r="F52" s="266"/>
      <c r="G52" s="268"/>
    </row>
    <row r="55" spans="1:7" ht="15">
      <c r="B55" s="270" t="s">
        <v>1561</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1"/>
      <c r="F1" s="2801"/>
      <c r="G1" s="2666"/>
      <c r="H1" s="2801"/>
      <c r="I1" s="2801"/>
      <c r="J1" s="2801"/>
      <c r="K1" s="2802">
        <f>MATCH(C1,'数据-取费表'!A6:A16,0)+5</f>
        <v>8</v>
      </c>
    </row>
    <row r="2" spans="1:33" ht="18" customHeight="1">
      <c r="A2" s="201" t="s">
        <v>1461</v>
      </c>
      <c r="B2" s="204">
        <f ca="1">C32</f>
        <v>0</v>
      </c>
      <c r="C2" s="276" t="s">
        <v>1594</v>
      </c>
      <c r="D2" s="276"/>
      <c r="E2" s="2801"/>
      <c r="F2" s="2801"/>
      <c r="G2" s="2801"/>
      <c r="H2" s="2801"/>
      <c r="I2" s="2801"/>
      <c r="J2" s="2801"/>
      <c r="K2" s="2801"/>
    </row>
    <row r="3" spans="1:33" ht="18" customHeight="1" thickBot="1">
      <c r="A3" s="203" t="s">
        <v>1463</v>
      </c>
      <c r="B3" s="204">
        <f ca="1">ROUND(B2*10000/IF(C1="",'数据-汇总表'!E3,INDIRECT("'数据-取费表'!K"&amp;$K$1)),0)</f>
        <v>0</v>
      </c>
      <c r="C3" s="276" t="s">
        <v>1595</v>
      </c>
      <c r="D3" s="276"/>
      <c r="E3" s="2801"/>
      <c r="F3" s="2801"/>
      <c r="G3" s="2801"/>
      <c r="H3" s="2801"/>
      <c r="I3" s="2801"/>
      <c r="J3" s="2801"/>
      <c r="K3" s="2801"/>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1139.1300000000001</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1139.1300000000001</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23</v>
      </c>
      <c r="D20" s="846">
        <f ca="1">IF(C1="",'数据-汇总表'!E6,IF(INDIRECT("'数据-取费表'!c"&amp;$K$1)="住宅",INDIRECT("'数据-取费表'!s"&amp;$K$1),INDIRECT("'数据-取费表'!k"&amp;$K$1)+INDIRECT("'数据-取费表'!s"&amp;$K$1)))</f>
        <v>1139.1300000000001</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7" customWidth="1"/>
    <col min="2" max="2" width="8.88671875" style="2837"/>
    <col min="3" max="5" width="12.88671875" style="2837" customWidth="1"/>
    <col min="6" max="6" width="47.44140625" style="2837" customWidth="1"/>
    <col min="7" max="7" width="13" style="2996" customWidth="1"/>
    <col min="8" max="8" width="8.88671875" style="2831"/>
    <col min="9" max="9" width="8.88671875" style="2832"/>
    <col min="10" max="10" width="5.77734375" style="2997" customWidth="1"/>
    <col min="11" max="11" width="11.77734375" style="2997" customWidth="1"/>
    <col min="12" max="13" width="10.77734375" style="2997" customWidth="1"/>
    <col min="14" max="14" width="10" style="2997" customWidth="1"/>
    <col min="15" max="16" width="10.44140625" style="2997" bestFit="1" customWidth="1"/>
    <col min="17" max="17" width="10" style="2997" customWidth="1"/>
    <col min="18" max="18" width="10.109375" style="2997" customWidth="1"/>
    <col min="19" max="19" width="10" style="2997" customWidth="1"/>
    <col min="20" max="20" width="26.109375" style="2997" customWidth="1"/>
    <col min="21" max="21" width="8.88671875" style="2997"/>
    <col min="22" max="22" width="8.88671875" style="2832"/>
    <col min="23" max="256" width="8.88671875" style="2837"/>
    <col min="257" max="257" width="9.44140625" style="2837" customWidth="1"/>
    <col min="258" max="258" width="8.88671875" style="2837"/>
    <col min="259" max="261" width="12.88671875" style="2837" customWidth="1"/>
    <col min="262" max="262" width="47.44140625" style="2837" customWidth="1"/>
    <col min="263" max="263" width="13" style="2837" customWidth="1"/>
    <col min="264" max="265" width="8.88671875" style="2837"/>
    <col min="266" max="266" width="5.77734375" style="2837" customWidth="1"/>
    <col min="267" max="267" width="11.77734375" style="2837" customWidth="1"/>
    <col min="268" max="269" width="10.77734375" style="2837" customWidth="1"/>
    <col min="270" max="270" width="10" style="2837" customWidth="1"/>
    <col min="271" max="272" width="10.44140625" style="2837" bestFit="1" customWidth="1"/>
    <col min="273" max="273" width="10" style="2837" customWidth="1"/>
    <col min="274" max="274" width="10.109375" style="2837" customWidth="1"/>
    <col min="275" max="275" width="10" style="2837" customWidth="1"/>
    <col min="276" max="276" width="26.109375" style="2837" customWidth="1"/>
    <col min="277" max="512" width="8.88671875" style="2837"/>
    <col min="513" max="513" width="9.44140625" style="2837" customWidth="1"/>
    <col min="514" max="514" width="8.88671875" style="2837"/>
    <col min="515" max="517" width="12.88671875" style="2837" customWidth="1"/>
    <col min="518" max="518" width="47.44140625" style="2837" customWidth="1"/>
    <col min="519" max="519" width="13" style="2837" customWidth="1"/>
    <col min="520" max="521" width="8.88671875" style="2837"/>
    <col min="522" max="522" width="5.77734375" style="2837" customWidth="1"/>
    <col min="523" max="523" width="11.77734375" style="2837" customWidth="1"/>
    <col min="524" max="525" width="10.77734375" style="2837" customWidth="1"/>
    <col min="526" max="526" width="10" style="2837" customWidth="1"/>
    <col min="527" max="528" width="10.44140625" style="2837" bestFit="1" customWidth="1"/>
    <col min="529" max="529" width="10" style="2837" customWidth="1"/>
    <col min="530" max="530" width="10.109375" style="2837" customWidth="1"/>
    <col min="531" max="531" width="10" style="2837" customWidth="1"/>
    <col min="532" max="532" width="26.109375" style="2837" customWidth="1"/>
    <col min="533" max="768" width="8.88671875" style="2837"/>
    <col min="769" max="769" width="9.44140625" style="2837" customWidth="1"/>
    <col min="770" max="770" width="8.88671875" style="2837"/>
    <col min="771" max="773" width="12.88671875" style="2837" customWidth="1"/>
    <col min="774" max="774" width="47.44140625" style="2837" customWidth="1"/>
    <col min="775" max="775" width="13" style="2837" customWidth="1"/>
    <col min="776" max="777" width="8.88671875" style="2837"/>
    <col min="778" max="778" width="5.77734375" style="2837" customWidth="1"/>
    <col min="779" max="779" width="11.77734375" style="2837" customWidth="1"/>
    <col min="780" max="781" width="10.77734375" style="2837" customWidth="1"/>
    <col min="782" max="782" width="10" style="2837" customWidth="1"/>
    <col min="783" max="784" width="10.44140625" style="2837" bestFit="1" customWidth="1"/>
    <col min="785" max="785" width="10" style="2837" customWidth="1"/>
    <col min="786" max="786" width="10.109375" style="2837" customWidth="1"/>
    <col min="787" max="787" width="10" style="2837" customWidth="1"/>
    <col min="788" max="788" width="26.109375" style="2837" customWidth="1"/>
    <col min="789" max="1024" width="8.88671875" style="2837"/>
    <col min="1025" max="1025" width="9.44140625" style="2837" customWidth="1"/>
    <col min="1026" max="1026" width="8.88671875" style="2837"/>
    <col min="1027" max="1029" width="12.88671875" style="2837" customWidth="1"/>
    <col min="1030" max="1030" width="47.44140625" style="2837" customWidth="1"/>
    <col min="1031" max="1031" width="13" style="2837" customWidth="1"/>
    <col min="1032" max="1033" width="8.88671875" style="2837"/>
    <col min="1034" max="1034" width="5.77734375" style="2837" customWidth="1"/>
    <col min="1035" max="1035" width="11.77734375" style="2837" customWidth="1"/>
    <col min="1036" max="1037" width="10.77734375" style="2837" customWidth="1"/>
    <col min="1038" max="1038" width="10" style="2837" customWidth="1"/>
    <col min="1039" max="1040" width="10.44140625" style="2837" bestFit="1" customWidth="1"/>
    <col min="1041" max="1041" width="10" style="2837" customWidth="1"/>
    <col min="1042" max="1042" width="10.109375" style="2837" customWidth="1"/>
    <col min="1043" max="1043" width="10" style="2837" customWidth="1"/>
    <col min="1044" max="1044" width="26.109375" style="2837" customWidth="1"/>
    <col min="1045" max="1280" width="8.88671875" style="2837"/>
    <col min="1281" max="1281" width="9.44140625" style="2837" customWidth="1"/>
    <col min="1282" max="1282" width="8.88671875" style="2837"/>
    <col min="1283" max="1285" width="12.88671875" style="2837" customWidth="1"/>
    <col min="1286" max="1286" width="47.44140625" style="2837" customWidth="1"/>
    <col min="1287" max="1287" width="13" style="2837" customWidth="1"/>
    <col min="1288" max="1289" width="8.88671875" style="2837"/>
    <col min="1290" max="1290" width="5.77734375" style="2837" customWidth="1"/>
    <col min="1291" max="1291" width="11.77734375" style="2837" customWidth="1"/>
    <col min="1292" max="1293" width="10.77734375" style="2837" customWidth="1"/>
    <col min="1294" max="1294" width="10" style="2837" customWidth="1"/>
    <col min="1295" max="1296" width="10.44140625" style="2837" bestFit="1" customWidth="1"/>
    <col min="1297" max="1297" width="10" style="2837" customWidth="1"/>
    <col min="1298" max="1298" width="10.109375" style="2837" customWidth="1"/>
    <col min="1299" max="1299" width="10" style="2837" customWidth="1"/>
    <col min="1300" max="1300" width="26.109375" style="2837" customWidth="1"/>
    <col min="1301" max="1536" width="8.88671875" style="2837"/>
    <col min="1537" max="1537" width="9.44140625" style="2837" customWidth="1"/>
    <col min="1538" max="1538" width="8.88671875" style="2837"/>
    <col min="1539" max="1541" width="12.88671875" style="2837" customWidth="1"/>
    <col min="1542" max="1542" width="47.44140625" style="2837" customWidth="1"/>
    <col min="1543" max="1543" width="13" style="2837" customWidth="1"/>
    <col min="1544" max="1545" width="8.88671875" style="2837"/>
    <col min="1546" max="1546" width="5.77734375" style="2837" customWidth="1"/>
    <col min="1547" max="1547" width="11.77734375" style="2837" customWidth="1"/>
    <col min="1548" max="1549" width="10.77734375" style="2837" customWidth="1"/>
    <col min="1550" max="1550" width="10" style="2837" customWidth="1"/>
    <col min="1551" max="1552" width="10.44140625" style="2837" bestFit="1" customWidth="1"/>
    <col min="1553" max="1553" width="10" style="2837" customWidth="1"/>
    <col min="1554" max="1554" width="10.109375" style="2837" customWidth="1"/>
    <col min="1555" max="1555" width="10" style="2837" customWidth="1"/>
    <col min="1556" max="1556" width="26.109375" style="2837" customWidth="1"/>
    <col min="1557" max="1792" width="8.88671875" style="2837"/>
    <col min="1793" max="1793" width="9.44140625" style="2837" customWidth="1"/>
    <col min="1794" max="1794" width="8.88671875" style="2837"/>
    <col min="1795" max="1797" width="12.88671875" style="2837" customWidth="1"/>
    <col min="1798" max="1798" width="47.44140625" style="2837" customWidth="1"/>
    <col min="1799" max="1799" width="13" style="2837" customWidth="1"/>
    <col min="1800" max="1801" width="8.88671875" style="2837"/>
    <col min="1802" max="1802" width="5.77734375" style="2837" customWidth="1"/>
    <col min="1803" max="1803" width="11.77734375" style="2837" customWidth="1"/>
    <col min="1804" max="1805" width="10.77734375" style="2837" customWidth="1"/>
    <col min="1806" max="1806" width="10" style="2837" customWidth="1"/>
    <col min="1807" max="1808" width="10.44140625" style="2837" bestFit="1" customWidth="1"/>
    <col min="1809" max="1809" width="10" style="2837" customWidth="1"/>
    <col min="1810" max="1810" width="10.109375" style="2837" customWidth="1"/>
    <col min="1811" max="1811" width="10" style="2837" customWidth="1"/>
    <col min="1812" max="1812" width="26.109375" style="2837" customWidth="1"/>
    <col min="1813" max="2048" width="8.88671875" style="2837"/>
    <col min="2049" max="2049" width="9.44140625" style="2837" customWidth="1"/>
    <col min="2050" max="2050" width="8.88671875" style="2837"/>
    <col min="2051" max="2053" width="12.88671875" style="2837" customWidth="1"/>
    <col min="2054" max="2054" width="47.44140625" style="2837" customWidth="1"/>
    <col min="2055" max="2055" width="13" style="2837" customWidth="1"/>
    <col min="2056" max="2057" width="8.88671875" style="2837"/>
    <col min="2058" max="2058" width="5.77734375" style="2837" customWidth="1"/>
    <col min="2059" max="2059" width="11.77734375" style="2837" customWidth="1"/>
    <col min="2060" max="2061" width="10.77734375" style="2837" customWidth="1"/>
    <col min="2062" max="2062" width="10" style="2837" customWidth="1"/>
    <col min="2063" max="2064" width="10.44140625" style="2837" bestFit="1" customWidth="1"/>
    <col min="2065" max="2065" width="10" style="2837" customWidth="1"/>
    <col min="2066" max="2066" width="10.109375" style="2837" customWidth="1"/>
    <col min="2067" max="2067" width="10" style="2837" customWidth="1"/>
    <col min="2068" max="2068" width="26.109375" style="2837" customWidth="1"/>
    <col min="2069" max="2304" width="8.88671875" style="2837"/>
    <col min="2305" max="2305" width="9.44140625" style="2837" customWidth="1"/>
    <col min="2306" max="2306" width="8.88671875" style="2837"/>
    <col min="2307" max="2309" width="12.88671875" style="2837" customWidth="1"/>
    <col min="2310" max="2310" width="47.44140625" style="2837" customWidth="1"/>
    <col min="2311" max="2311" width="13" style="2837" customWidth="1"/>
    <col min="2312" max="2313" width="8.88671875" style="2837"/>
    <col min="2314" max="2314" width="5.77734375" style="2837" customWidth="1"/>
    <col min="2315" max="2315" width="11.77734375" style="2837" customWidth="1"/>
    <col min="2316" max="2317" width="10.77734375" style="2837" customWidth="1"/>
    <col min="2318" max="2318" width="10" style="2837" customWidth="1"/>
    <col min="2319" max="2320" width="10.44140625" style="2837" bestFit="1" customWidth="1"/>
    <col min="2321" max="2321" width="10" style="2837" customWidth="1"/>
    <col min="2322" max="2322" width="10.109375" style="2837" customWidth="1"/>
    <col min="2323" max="2323" width="10" style="2837" customWidth="1"/>
    <col min="2324" max="2324" width="26.109375" style="2837" customWidth="1"/>
    <col min="2325" max="2560" width="8.88671875" style="2837"/>
    <col min="2561" max="2561" width="9.44140625" style="2837" customWidth="1"/>
    <col min="2562" max="2562" width="8.88671875" style="2837"/>
    <col min="2563" max="2565" width="12.88671875" style="2837" customWidth="1"/>
    <col min="2566" max="2566" width="47.44140625" style="2837" customWidth="1"/>
    <col min="2567" max="2567" width="13" style="2837" customWidth="1"/>
    <col min="2568" max="2569" width="8.88671875" style="2837"/>
    <col min="2570" max="2570" width="5.77734375" style="2837" customWidth="1"/>
    <col min="2571" max="2571" width="11.77734375" style="2837" customWidth="1"/>
    <col min="2572" max="2573" width="10.77734375" style="2837" customWidth="1"/>
    <col min="2574" max="2574" width="10" style="2837" customWidth="1"/>
    <col min="2575" max="2576" width="10.44140625" style="2837" bestFit="1" customWidth="1"/>
    <col min="2577" max="2577" width="10" style="2837" customWidth="1"/>
    <col min="2578" max="2578" width="10.109375" style="2837" customWidth="1"/>
    <col min="2579" max="2579" width="10" style="2837" customWidth="1"/>
    <col min="2580" max="2580" width="26.109375" style="2837" customWidth="1"/>
    <col min="2581" max="2816" width="8.88671875" style="2837"/>
    <col min="2817" max="2817" width="9.44140625" style="2837" customWidth="1"/>
    <col min="2818" max="2818" width="8.88671875" style="2837"/>
    <col min="2819" max="2821" width="12.88671875" style="2837" customWidth="1"/>
    <col min="2822" max="2822" width="47.44140625" style="2837" customWidth="1"/>
    <col min="2823" max="2823" width="13" style="2837" customWidth="1"/>
    <col min="2824" max="2825" width="8.88671875" style="2837"/>
    <col min="2826" max="2826" width="5.77734375" style="2837" customWidth="1"/>
    <col min="2827" max="2827" width="11.77734375" style="2837" customWidth="1"/>
    <col min="2828" max="2829" width="10.77734375" style="2837" customWidth="1"/>
    <col min="2830" max="2830" width="10" style="2837" customWidth="1"/>
    <col min="2831" max="2832" width="10.44140625" style="2837" bestFit="1" customWidth="1"/>
    <col min="2833" max="2833" width="10" style="2837" customWidth="1"/>
    <col min="2834" max="2834" width="10.109375" style="2837" customWidth="1"/>
    <col min="2835" max="2835" width="10" style="2837" customWidth="1"/>
    <col min="2836" max="2836" width="26.109375" style="2837" customWidth="1"/>
    <col min="2837" max="3072" width="8.88671875" style="2837"/>
    <col min="3073" max="3073" width="9.44140625" style="2837" customWidth="1"/>
    <col min="3074" max="3074" width="8.88671875" style="2837"/>
    <col min="3075" max="3077" width="12.88671875" style="2837" customWidth="1"/>
    <col min="3078" max="3078" width="47.44140625" style="2837" customWidth="1"/>
    <col min="3079" max="3079" width="13" style="2837" customWidth="1"/>
    <col min="3080" max="3081" width="8.88671875" style="2837"/>
    <col min="3082" max="3082" width="5.77734375" style="2837" customWidth="1"/>
    <col min="3083" max="3083" width="11.77734375" style="2837" customWidth="1"/>
    <col min="3084" max="3085" width="10.77734375" style="2837" customWidth="1"/>
    <col min="3086" max="3086" width="10" style="2837" customWidth="1"/>
    <col min="3087" max="3088" width="10.44140625" style="2837" bestFit="1" customWidth="1"/>
    <col min="3089" max="3089" width="10" style="2837" customWidth="1"/>
    <col min="3090" max="3090" width="10.109375" style="2837" customWidth="1"/>
    <col min="3091" max="3091" width="10" style="2837" customWidth="1"/>
    <col min="3092" max="3092" width="26.109375" style="2837" customWidth="1"/>
    <col min="3093" max="3328" width="8.88671875" style="2837"/>
    <col min="3329" max="3329" width="9.44140625" style="2837" customWidth="1"/>
    <col min="3330" max="3330" width="8.88671875" style="2837"/>
    <col min="3331" max="3333" width="12.88671875" style="2837" customWidth="1"/>
    <col min="3334" max="3334" width="47.44140625" style="2837" customWidth="1"/>
    <col min="3335" max="3335" width="13" style="2837" customWidth="1"/>
    <col min="3336" max="3337" width="8.88671875" style="2837"/>
    <col min="3338" max="3338" width="5.77734375" style="2837" customWidth="1"/>
    <col min="3339" max="3339" width="11.77734375" style="2837" customWidth="1"/>
    <col min="3340" max="3341" width="10.77734375" style="2837" customWidth="1"/>
    <col min="3342" max="3342" width="10" style="2837" customWidth="1"/>
    <col min="3343" max="3344" width="10.44140625" style="2837" bestFit="1" customWidth="1"/>
    <col min="3345" max="3345" width="10" style="2837" customWidth="1"/>
    <col min="3346" max="3346" width="10.109375" style="2837" customWidth="1"/>
    <col min="3347" max="3347" width="10" style="2837" customWidth="1"/>
    <col min="3348" max="3348" width="26.109375" style="2837" customWidth="1"/>
    <col min="3349" max="3584" width="8.88671875" style="2837"/>
    <col min="3585" max="3585" width="9.44140625" style="2837" customWidth="1"/>
    <col min="3586" max="3586" width="8.88671875" style="2837"/>
    <col min="3587" max="3589" width="12.88671875" style="2837" customWidth="1"/>
    <col min="3590" max="3590" width="47.44140625" style="2837" customWidth="1"/>
    <col min="3591" max="3591" width="13" style="2837" customWidth="1"/>
    <col min="3592" max="3593" width="8.88671875" style="2837"/>
    <col min="3594" max="3594" width="5.77734375" style="2837" customWidth="1"/>
    <col min="3595" max="3595" width="11.77734375" style="2837" customWidth="1"/>
    <col min="3596" max="3597" width="10.77734375" style="2837" customWidth="1"/>
    <col min="3598" max="3598" width="10" style="2837" customWidth="1"/>
    <col min="3599" max="3600" width="10.44140625" style="2837" bestFit="1" customWidth="1"/>
    <col min="3601" max="3601" width="10" style="2837" customWidth="1"/>
    <col min="3602" max="3602" width="10.109375" style="2837" customWidth="1"/>
    <col min="3603" max="3603" width="10" style="2837" customWidth="1"/>
    <col min="3604" max="3604" width="26.109375" style="2837" customWidth="1"/>
    <col min="3605" max="3840" width="8.88671875" style="2837"/>
    <col min="3841" max="3841" width="9.44140625" style="2837" customWidth="1"/>
    <col min="3842" max="3842" width="8.88671875" style="2837"/>
    <col min="3843" max="3845" width="12.88671875" style="2837" customWidth="1"/>
    <col min="3846" max="3846" width="47.44140625" style="2837" customWidth="1"/>
    <col min="3847" max="3847" width="13" style="2837" customWidth="1"/>
    <col min="3848" max="3849" width="8.88671875" style="2837"/>
    <col min="3850" max="3850" width="5.77734375" style="2837" customWidth="1"/>
    <col min="3851" max="3851" width="11.77734375" style="2837" customWidth="1"/>
    <col min="3852" max="3853" width="10.77734375" style="2837" customWidth="1"/>
    <col min="3854" max="3854" width="10" style="2837" customWidth="1"/>
    <col min="3855" max="3856" width="10.44140625" style="2837" bestFit="1" customWidth="1"/>
    <col min="3857" max="3857" width="10" style="2837" customWidth="1"/>
    <col min="3858" max="3858" width="10.109375" style="2837" customWidth="1"/>
    <col min="3859" max="3859" width="10" style="2837" customWidth="1"/>
    <col min="3860" max="3860" width="26.109375" style="2837" customWidth="1"/>
    <col min="3861" max="4096" width="8.88671875" style="2837"/>
    <col min="4097" max="4097" width="9.44140625" style="2837" customWidth="1"/>
    <col min="4098" max="4098" width="8.88671875" style="2837"/>
    <col min="4099" max="4101" width="12.88671875" style="2837" customWidth="1"/>
    <col min="4102" max="4102" width="47.44140625" style="2837" customWidth="1"/>
    <col min="4103" max="4103" width="13" style="2837" customWidth="1"/>
    <col min="4104" max="4105" width="8.88671875" style="2837"/>
    <col min="4106" max="4106" width="5.77734375" style="2837" customWidth="1"/>
    <col min="4107" max="4107" width="11.77734375" style="2837" customWidth="1"/>
    <col min="4108" max="4109" width="10.77734375" style="2837" customWidth="1"/>
    <col min="4110" max="4110" width="10" style="2837" customWidth="1"/>
    <col min="4111" max="4112" width="10.44140625" style="2837" bestFit="1" customWidth="1"/>
    <col min="4113" max="4113" width="10" style="2837" customWidth="1"/>
    <col min="4114" max="4114" width="10.109375" style="2837" customWidth="1"/>
    <col min="4115" max="4115" width="10" style="2837" customWidth="1"/>
    <col min="4116" max="4116" width="26.109375" style="2837" customWidth="1"/>
    <col min="4117" max="4352" width="8.88671875" style="2837"/>
    <col min="4353" max="4353" width="9.44140625" style="2837" customWidth="1"/>
    <col min="4354" max="4354" width="8.88671875" style="2837"/>
    <col min="4355" max="4357" width="12.88671875" style="2837" customWidth="1"/>
    <col min="4358" max="4358" width="47.44140625" style="2837" customWidth="1"/>
    <col min="4359" max="4359" width="13" style="2837" customWidth="1"/>
    <col min="4360" max="4361" width="8.88671875" style="2837"/>
    <col min="4362" max="4362" width="5.77734375" style="2837" customWidth="1"/>
    <col min="4363" max="4363" width="11.77734375" style="2837" customWidth="1"/>
    <col min="4364" max="4365" width="10.77734375" style="2837" customWidth="1"/>
    <col min="4366" max="4366" width="10" style="2837" customWidth="1"/>
    <col min="4367" max="4368" width="10.44140625" style="2837" bestFit="1" customWidth="1"/>
    <col min="4369" max="4369" width="10" style="2837" customWidth="1"/>
    <col min="4370" max="4370" width="10.109375" style="2837" customWidth="1"/>
    <col min="4371" max="4371" width="10" style="2837" customWidth="1"/>
    <col min="4372" max="4372" width="26.109375" style="2837" customWidth="1"/>
    <col min="4373" max="4608" width="8.88671875" style="2837"/>
    <col min="4609" max="4609" width="9.44140625" style="2837" customWidth="1"/>
    <col min="4610" max="4610" width="8.88671875" style="2837"/>
    <col min="4611" max="4613" width="12.88671875" style="2837" customWidth="1"/>
    <col min="4614" max="4614" width="47.44140625" style="2837" customWidth="1"/>
    <col min="4615" max="4615" width="13" style="2837" customWidth="1"/>
    <col min="4616" max="4617" width="8.88671875" style="2837"/>
    <col min="4618" max="4618" width="5.77734375" style="2837" customWidth="1"/>
    <col min="4619" max="4619" width="11.77734375" style="2837" customWidth="1"/>
    <col min="4620" max="4621" width="10.77734375" style="2837" customWidth="1"/>
    <col min="4622" max="4622" width="10" style="2837" customWidth="1"/>
    <col min="4623" max="4624" width="10.44140625" style="2837" bestFit="1" customWidth="1"/>
    <col min="4625" max="4625" width="10" style="2837" customWidth="1"/>
    <col min="4626" max="4626" width="10.109375" style="2837" customWidth="1"/>
    <col min="4627" max="4627" width="10" style="2837" customWidth="1"/>
    <col min="4628" max="4628" width="26.109375" style="2837" customWidth="1"/>
    <col min="4629" max="4864" width="8.88671875" style="2837"/>
    <col min="4865" max="4865" width="9.44140625" style="2837" customWidth="1"/>
    <col min="4866" max="4866" width="8.88671875" style="2837"/>
    <col min="4867" max="4869" width="12.88671875" style="2837" customWidth="1"/>
    <col min="4870" max="4870" width="47.44140625" style="2837" customWidth="1"/>
    <col min="4871" max="4871" width="13" style="2837" customWidth="1"/>
    <col min="4872" max="4873" width="8.88671875" style="2837"/>
    <col min="4874" max="4874" width="5.77734375" style="2837" customWidth="1"/>
    <col min="4875" max="4875" width="11.77734375" style="2837" customWidth="1"/>
    <col min="4876" max="4877" width="10.77734375" style="2837" customWidth="1"/>
    <col min="4878" max="4878" width="10" style="2837" customWidth="1"/>
    <col min="4879" max="4880" width="10.44140625" style="2837" bestFit="1" customWidth="1"/>
    <col min="4881" max="4881" width="10" style="2837" customWidth="1"/>
    <col min="4882" max="4882" width="10.109375" style="2837" customWidth="1"/>
    <col min="4883" max="4883" width="10" style="2837" customWidth="1"/>
    <col min="4884" max="4884" width="26.109375" style="2837" customWidth="1"/>
    <col min="4885" max="5120" width="8.88671875" style="2837"/>
    <col min="5121" max="5121" width="9.44140625" style="2837" customWidth="1"/>
    <col min="5122" max="5122" width="8.88671875" style="2837"/>
    <col min="5123" max="5125" width="12.88671875" style="2837" customWidth="1"/>
    <col min="5126" max="5126" width="47.44140625" style="2837" customWidth="1"/>
    <col min="5127" max="5127" width="13" style="2837" customWidth="1"/>
    <col min="5128" max="5129" width="8.88671875" style="2837"/>
    <col min="5130" max="5130" width="5.77734375" style="2837" customWidth="1"/>
    <col min="5131" max="5131" width="11.77734375" style="2837" customWidth="1"/>
    <col min="5132" max="5133" width="10.77734375" style="2837" customWidth="1"/>
    <col min="5134" max="5134" width="10" style="2837" customWidth="1"/>
    <col min="5135" max="5136" width="10.44140625" style="2837" bestFit="1" customWidth="1"/>
    <col min="5137" max="5137" width="10" style="2837" customWidth="1"/>
    <col min="5138" max="5138" width="10.109375" style="2837" customWidth="1"/>
    <col min="5139" max="5139" width="10" style="2837" customWidth="1"/>
    <col min="5140" max="5140" width="26.109375" style="2837" customWidth="1"/>
    <col min="5141" max="5376" width="8.88671875" style="2837"/>
    <col min="5377" max="5377" width="9.44140625" style="2837" customWidth="1"/>
    <col min="5378" max="5378" width="8.88671875" style="2837"/>
    <col min="5379" max="5381" width="12.88671875" style="2837" customWidth="1"/>
    <col min="5382" max="5382" width="47.44140625" style="2837" customWidth="1"/>
    <col min="5383" max="5383" width="13" style="2837" customWidth="1"/>
    <col min="5384" max="5385" width="8.88671875" style="2837"/>
    <col min="5386" max="5386" width="5.77734375" style="2837" customWidth="1"/>
    <col min="5387" max="5387" width="11.77734375" style="2837" customWidth="1"/>
    <col min="5388" max="5389" width="10.77734375" style="2837" customWidth="1"/>
    <col min="5390" max="5390" width="10" style="2837" customWidth="1"/>
    <col min="5391" max="5392" width="10.44140625" style="2837" bestFit="1" customWidth="1"/>
    <col min="5393" max="5393" width="10" style="2837" customWidth="1"/>
    <col min="5394" max="5394" width="10.109375" style="2837" customWidth="1"/>
    <col min="5395" max="5395" width="10" style="2837" customWidth="1"/>
    <col min="5396" max="5396" width="26.109375" style="2837" customWidth="1"/>
    <col min="5397" max="5632" width="8.88671875" style="2837"/>
    <col min="5633" max="5633" width="9.44140625" style="2837" customWidth="1"/>
    <col min="5634" max="5634" width="8.88671875" style="2837"/>
    <col min="5635" max="5637" width="12.88671875" style="2837" customWidth="1"/>
    <col min="5638" max="5638" width="47.44140625" style="2837" customWidth="1"/>
    <col min="5639" max="5639" width="13" style="2837" customWidth="1"/>
    <col min="5640" max="5641" width="8.88671875" style="2837"/>
    <col min="5642" max="5642" width="5.77734375" style="2837" customWidth="1"/>
    <col min="5643" max="5643" width="11.77734375" style="2837" customWidth="1"/>
    <col min="5644" max="5645" width="10.77734375" style="2837" customWidth="1"/>
    <col min="5646" max="5646" width="10" style="2837" customWidth="1"/>
    <col min="5647" max="5648" width="10.44140625" style="2837" bestFit="1" customWidth="1"/>
    <col min="5649" max="5649" width="10" style="2837" customWidth="1"/>
    <col min="5650" max="5650" width="10.109375" style="2837" customWidth="1"/>
    <col min="5651" max="5651" width="10" style="2837" customWidth="1"/>
    <col min="5652" max="5652" width="26.109375" style="2837" customWidth="1"/>
    <col min="5653" max="5888" width="8.88671875" style="2837"/>
    <col min="5889" max="5889" width="9.44140625" style="2837" customWidth="1"/>
    <col min="5890" max="5890" width="8.88671875" style="2837"/>
    <col min="5891" max="5893" width="12.88671875" style="2837" customWidth="1"/>
    <col min="5894" max="5894" width="47.44140625" style="2837" customWidth="1"/>
    <col min="5895" max="5895" width="13" style="2837" customWidth="1"/>
    <col min="5896" max="5897" width="8.88671875" style="2837"/>
    <col min="5898" max="5898" width="5.77734375" style="2837" customWidth="1"/>
    <col min="5899" max="5899" width="11.77734375" style="2837" customWidth="1"/>
    <col min="5900" max="5901" width="10.77734375" style="2837" customWidth="1"/>
    <col min="5902" max="5902" width="10" style="2837" customWidth="1"/>
    <col min="5903" max="5904" width="10.44140625" style="2837" bestFit="1" customWidth="1"/>
    <col min="5905" max="5905" width="10" style="2837" customWidth="1"/>
    <col min="5906" max="5906" width="10.109375" style="2837" customWidth="1"/>
    <col min="5907" max="5907" width="10" style="2837" customWidth="1"/>
    <col min="5908" max="5908" width="26.109375" style="2837" customWidth="1"/>
    <col min="5909" max="6144" width="8.88671875" style="2837"/>
    <col min="6145" max="6145" width="9.44140625" style="2837" customWidth="1"/>
    <col min="6146" max="6146" width="8.88671875" style="2837"/>
    <col min="6147" max="6149" width="12.88671875" style="2837" customWidth="1"/>
    <col min="6150" max="6150" width="47.44140625" style="2837" customWidth="1"/>
    <col min="6151" max="6151" width="13" style="2837" customWidth="1"/>
    <col min="6152" max="6153" width="8.88671875" style="2837"/>
    <col min="6154" max="6154" width="5.77734375" style="2837" customWidth="1"/>
    <col min="6155" max="6155" width="11.77734375" style="2837" customWidth="1"/>
    <col min="6156" max="6157" width="10.77734375" style="2837" customWidth="1"/>
    <col min="6158" max="6158" width="10" style="2837" customWidth="1"/>
    <col min="6159" max="6160" width="10.44140625" style="2837" bestFit="1" customWidth="1"/>
    <col min="6161" max="6161" width="10" style="2837" customWidth="1"/>
    <col min="6162" max="6162" width="10.109375" style="2837" customWidth="1"/>
    <col min="6163" max="6163" width="10" style="2837" customWidth="1"/>
    <col min="6164" max="6164" width="26.109375" style="2837" customWidth="1"/>
    <col min="6165" max="6400" width="8.88671875" style="2837"/>
    <col min="6401" max="6401" width="9.44140625" style="2837" customWidth="1"/>
    <col min="6402" max="6402" width="8.88671875" style="2837"/>
    <col min="6403" max="6405" width="12.88671875" style="2837" customWidth="1"/>
    <col min="6406" max="6406" width="47.44140625" style="2837" customWidth="1"/>
    <col min="6407" max="6407" width="13" style="2837" customWidth="1"/>
    <col min="6408" max="6409" width="8.88671875" style="2837"/>
    <col min="6410" max="6410" width="5.77734375" style="2837" customWidth="1"/>
    <col min="6411" max="6411" width="11.77734375" style="2837" customWidth="1"/>
    <col min="6412" max="6413" width="10.77734375" style="2837" customWidth="1"/>
    <col min="6414" max="6414" width="10" style="2837" customWidth="1"/>
    <col min="6415" max="6416" width="10.44140625" style="2837" bestFit="1" customWidth="1"/>
    <col min="6417" max="6417" width="10" style="2837" customWidth="1"/>
    <col min="6418" max="6418" width="10.109375" style="2837" customWidth="1"/>
    <col min="6419" max="6419" width="10" style="2837" customWidth="1"/>
    <col min="6420" max="6420" width="26.109375" style="2837" customWidth="1"/>
    <col min="6421" max="6656" width="8.88671875" style="2837"/>
    <col min="6657" max="6657" width="9.44140625" style="2837" customWidth="1"/>
    <col min="6658" max="6658" width="8.88671875" style="2837"/>
    <col min="6659" max="6661" width="12.88671875" style="2837" customWidth="1"/>
    <col min="6662" max="6662" width="47.44140625" style="2837" customWidth="1"/>
    <col min="6663" max="6663" width="13" style="2837" customWidth="1"/>
    <col min="6664" max="6665" width="8.88671875" style="2837"/>
    <col min="6666" max="6666" width="5.77734375" style="2837" customWidth="1"/>
    <col min="6667" max="6667" width="11.77734375" style="2837" customWidth="1"/>
    <col min="6668" max="6669" width="10.77734375" style="2837" customWidth="1"/>
    <col min="6670" max="6670" width="10" style="2837" customWidth="1"/>
    <col min="6671" max="6672" width="10.44140625" style="2837" bestFit="1" customWidth="1"/>
    <col min="6673" max="6673" width="10" style="2837" customWidth="1"/>
    <col min="6674" max="6674" width="10.109375" style="2837" customWidth="1"/>
    <col min="6675" max="6675" width="10" style="2837" customWidth="1"/>
    <col min="6676" max="6676" width="26.109375" style="2837" customWidth="1"/>
    <col min="6677" max="6912" width="8.88671875" style="2837"/>
    <col min="6913" max="6913" width="9.44140625" style="2837" customWidth="1"/>
    <col min="6914" max="6914" width="8.88671875" style="2837"/>
    <col min="6915" max="6917" width="12.88671875" style="2837" customWidth="1"/>
    <col min="6918" max="6918" width="47.44140625" style="2837" customWidth="1"/>
    <col min="6919" max="6919" width="13" style="2837" customWidth="1"/>
    <col min="6920" max="6921" width="8.88671875" style="2837"/>
    <col min="6922" max="6922" width="5.77734375" style="2837" customWidth="1"/>
    <col min="6923" max="6923" width="11.77734375" style="2837" customWidth="1"/>
    <col min="6924" max="6925" width="10.77734375" style="2837" customWidth="1"/>
    <col min="6926" max="6926" width="10" style="2837" customWidth="1"/>
    <col min="6927" max="6928" width="10.44140625" style="2837" bestFit="1" customWidth="1"/>
    <col min="6929" max="6929" width="10" style="2837" customWidth="1"/>
    <col min="6930" max="6930" width="10.109375" style="2837" customWidth="1"/>
    <col min="6931" max="6931" width="10" style="2837" customWidth="1"/>
    <col min="6932" max="6932" width="26.109375" style="2837" customWidth="1"/>
    <col min="6933" max="7168" width="8.88671875" style="2837"/>
    <col min="7169" max="7169" width="9.44140625" style="2837" customWidth="1"/>
    <col min="7170" max="7170" width="8.88671875" style="2837"/>
    <col min="7171" max="7173" width="12.88671875" style="2837" customWidth="1"/>
    <col min="7174" max="7174" width="47.44140625" style="2837" customWidth="1"/>
    <col min="7175" max="7175" width="13" style="2837" customWidth="1"/>
    <col min="7176" max="7177" width="8.88671875" style="2837"/>
    <col min="7178" max="7178" width="5.77734375" style="2837" customWidth="1"/>
    <col min="7179" max="7179" width="11.77734375" style="2837" customWidth="1"/>
    <col min="7180" max="7181" width="10.77734375" style="2837" customWidth="1"/>
    <col min="7182" max="7182" width="10" style="2837" customWidth="1"/>
    <col min="7183" max="7184" width="10.44140625" style="2837" bestFit="1" customWidth="1"/>
    <col min="7185" max="7185" width="10" style="2837" customWidth="1"/>
    <col min="7186" max="7186" width="10.109375" style="2837" customWidth="1"/>
    <col min="7187" max="7187" width="10" style="2837" customWidth="1"/>
    <col min="7188" max="7188" width="26.109375" style="2837" customWidth="1"/>
    <col min="7189" max="7424" width="8.88671875" style="2837"/>
    <col min="7425" max="7425" width="9.44140625" style="2837" customWidth="1"/>
    <col min="7426" max="7426" width="8.88671875" style="2837"/>
    <col min="7427" max="7429" width="12.88671875" style="2837" customWidth="1"/>
    <col min="7430" max="7430" width="47.44140625" style="2837" customWidth="1"/>
    <col min="7431" max="7431" width="13" style="2837" customWidth="1"/>
    <col min="7432" max="7433" width="8.88671875" style="2837"/>
    <col min="7434" max="7434" width="5.77734375" style="2837" customWidth="1"/>
    <col min="7435" max="7435" width="11.77734375" style="2837" customWidth="1"/>
    <col min="7436" max="7437" width="10.77734375" style="2837" customWidth="1"/>
    <col min="7438" max="7438" width="10" style="2837" customWidth="1"/>
    <col min="7439" max="7440" width="10.44140625" style="2837" bestFit="1" customWidth="1"/>
    <col min="7441" max="7441" width="10" style="2837" customWidth="1"/>
    <col min="7442" max="7442" width="10.109375" style="2837" customWidth="1"/>
    <col min="7443" max="7443" width="10" style="2837" customWidth="1"/>
    <col min="7444" max="7444" width="26.109375" style="2837" customWidth="1"/>
    <col min="7445" max="7680" width="8.88671875" style="2837"/>
    <col min="7681" max="7681" width="9.44140625" style="2837" customWidth="1"/>
    <col min="7682" max="7682" width="8.88671875" style="2837"/>
    <col min="7683" max="7685" width="12.88671875" style="2837" customWidth="1"/>
    <col min="7686" max="7686" width="47.44140625" style="2837" customWidth="1"/>
    <col min="7687" max="7687" width="13" style="2837" customWidth="1"/>
    <col min="7688" max="7689" width="8.88671875" style="2837"/>
    <col min="7690" max="7690" width="5.77734375" style="2837" customWidth="1"/>
    <col min="7691" max="7691" width="11.77734375" style="2837" customWidth="1"/>
    <col min="7692" max="7693" width="10.77734375" style="2837" customWidth="1"/>
    <col min="7694" max="7694" width="10" style="2837" customWidth="1"/>
    <col min="7695" max="7696" width="10.44140625" style="2837" bestFit="1" customWidth="1"/>
    <col min="7697" max="7697" width="10" style="2837" customWidth="1"/>
    <col min="7698" max="7698" width="10.109375" style="2837" customWidth="1"/>
    <col min="7699" max="7699" width="10" style="2837" customWidth="1"/>
    <col min="7700" max="7700" width="26.109375" style="2837" customWidth="1"/>
    <col min="7701" max="7936" width="8.88671875" style="2837"/>
    <col min="7937" max="7937" width="9.44140625" style="2837" customWidth="1"/>
    <col min="7938" max="7938" width="8.88671875" style="2837"/>
    <col min="7939" max="7941" width="12.88671875" style="2837" customWidth="1"/>
    <col min="7942" max="7942" width="47.44140625" style="2837" customWidth="1"/>
    <col min="7943" max="7943" width="13" style="2837" customWidth="1"/>
    <col min="7944" max="7945" width="8.88671875" style="2837"/>
    <col min="7946" max="7946" width="5.77734375" style="2837" customWidth="1"/>
    <col min="7947" max="7947" width="11.77734375" style="2837" customWidth="1"/>
    <col min="7948" max="7949" width="10.77734375" style="2837" customWidth="1"/>
    <col min="7950" max="7950" width="10" style="2837" customWidth="1"/>
    <col min="7951" max="7952" width="10.44140625" style="2837" bestFit="1" customWidth="1"/>
    <col min="7953" max="7953" width="10" style="2837" customWidth="1"/>
    <col min="7954" max="7954" width="10.109375" style="2837" customWidth="1"/>
    <col min="7955" max="7955" width="10" style="2837" customWidth="1"/>
    <col min="7956" max="7956" width="26.109375" style="2837" customWidth="1"/>
    <col min="7957" max="8192" width="8.88671875" style="2837"/>
    <col min="8193" max="8193" width="9.44140625" style="2837" customWidth="1"/>
    <col min="8194" max="8194" width="8.88671875" style="2837"/>
    <col min="8195" max="8197" width="12.88671875" style="2837" customWidth="1"/>
    <col min="8198" max="8198" width="47.44140625" style="2837" customWidth="1"/>
    <col min="8199" max="8199" width="13" style="2837" customWidth="1"/>
    <col min="8200" max="8201" width="8.88671875" style="2837"/>
    <col min="8202" max="8202" width="5.77734375" style="2837" customWidth="1"/>
    <col min="8203" max="8203" width="11.77734375" style="2837" customWidth="1"/>
    <col min="8204" max="8205" width="10.77734375" style="2837" customWidth="1"/>
    <col min="8206" max="8206" width="10" style="2837" customWidth="1"/>
    <col min="8207" max="8208" width="10.44140625" style="2837" bestFit="1" customWidth="1"/>
    <col min="8209" max="8209" width="10" style="2837" customWidth="1"/>
    <col min="8210" max="8210" width="10.109375" style="2837" customWidth="1"/>
    <col min="8211" max="8211" width="10" style="2837" customWidth="1"/>
    <col min="8212" max="8212" width="26.109375" style="2837" customWidth="1"/>
    <col min="8213" max="8448" width="8.88671875" style="2837"/>
    <col min="8449" max="8449" width="9.44140625" style="2837" customWidth="1"/>
    <col min="8450" max="8450" width="8.88671875" style="2837"/>
    <col min="8451" max="8453" width="12.88671875" style="2837" customWidth="1"/>
    <col min="8454" max="8454" width="47.44140625" style="2837" customWidth="1"/>
    <col min="8455" max="8455" width="13" style="2837" customWidth="1"/>
    <col min="8456" max="8457" width="8.88671875" style="2837"/>
    <col min="8458" max="8458" width="5.77734375" style="2837" customWidth="1"/>
    <col min="8459" max="8459" width="11.77734375" style="2837" customWidth="1"/>
    <col min="8460" max="8461" width="10.77734375" style="2837" customWidth="1"/>
    <col min="8462" max="8462" width="10" style="2837" customWidth="1"/>
    <col min="8463" max="8464" width="10.44140625" style="2837" bestFit="1" customWidth="1"/>
    <col min="8465" max="8465" width="10" style="2837" customWidth="1"/>
    <col min="8466" max="8466" width="10.109375" style="2837" customWidth="1"/>
    <col min="8467" max="8467" width="10" style="2837" customWidth="1"/>
    <col min="8468" max="8468" width="26.109375" style="2837" customWidth="1"/>
    <col min="8469" max="8704" width="8.88671875" style="2837"/>
    <col min="8705" max="8705" width="9.44140625" style="2837" customWidth="1"/>
    <col min="8706" max="8706" width="8.88671875" style="2837"/>
    <col min="8707" max="8709" width="12.88671875" style="2837" customWidth="1"/>
    <col min="8710" max="8710" width="47.44140625" style="2837" customWidth="1"/>
    <col min="8711" max="8711" width="13" style="2837" customWidth="1"/>
    <col min="8712" max="8713" width="8.88671875" style="2837"/>
    <col min="8714" max="8714" width="5.77734375" style="2837" customWidth="1"/>
    <col min="8715" max="8715" width="11.77734375" style="2837" customWidth="1"/>
    <col min="8716" max="8717" width="10.77734375" style="2837" customWidth="1"/>
    <col min="8718" max="8718" width="10" style="2837" customWidth="1"/>
    <col min="8719" max="8720" width="10.44140625" style="2837" bestFit="1" customWidth="1"/>
    <col min="8721" max="8721" width="10" style="2837" customWidth="1"/>
    <col min="8722" max="8722" width="10.109375" style="2837" customWidth="1"/>
    <col min="8723" max="8723" width="10" style="2837" customWidth="1"/>
    <col min="8724" max="8724" width="26.109375" style="2837" customWidth="1"/>
    <col min="8725" max="8960" width="8.88671875" style="2837"/>
    <col min="8961" max="8961" width="9.44140625" style="2837" customWidth="1"/>
    <col min="8962" max="8962" width="8.88671875" style="2837"/>
    <col min="8963" max="8965" width="12.88671875" style="2837" customWidth="1"/>
    <col min="8966" max="8966" width="47.44140625" style="2837" customWidth="1"/>
    <col min="8967" max="8967" width="13" style="2837" customWidth="1"/>
    <col min="8968" max="8969" width="8.88671875" style="2837"/>
    <col min="8970" max="8970" width="5.77734375" style="2837" customWidth="1"/>
    <col min="8971" max="8971" width="11.77734375" style="2837" customWidth="1"/>
    <col min="8972" max="8973" width="10.77734375" style="2837" customWidth="1"/>
    <col min="8974" max="8974" width="10" style="2837" customWidth="1"/>
    <col min="8975" max="8976" width="10.44140625" style="2837" bestFit="1" customWidth="1"/>
    <col min="8977" max="8977" width="10" style="2837" customWidth="1"/>
    <col min="8978" max="8978" width="10.109375" style="2837" customWidth="1"/>
    <col min="8979" max="8979" width="10" style="2837" customWidth="1"/>
    <col min="8980" max="8980" width="26.109375" style="2837" customWidth="1"/>
    <col min="8981" max="9216" width="8.88671875" style="2837"/>
    <col min="9217" max="9217" width="9.44140625" style="2837" customWidth="1"/>
    <col min="9218" max="9218" width="8.88671875" style="2837"/>
    <col min="9219" max="9221" width="12.88671875" style="2837" customWidth="1"/>
    <col min="9222" max="9222" width="47.44140625" style="2837" customWidth="1"/>
    <col min="9223" max="9223" width="13" style="2837" customWidth="1"/>
    <col min="9224" max="9225" width="8.88671875" style="2837"/>
    <col min="9226" max="9226" width="5.77734375" style="2837" customWidth="1"/>
    <col min="9227" max="9227" width="11.77734375" style="2837" customWidth="1"/>
    <col min="9228" max="9229" width="10.77734375" style="2837" customWidth="1"/>
    <col min="9230" max="9230" width="10" style="2837" customWidth="1"/>
    <col min="9231" max="9232" width="10.44140625" style="2837" bestFit="1" customWidth="1"/>
    <col min="9233" max="9233" width="10" style="2837" customWidth="1"/>
    <col min="9234" max="9234" width="10.109375" style="2837" customWidth="1"/>
    <col min="9235" max="9235" width="10" style="2837" customWidth="1"/>
    <col min="9236" max="9236" width="26.109375" style="2837" customWidth="1"/>
    <col min="9237" max="9472" width="8.88671875" style="2837"/>
    <col min="9473" max="9473" width="9.44140625" style="2837" customWidth="1"/>
    <col min="9474" max="9474" width="8.88671875" style="2837"/>
    <col min="9475" max="9477" width="12.88671875" style="2837" customWidth="1"/>
    <col min="9478" max="9478" width="47.44140625" style="2837" customWidth="1"/>
    <col min="9479" max="9479" width="13" style="2837" customWidth="1"/>
    <col min="9480" max="9481" width="8.88671875" style="2837"/>
    <col min="9482" max="9482" width="5.77734375" style="2837" customWidth="1"/>
    <col min="9483" max="9483" width="11.77734375" style="2837" customWidth="1"/>
    <col min="9484" max="9485" width="10.77734375" style="2837" customWidth="1"/>
    <col min="9486" max="9486" width="10" style="2837" customWidth="1"/>
    <col min="9487" max="9488" width="10.44140625" style="2837" bestFit="1" customWidth="1"/>
    <col min="9489" max="9489" width="10" style="2837" customWidth="1"/>
    <col min="9490" max="9490" width="10.109375" style="2837" customWidth="1"/>
    <col min="9491" max="9491" width="10" style="2837" customWidth="1"/>
    <col min="9492" max="9492" width="26.109375" style="2837" customWidth="1"/>
    <col min="9493" max="9728" width="8.88671875" style="2837"/>
    <col min="9729" max="9729" width="9.44140625" style="2837" customWidth="1"/>
    <col min="9730" max="9730" width="8.88671875" style="2837"/>
    <col min="9731" max="9733" width="12.88671875" style="2837" customWidth="1"/>
    <col min="9734" max="9734" width="47.44140625" style="2837" customWidth="1"/>
    <col min="9735" max="9735" width="13" style="2837" customWidth="1"/>
    <col min="9736" max="9737" width="8.88671875" style="2837"/>
    <col min="9738" max="9738" width="5.77734375" style="2837" customWidth="1"/>
    <col min="9739" max="9739" width="11.77734375" style="2837" customWidth="1"/>
    <col min="9740" max="9741" width="10.77734375" style="2837" customWidth="1"/>
    <col min="9742" max="9742" width="10" style="2837" customWidth="1"/>
    <col min="9743" max="9744" width="10.44140625" style="2837" bestFit="1" customWidth="1"/>
    <col min="9745" max="9745" width="10" style="2837" customWidth="1"/>
    <col min="9746" max="9746" width="10.109375" style="2837" customWidth="1"/>
    <col min="9747" max="9747" width="10" style="2837" customWidth="1"/>
    <col min="9748" max="9748" width="26.109375" style="2837" customWidth="1"/>
    <col min="9749" max="9984" width="8.88671875" style="2837"/>
    <col min="9985" max="9985" width="9.44140625" style="2837" customWidth="1"/>
    <col min="9986" max="9986" width="8.88671875" style="2837"/>
    <col min="9987" max="9989" width="12.88671875" style="2837" customWidth="1"/>
    <col min="9990" max="9990" width="47.44140625" style="2837" customWidth="1"/>
    <col min="9991" max="9991" width="13" style="2837" customWidth="1"/>
    <col min="9992" max="9993" width="8.88671875" style="2837"/>
    <col min="9994" max="9994" width="5.77734375" style="2837" customWidth="1"/>
    <col min="9995" max="9995" width="11.77734375" style="2837" customWidth="1"/>
    <col min="9996" max="9997" width="10.77734375" style="2837" customWidth="1"/>
    <col min="9998" max="9998" width="10" style="2837" customWidth="1"/>
    <col min="9999" max="10000" width="10.44140625" style="2837" bestFit="1" customWidth="1"/>
    <col min="10001" max="10001" width="10" style="2837" customWidth="1"/>
    <col min="10002" max="10002" width="10.109375" style="2837" customWidth="1"/>
    <col min="10003" max="10003" width="10" style="2837" customWidth="1"/>
    <col min="10004" max="10004" width="26.109375" style="2837" customWidth="1"/>
    <col min="10005" max="10240" width="8.88671875" style="2837"/>
    <col min="10241" max="10241" width="9.44140625" style="2837" customWidth="1"/>
    <col min="10242" max="10242" width="8.88671875" style="2837"/>
    <col min="10243" max="10245" width="12.88671875" style="2837" customWidth="1"/>
    <col min="10246" max="10246" width="47.44140625" style="2837" customWidth="1"/>
    <col min="10247" max="10247" width="13" style="2837" customWidth="1"/>
    <col min="10248" max="10249" width="8.88671875" style="2837"/>
    <col min="10250" max="10250" width="5.77734375" style="2837" customWidth="1"/>
    <col min="10251" max="10251" width="11.77734375" style="2837" customWidth="1"/>
    <col min="10252" max="10253" width="10.77734375" style="2837" customWidth="1"/>
    <col min="10254" max="10254" width="10" style="2837" customWidth="1"/>
    <col min="10255" max="10256" width="10.44140625" style="2837" bestFit="1" customWidth="1"/>
    <col min="10257" max="10257" width="10" style="2837" customWidth="1"/>
    <col min="10258" max="10258" width="10.109375" style="2837" customWidth="1"/>
    <col min="10259" max="10259" width="10" style="2837" customWidth="1"/>
    <col min="10260" max="10260" width="26.109375" style="2837" customWidth="1"/>
    <col min="10261" max="10496" width="8.88671875" style="2837"/>
    <col min="10497" max="10497" width="9.44140625" style="2837" customWidth="1"/>
    <col min="10498" max="10498" width="8.88671875" style="2837"/>
    <col min="10499" max="10501" width="12.88671875" style="2837" customWidth="1"/>
    <col min="10502" max="10502" width="47.44140625" style="2837" customWidth="1"/>
    <col min="10503" max="10503" width="13" style="2837" customWidth="1"/>
    <col min="10504" max="10505" width="8.88671875" style="2837"/>
    <col min="10506" max="10506" width="5.77734375" style="2837" customWidth="1"/>
    <col min="10507" max="10507" width="11.77734375" style="2837" customWidth="1"/>
    <col min="10508" max="10509" width="10.77734375" style="2837" customWidth="1"/>
    <col min="10510" max="10510" width="10" style="2837" customWidth="1"/>
    <col min="10511" max="10512" width="10.44140625" style="2837" bestFit="1" customWidth="1"/>
    <col min="10513" max="10513" width="10" style="2837" customWidth="1"/>
    <col min="10514" max="10514" width="10.109375" style="2837" customWidth="1"/>
    <col min="10515" max="10515" width="10" style="2837" customWidth="1"/>
    <col min="10516" max="10516" width="26.109375" style="2837" customWidth="1"/>
    <col min="10517" max="10752" width="8.88671875" style="2837"/>
    <col min="10753" max="10753" width="9.44140625" style="2837" customWidth="1"/>
    <col min="10754" max="10754" width="8.88671875" style="2837"/>
    <col min="10755" max="10757" width="12.88671875" style="2837" customWidth="1"/>
    <col min="10758" max="10758" width="47.44140625" style="2837" customWidth="1"/>
    <col min="10759" max="10759" width="13" style="2837" customWidth="1"/>
    <col min="10760" max="10761" width="8.88671875" style="2837"/>
    <col min="10762" max="10762" width="5.77734375" style="2837" customWidth="1"/>
    <col min="10763" max="10763" width="11.77734375" style="2837" customWidth="1"/>
    <col min="10764" max="10765" width="10.77734375" style="2837" customWidth="1"/>
    <col min="10766" max="10766" width="10" style="2837" customWidth="1"/>
    <col min="10767" max="10768" width="10.44140625" style="2837" bestFit="1" customWidth="1"/>
    <col min="10769" max="10769" width="10" style="2837" customWidth="1"/>
    <col min="10770" max="10770" width="10.109375" style="2837" customWidth="1"/>
    <col min="10771" max="10771" width="10" style="2837" customWidth="1"/>
    <col min="10772" max="10772" width="26.109375" style="2837" customWidth="1"/>
    <col min="10773" max="11008" width="8.88671875" style="2837"/>
    <col min="11009" max="11009" width="9.44140625" style="2837" customWidth="1"/>
    <col min="11010" max="11010" width="8.88671875" style="2837"/>
    <col min="11011" max="11013" width="12.88671875" style="2837" customWidth="1"/>
    <col min="11014" max="11014" width="47.44140625" style="2837" customWidth="1"/>
    <col min="11015" max="11015" width="13" style="2837" customWidth="1"/>
    <col min="11016" max="11017" width="8.88671875" style="2837"/>
    <col min="11018" max="11018" width="5.77734375" style="2837" customWidth="1"/>
    <col min="11019" max="11019" width="11.77734375" style="2837" customWidth="1"/>
    <col min="11020" max="11021" width="10.77734375" style="2837" customWidth="1"/>
    <col min="11022" max="11022" width="10" style="2837" customWidth="1"/>
    <col min="11023" max="11024" width="10.44140625" style="2837" bestFit="1" customWidth="1"/>
    <col min="11025" max="11025" width="10" style="2837" customWidth="1"/>
    <col min="11026" max="11026" width="10.109375" style="2837" customWidth="1"/>
    <col min="11027" max="11027" width="10" style="2837" customWidth="1"/>
    <col min="11028" max="11028" width="26.109375" style="2837" customWidth="1"/>
    <col min="11029" max="11264" width="8.88671875" style="2837"/>
    <col min="11265" max="11265" width="9.44140625" style="2837" customWidth="1"/>
    <col min="11266" max="11266" width="8.88671875" style="2837"/>
    <col min="11267" max="11269" width="12.88671875" style="2837" customWidth="1"/>
    <col min="11270" max="11270" width="47.44140625" style="2837" customWidth="1"/>
    <col min="11271" max="11271" width="13" style="2837" customWidth="1"/>
    <col min="11272" max="11273" width="8.88671875" style="2837"/>
    <col min="11274" max="11274" width="5.77734375" style="2837" customWidth="1"/>
    <col min="11275" max="11275" width="11.77734375" style="2837" customWidth="1"/>
    <col min="11276" max="11277" width="10.77734375" style="2837" customWidth="1"/>
    <col min="11278" max="11278" width="10" style="2837" customWidth="1"/>
    <col min="11279" max="11280" width="10.44140625" style="2837" bestFit="1" customWidth="1"/>
    <col min="11281" max="11281" width="10" style="2837" customWidth="1"/>
    <col min="11282" max="11282" width="10.109375" style="2837" customWidth="1"/>
    <col min="11283" max="11283" width="10" style="2837" customWidth="1"/>
    <col min="11284" max="11284" width="26.109375" style="2837" customWidth="1"/>
    <col min="11285" max="11520" width="8.88671875" style="2837"/>
    <col min="11521" max="11521" width="9.44140625" style="2837" customWidth="1"/>
    <col min="11522" max="11522" width="8.88671875" style="2837"/>
    <col min="11523" max="11525" width="12.88671875" style="2837" customWidth="1"/>
    <col min="11526" max="11526" width="47.44140625" style="2837" customWidth="1"/>
    <col min="11527" max="11527" width="13" style="2837" customWidth="1"/>
    <col min="11528" max="11529" width="8.88671875" style="2837"/>
    <col min="11530" max="11530" width="5.77734375" style="2837" customWidth="1"/>
    <col min="11531" max="11531" width="11.77734375" style="2837" customWidth="1"/>
    <col min="11532" max="11533" width="10.77734375" style="2837" customWidth="1"/>
    <col min="11534" max="11534" width="10" style="2837" customWidth="1"/>
    <col min="11535" max="11536" width="10.44140625" style="2837" bestFit="1" customWidth="1"/>
    <col min="11537" max="11537" width="10" style="2837" customWidth="1"/>
    <col min="11538" max="11538" width="10.109375" style="2837" customWidth="1"/>
    <col min="11539" max="11539" width="10" style="2837" customWidth="1"/>
    <col min="11540" max="11540" width="26.109375" style="2837" customWidth="1"/>
    <col min="11541" max="11776" width="8.88671875" style="2837"/>
    <col min="11777" max="11777" width="9.44140625" style="2837" customWidth="1"/>
    <col min="11778" max="11778" width="8.88671875" style="2837"/>
    <col min="11779" max="11781" width="12.88671875" style="2837" customWidth="1"/>
    <col min="11782" max="11782" width="47.44140625" style="2837" customWidth="1"/>
    <col min="11783" max="11783" width="13" style="2837" customWidth="1"/>
    <col min="11784" max="11785" width="8.88671875" style="2837"/>
    <col min="11786" max="11786" width="5.77734375" style="2837" customWidth="1"/>
    <col min="11787" max="11787" width="11.77734375" style="2837" customWidth="1"/>
    <col min="11788" max="11789" width="10.77734375" style="2837" customWidth="1"/>
    <col min="11790" max="11790" width="10" style="2837" customWidth="1"/>
    <col min="11791" max="11792" width="10.44140625" style="2837" bestFit="1" customWidth="1"/>
    <col min="11793" max="11793" width="10" style="2837" customWidth="1"/>
    <col min="11794" max="11794" width="10.109375" style="2837" customWidth="1"/>
    <col min="11795" max="11795" width="10" style="2837" customWidth="1"/>
    <col min="11796" max="11796" width="26.109375" style="2837" customWidth="1"/>
    <col min="11797" max="12032" width="8.88671875" style="2837"/>
    <col min="12033" max="12033" width="9.44140625" style="2837" customWidth="1"/>
    <col min="12034" max="12034" width="8.88671875" style="2837"/>
    <col min="12035" max="12037" width="12.88671875" style="2837" customWidth="1"/>
    <col min="12038" max="12038" width="47.44140625" style="2837" customWidth="1"/>
    <col min="12039" max="12039" width="13" style="2837" customWidth="1"/>
    <col min="12040" max="12041" width="8.88671875" style="2837"/>
    <col min="12042" max="12042" width="5.77734375" style="2837" customWidth="1"/>
    <col min="12043" max="12043" width="11.77734375" style="2837" customWidth="1"/>
    <col min="12044" max="12045" width="10.77734375" style="2837" customWidth="1"/>
    <col min="12046" max="12046" width="10" style="2837" customWidth="1"/>
    <col min="12047" max="12048" width="10.44140625" style="2837" bestFit="1" customWidth="1"/>
    <col min="12049" max="12049" width="10" style="2837" customWidth="1"/>
    <col min="12050" max="12050" width="10.109375" style="2837" customWidth="1"/>
    <col min="12051" max="12051" width="10" style="2837" customWidth="1"/>
    <col min="12052" max="12052" width="26.109375" style="2837" customWidth="1"/>
    <col min="12053" max="12288" width="8.88671875" style="2837"/>
    <col min="12289" max="12289" width="9.44140625" style="2837" customWidth="1"/>
    <col min="12290" max="12290" width="8.88671875" style="2837"/>
    <col min="12291" max="12293" width="12.88671875" style="2837" customWidth="1"/>
    <col min="12294" max="12294" width="47.44140625" style="2837" customWidth="1"/>
    <col min="12295" max="12295" width="13" style="2837" customWidth="1"/>
    <col min="12296" max="12297" width="8.88671875" style="2837"/>
    <col min="12298" max="12298" width="5.77734375" style="2837" customWidth="1"/>
    <col min="12299" max="12299" width="11.77734375" style="2837" customWidth="1"/>
    <col min="12300" max="12301" width="10.77734375" style="2837" customWidth="1"/>
    <col min="12302" max="12302" width="10" style="2837" customWidth="1"/>
    <col min="12303" max="12304" width="10.44140625" style="2837" bestFit="1" customWidth="1"/>
    <col min="12305" max="12305" width="10" style="2837" customWidth="1"/>
    <col min="12306" max="12306" width="10.109375" style="2837" customWidth="1"/>
    <col min="12307" max="12307" width="10" style="2837" customWidth="1"/>
    <col min="12308" max="12308" width="26.109375" style="2837" customWidth="1"/>
    <col min="12309" max="12544" width="8.88671875" style="2837"/>
    <col min="12545" max="12545" width="9.44140625" style="2837" customWidth="1"/>
    <col min="12546" max="12546" width="8.88671875" style="2837"/>
    <col min="12547" max="12549" width="12.88671875" style="2837" customWidth="1"/>
    <col min="12550" max="12550" width="47.44140625" style="2837" customWidth="1"/>
    <col min="12551" max="12551" width="13" style="2837" customWidth="1"/>
    <col min="12552" max="12553" width="8.88671875" style="2837"/>
    <col min="12554" max="12554" width="5.77734375" style="2837" customWidth="1"/>
    <col min="12555" max="12555" width="11.77734375" style="2837" customWidth="1"/>
    <col min="12556" max="12557" width="10.77734375" style="2837" customWidth="1"/>
    <col min="12558" max="12558" width="10" style="2837" customWidth="1"/>
    <col min="12559" max="12560" width="10.44140625" style="2837" bestFit="1" customWidth="1"/>
    <col min="12561" max="12561" width="10" style="2837" customWidth="1"/>
    <col min="12562" max="12562" width="10.109375" style="2837" customWidth="1"/>
    <col min="12563" max="12563" width="10" style="2837" customWidth="1"/>
    <col min="12564" max="12564" width="26.109375" style="2837" customWidth="1"/>
    <col min="12565" max="12800" width="8.88671875" style="2837"/>
    <col min="12801" max="12801" width="9.44140625" style="2837" customWidth="1"/>
    <col min="12802" max="12802" width="8.88671875" style="2837"/>
    <col min="12803" max="12805" width="12.88671875" style="2837" customWidth="1"/>
    <col min="12806" max="12806" width="47.44140625" style="2837" customWidth="1"/>
    <col min="12807" max="12807" width="13" style="2837" customWidth="1"/>
    <col min="12808" max="12809" width="8.88671875" style="2837"/>
    <col min="12810" max="12810" width="5.77734375" style="2837" customWidth="1"/>
    <col min="12811" max="12811" width="11.77734375" style="2837" customWidth="1"/>
    <col min="12812" max="12813" width="10.77734375" style="2837" customWidth="1"/>
    <col min="12814" max="12814" width="10" style="2837" customWidth="1"/>
    <col min="12815" max="12816" width="10.44140625" style="2837" bestFit="1" customWidth="1"/>
    <col min="12817" max="12817" width="10" style="2837" customWidth="1"/>
    <col min="12818" max="12818" width="10.109375" style="2837" customWidth="1"/>
    <col min="12819" max="12819" width="10" style="2837" customWidth="1"/>
    <col min="12820" max="12820" width="26.109375" style="2837" customWidth="1"/>
    <col min="12821" max="13056" width="8.88671875" style="2837"/>
    <col min="13057" max="13057" width="9.44140625" style="2837" customWidth="1"/>
    <col min="13058" max="13058" width="8.88671875" style="2837"/>
    <col min="13059" max="13061" width="12.88671875" style="2837" customWidth="1"/>
    <col min="13062" max="13062" width="47.44140625" style="2837" customWidth="1"/>
    <col min="13063" max="13063" width="13" style="2837" customWidth="1"/>
    <col min="13064" max="13065" width="8.88671875" style="2837"/>
    <col min="13066" max="13066" width="5.77734375" style="2837" customWidth="1"/>
    <col min="13067" max="13067" width="11.77734375" style="2837" customWidth="1"/>
    <col min="13068" max="13069" width="10.77734375" style="2837" customWidth="1"/>
    <col min="13070" max="13070" width="10" style="2837" customWidth="1"/>
    <col min="13071" max="13072" width="10.44140625" style="2837" bestFit="1" customWidth="1"/>
    <col min="13073" max="13073" width="10" style="2837" customWidth="1"/>
    <col min="13074" max="13074" width="10.109375" style="2837" customWidth="1"/>
    <col min="13075" max="13075" width="10" style="2837" customWidth="1"/>
    <col min="13076" max="13076" width="26.109375" style="2837" customWidth="1"/>
    <col min="13077" max="13312" width="8.88671875" style="2837"/>
    <col min="13313" max="13313" width="9.44140625" style="2837" customWidth="1"/>
    <col min="13314" max="13314" width="8.88671875" style="2837"/>
    <col min="13315" max="13317" width="12.88671875" style="2837" customWidth="1"/>
    <col min="13318" max="13318" width="47.44140625" style="2837" customWidth="1"/>
    <col min="13319" max="13319" width="13" style="2837" customWidth="1"/>
    <col min="13320" max="13321" width="8.88671875" style="2837"/>
    <col min="13322" max="13322" width="5.77734375" style="2837" customWidth="1"/>
    <col min="13323" max="13323" width="11.77734375" style="2837" customWidth="1"/>
    <col min="13324" max="13325" width="10.77734375" style="2837" customWidth="1"/>
    <col min="13326" max="13326" width="10" style="2837" customWidth="1"/>
    <col min="13327" max="13328" width="10.44140625" style="2837" bestFit="1" customWidth="1"/>
    <col min="13329" max="13329" width="10" style="2837" customWidth="1"/>
    <col min="13330" max="13330" width="10.109375" style="2837" customWidth="1"/>
    <col min="13331" max="13331" width="10" style="2837" customWidth="1"/>
    <col min="13332" max="13332" width="26.109375" style="2837" customWidth="1"/>
    <col min="13333" max="13568" width="8.88671875" style="2837"/>
    <col min="13569" max="13569" width="9.44140625" style="2837" customWidth="1"/>
    <col min="13570" max="13570" width="8.88671875" style="2837"/>
    <col min="13571" max="13573" width="12.88671875" style="2837" customWidth="1"/>
    <col min="13574" max="13574" width="47.44140625" style="2837" customWidth="1"/>
    <col min="13575" max="13575" width="13" style="2837" customWidth="1"/>
    <col min="13576" max="13577" width="8.88671875" style="2837"/>
    <col min="13578" max="13578" width="5.77734375" style="2837" customWidth="1"/>
    <col min="13579" max="13579" width="11.77734375" style="2837" customWidth="1"/>
    <col min="13580" max="13581" width="10.77734375" style="2837" customWidth="1"/>
    <col min="13582" max="13582" width="10" style="2837" customWidth="1"/>
    <col min="13583" max="13584" width="10.44140625" style="2837" bestFit="1" customWidth="1"/>
    <col min="13585" max="13585" width="10" style="2837" customWidth="1"/>
    <col min="13586" max="13586" width="10.109375" style="2837" customWidth="1"/>
    <col min="13587" max="13587" width="10" style="2837" customWidth="1"/>
    <col min="13588" max="13588" width="26.109375" style="2837" customWidth="1"/>
    <col min="13589" max="13824" width="8.88671875" style="2837"/>
    <col min="13825" max="13825" width="9.44140625" style="2837" customWidth="1"/>
    <col min="13826" max="13826" width="8.88671875" style="2837"/>
    <col min="13827" max="13829" width="12.88671875" style="2837" customWidth="1"/>
    <col min="13830" max="13830" width="47.44140625" style="2837" customWidth="1"/>
    <col min="13831" max="13831" width="13" style="2837" customWidth="1"/>
    <col min="13832" max="13833" width="8.88671875" style="2837"/>
    <col min="13834" max="13834" width="5.77734375" style="2837" customWidth="1"/>
    <col min="13835" max="13835" width="11.77734375" style="2837" customWidth="1"/>
    <col min="13836" max="13837" width="10.77734375" style="2837" customWidth="1"/>
    <col min="13838" max="13838" width="10" style="2837" customWidth="1"/>
    <col min="13839" max="13840" width="10.44140625" style="2837" bestFit="1" customWidth="1"/>
    <col min="13841" max="13841" width="10" style="2837" customWidth="1"/>
    <col min="13842" max="13842" width="10.109375" style="2837" customWidth="1"/>
    <col min="13843" max="13843" width="10" style="2837" customWidth="1"/>
    <col min="13844" max="13844" width="26.109375" style="2837" customWidth="1"/>
    <col min="13845" max="14080" width="8.88671875" style="2837"/>
    <col min="14081" max="14081" width="9.44140625" style="2837" customWidth="1"/>
    <col min="14082" max="14082" width="8.88671875" style="2837"/>
    <col min="14083" max="14085" width="12.88671875" style="2837" customWidth="1"/>
    <col min="14086" max="14086" width="47.44140625" style="2837" customWidth="1"/>
    <col min="14087" max="14087" width="13" style="2837" customWidth="1"/>
    <col min="14088" max="14089" width="8.88671875" style="2837"/>
    <col min="14090" max="14090" width="5.77734375" style="2837" customWidth="1"/>
    <col min="14091" max="14091" width="11.77734375" style="2837" customWidth="1"/>
    <col min="14092" max="14093" width="10.77734375" style="2837" customWidth="1"/>
    <col min="14094" max="14094" width="10" style="2837" customWidth="1"/>
    <col min="14095" max="14096" width="10.44140625" style="2837" bestFit="1" customWidth="1"/>
    <col min="14097" max="14097" width="10" style="2837" customWidth="1"/>
    <col min="14098" max="14098" width="10.109375" style="2837" customWidth="1"/>
    <col min="14099" max="14099" width="10" style="2837" customWidth="1"/>
    <col min="14100" max="14100" width="26.109375" style="2837" customWidth="1"/>
    <col min="14101" max="14336" width="8.88671875" style="2837"/>
    <col min="14337" max="14337" width="9.44140625" style="2837" customWidth="1"/>
    <col min="14338" max="14338" width="8.88671875" style="2837"/>
    <col min="14339" max="14341" width="12.88671875" style="2837" customWidth="1"/>
    <col min="14342" max="14342" width="47.44140625" style="2837" customWidth="1"/>
    <col min="14343" max="14343" width="13" style="2837" customWidth="1"/>
    <col min="14344" max="14345" width="8.88671875" style="2837"/>
    <col min="14346" max="14346" width="5.77734375" style="2837" customWidth="1"/>
    <col min="14347" max="14347" width="11.77734375" style="2837" customWidth="1"/>
    <col min="14348" max="14349" width="10.77734375" style="2837" customWidth="1"/>
    <col min="14350" max="14350" width="10" style="2837" customWidth="1"/>
    <col min="14351" max="14352" width="10.44140625" style="2837" bestFit="1" customWidth="1"/>
    <col min="14353" max="14353" width="10" style="2837" customWidth="1"/>
    <col min="14354" max="14354" width="10.109375" style="2837" customWidth="1"/>
    <col min="14355" max="14355" width="10" style="2837" customWidth="1"/>
    <col min="14356" max="14356" width="26.109375" style="2837" customWidth="1"/>
    <col min="14357" max="14592" width="8.88671875" style="2837"/>
    <col min="14593" max="14593" width="9.44140625" style="2837" customWidth="1"/>
    <col min="14594" max="14594" width="8.88671875" style="2837"/>
    <col min="14595" max="14597" width="12.88671875" style="2837" customWidth="1"/>
    <col min="14598" max="14598" width="47.44140625" style="2837" customWidth="1"/>
    <col min="14599" max="14599" width="13" style="2837" customWidth="1"/>
    <col min="14600" max="14601" width="8.88671875" style="2837"/>
    <col min="14602" max="14602" width="5.77734375" style="2837" customWidth="1"/>
    <col min="14603" max="14603" width="11.77734375" style="2837" customWidth="1"/>
    <col min="14604" max="14605" width="10.77734375" style="2837" customWidth="1"/>
    <col min="14606" max="14606" width="10" style="2837" customWidth="1"/>
    <col min="14607" max="14608" width="10.44140625" style="2837" bestFit="1" customWidth="1"/>
    <col min="14609" max="14609" width="10" style="2837" customWidth="1"/>
    <col min="14610" max="14610" width="10.109375" style="2837" customWidth="1"/>
    <col min="14611" max="14611" width="10" style="2837" customWidth="1"/>
    <col min="14612" max="14612" width="26.109375" style="2837" customWidth="1"/>
    <col min="14613" max="14848" width="8.88671875" style="2837"/>
    <col min="14849" max="14849" width="9.44140625" style="2837" customWidth="1"/>
    <col min="14850" max="14850" width="8.88671875" style="2837"/>
    <col min="14851" max="14853" width="12.88671875" style="2837" customWidth="1"/>
    <col min="14854" max="14854" width="47.44140625" style="2837" customWidth="1"/>
    <col min="14855" max="14855" width="13" style="2837" customWidth="1"/>
    <col min="14856" max="14857" width="8.88671875" style="2837"/>
    <col min="14858" max="14858" width="5.77734375" style="2837" customWidth="1"/>
    <col min="14859" max="14859" width="11.77734375" style="2837" customWidth="1"/>
    <col min="14860" max="14861" width="10.77734375" style="2837" customWidth="1"/>
    <col min="14862" max="14862" width="10" style="2837" customWidth="1"/>
    <col min="14863" max="14864" width="10.44140625" style="2837" bestFit="1" customWidth="1"/>
    <col min="14865" max="14865" width="10" style="2837" customWidth="1"/>
    <col min="14866" max="14866" width="10.109375" style="2837" customWidth="1"/>
    <col min="14867" max="14867" width="10" style="2837" customWidth="1"/>
    <col min="14868" max="14868" width="26.109375" style="2837" customWidth="1"/>
    <col min="14869" max="15104" width="8.88671875" style="2837"/>
    <col min="15105" max="15105" width="9.44140625" style="2837" customWidth="1"/>
    <col min="15106" max="15106" width="8.88671875" style="2837"/>
    <col min="15107" max="15109" width="12.88671875" style="2837" customWidth="1"/>
    <col min="15110" max="15110" width="47.44140625" style="2837" customWidth="1"/>
    <col min="15111" max="15111" width="13" style="2837" customWidth="1"/>
    <col min="15112" max="15113" width="8.88671875" style="2837"/>
    <col min="15114" max="15114" width="5.77734375" style="2837" customWidth="1"/>
    <col min="15115" max="15115" width="11.77734375" style="2837" customWidth="1"/>
    <col min="15116" max="15117" width="10.77734375" style="2837" customWidth="1"/>
    <col min="15118" max="15118" width="10" style="2837" customWidth="1"/>
    <col min="15119" max="15120" width="10.44140625" style="2837" bestFit="1" customWidth="1"/>
    <col min="15121" max="15121" width="10" style="2837" customWidth="1"/>
    <col min="15122" max="15122" width="10.109375" style="2837" customWidth="1"/>
    <col min="15123" max="15123" width="10" style="2837" customWidth="1"/>
    <col min="15124" max="15124" width="26.109375" style="2837" customWidth="1"/>
    <col min="15125" max="15360" width="8.88671875" style="2837"/>
    <col min="15361" max="15361" width="9.44140625" style="2837" customWidth="1"/>
    <col min="15362" max="15362" width="8.88671875" style="2837"/>
    <col min="15363" max="15365" width="12.88671875" style="2837" customWidth="1"/>
    <col min="15366" max="15366" width="47.44140625" style="2837" customWidth="1"/>
    <col min="15367" max="15367" width="13" style="2837" customWidth="1"/>
    <col min="15368" max="15369" width="8.88671875" style="2837"/>
    <col min="15370" max="15370" width="5.77734375" style="2837" customWidth="1"/>
    <col min="15371" max="15371" width="11.77734375" style="2837" customWidth="1"/>
    <col min="15372" max="15373" width="10.77734375" style="2837" customWidth="1"/>
    <col min="15374" max="15374" width="10" style="2837" customWidth="1"/>
    <col min="15375" max="15376" width="10.44140625" style="2837" bestFit="1" customWidth="1"/>
    <col min="15377" max="15377" width="10" style="2837" customWidth="1"/>
    <col min="15378" max="15378" width="10.109375" style="2837" customWidth="1"/>
    <col min="15379" max="15379" width="10" style="2837" customWidth="1"/>
    <col min="15380" max="15380" width="26.109375" style="2837" customWidth="1"/>
    <col min="15381" max="15616" width="8.88671875" style="2837"/>
    <col min="15617" max="15617" width="9.44140625" style="2837" customWidth="1"/>
    <col min="15618" max="15618" width="8.88671875" style="2837"/>
    <col min="15619" max="15621" width="12.88671875" style="2837" customWidth="1"/>
    <col min="15622" max="15622" width="47.44140625" style="2837" customWidth="1"/>
    <col min="15623" max="15623" width="13" style="2837" customWidth="1"/>
    <col min="15624" max="15625" width="8.88671875" style="2837"/>
    <col min="15626" max="15626" width="5.77734375" style="2837" customWidth="1"/>
    <col min="15627" max="15627" width="11.77734375" style="2837" customWidth="1"/>
    <col min="15628" max="15629" width="10.77734375" style="2837" customWidth="1"/>
    <col min="15630" max="15630" width="10" style="2837" customWidth="1"/>
    <col min="15631" max="15632" width="10.44140625" style="2837" bestFit="1" customWidth="1"/>
    <col min="15633" max="15633" width="10" style="2837" customWidth="1"/>
    <col min="15634" max="15634" width="10.109375" style="2837" customWidth="1"/>
    <col min="15635" max="15635" width="10" style="2837" customWidth="1"/>
    <col min="15636" max="15636" width="26.109375" style="2837" customWidth="1"/>
    <col min="15637" max="15872" width="8.88671875" style="2837"/>
    <col min="15873" max="15873" width="9.44140625" style="2837" customWidth="1"/>
    <col min="15874" max="15874" width="8.88671875" style="2837"/>
    <col min="15875" max="15877" width="12.88671875" style="2837" customWidth="1"/>
    <col min="15878" max="15878" width="47.44140625" style="2837" customWidth="1"/>
    <col min="15879" max="15879" width="13" style="2837" customWidth="1"/>
    <col min="15880" max="15881" width="8.88671875" style="2837"/>
    <col min="15882" max="15882" width="5.77734375" style="2837" customWidth="1"/>
    <col min="15883" max="15883" width="11.77734375" style="2837" customWidth="1"/>
    <col min="15884" max="15885" width="10.77734375" style="2837" customWidth="1"/>
    <col min="15886" max="15886" width="10" style="2837" customWidth="1"/>
    <col min="15887" max="15888" width="10.44140625" style="2837" bestFit="1" customWidth="1"/>
    <col min="15889" max="15889" width="10" style="2837" customWidth="1"/>
    <col min="15890" max="15890" width="10.109375" style="2837" customWidth="1"/>
    <col min="15891" max="15891" width="10" style="2837" customWidth="1"/>
    <col min="15892" max="15892" width="26.109375" style="2837" customWidth="1"/>
    <col min="15893" max="16128" width="8.88671875" style="2837"/>
    <col min="16129" max="16129" width="9.44140625" style="2837" customWidth="1"/>
    <col min="16130" max="16130" width="8.88671875" style="2837"/>
    <col min="16131" max="16133" width="12.88671875" style="2837" customWidth="1"/>
    <col min="16134" max="16134" width="47.44140625" style="2837" customWidth="1"/>
    <col min="16135" max="16135" width="13" style="2837" customWidth="1"/>
    <col min="16136" max="16137" width="8.88671875" style="2837"/>
    <col min="16138" max="16138" width="5.77734375" style="2837" customWidth="1"/>
    <col min="16139" max="16139" width="11.77734375" style="2837" customWidth="1"/>
    <col min="16140" max="16141" width="10.77734375" style="2837" customWidth="1"/>
    <col min="16142" max="16142" width="10" style="2837" customWidth="1"/>
    <col min="16143" max="16144" width="10.44140625" style="2837" bestFit="1" customWidth="1"/>
    <col min="16145" max="16145" width="10" style="2837" customWidth="1"/>
    <col min="16146" max="16146" width="10.109375" style="2837" customWidth="1"/>
    <col min="16147" max="16147" width="10" style="2837" customWidth="1"/>
    <col min="16148" max="16148" width="26.109375" style="2837" customWidth="1"/>
    <col min="16149" max="16384" width="8.88671875" style="2837"/>
  </cols>
  <sheetData>
    <row r="1" spans="1:22" ht="21" customHeight="1">
      <c r="A1" s="2826" t="s">
        <v>2431</v>
      </c>
      <c r="B1" s="2827"/>
      <c r="C1" s="2839"/>
      <c r="D1" s="2839"/>
      <c r="E1" s="2828"/>
      <c r="F1" s="2829"/>
      <c r="G1" s="2830"/>
      <c r="J1" s="2833" t="s">
        <v>2310</v>
      </c>
      <c r="K1" s="2834"/>
      <c r="L1" s="2834"/>
      <c r="M1" s="2834"/>
      <c r="N1" s="2834"/>
      <c r="O1" s="2834"/>
      <c r="P1" s="2834"/>
      <c r="Q1" s="2834"/>
      <c r="R1" s="2835"/>
      <c r="S1" s="2836"/>
      <c r="T1" s="2836"/>
      <c r="U1" s="2836"/>
    </row>
    <row r="2" spans="1:22" s="2848" customFormat="1" ht="13.2" customHeight="1">
      <c r="A2" s="1385" t="s">
        <v>2311</v>
      </c>
      <c r="B2" s="2838" t="e">
        <f>IF(D2="——",C40,C40+E2)</f>
        <v>#DIV/0!</v>
      </c>
      <c r="C2" s="2839" t="s">
        <v>2312</v>
      </c>
      <c r="D2" s="3438" t="s">
        <v>3358</v>
      </c>
      <c r="E2" s="3439"/>
      <c r="F2" s="2841"/>
      <c r="G2" s="2842"/>
      <c r="H2" s="2843"/>
      <c r="I2" s="2844"/>
      <c r="J2" s="3755" t="s">
        <v>2313</v>
      </c>
      <c r="K2" s="3756"/>
      <c r="L2" s="2845" t="s">
        <v>2314</v>
      </c>
      <c r="M2" s="2845" t="s">
        <v>2315</v>
      </c>
      <c r="N2" s="2845" t="s">
        <v>2316</v>
      </c>
      <c r="O2" s="2845" t="s">
        <v>2317</v>
      </c>
      <c r="P2" s="2845" t="s">
        <v>2318</v>
      </c>
      <c r="Q2" s="2846" t="s">
        <v>2319</v>
      </c>
      <c r="R2" s="2847" t="s">
        <v>2320</v>
      </c>
      <c r="S2" s="2836"/>
      <c r="T2" s="2836"/>
      <c r="U2" s="2836"/>
      <c r="V2" s="2844"/>
    </row>
    <row r="3" spans="1:22" s="2848" customFormat="1" ht="13.2" customHeight="1">
      <c r="A3" s="2849" t="s">
        <v>2321</v>
      </c>
      <c r="B3" s="2850" t="e">
        <f>ROUND(B2*10000/B4,0)</f>
        <v>#DIV/0!</v>
      </c>
      <c r="C3" s="2839" t="s">
        <v>2322</v>
      </c>
      <c r="D3" s="2839"/>
      <c r="E3" s="2840"/>
      <c r="F3" s="2841"/>
      <c r="G3" s="2842"/>
      <c r="H3" s="2843"/>
      <c r="I3" s="2844"/>
      <c r="J3" s="3757" t="s">
        <v>2323</v>
      </c>
      <c r="K3" s="3758"/>
      <c r="L3" s="2851"/>
      <c r="M3" s="2851"/>
      <c r="N3" s="2851"/>
      <c r="O3" s="2851"/>
      <c r="P3" s="2851"/>
      <c r="Q3" s="2852"/>
      <c r="R3" s="2853">
        <f>SUM(L3:Q3)</f>
        <v>0</v>
      </c>
      <c r="S3" s="2836"/>
      <c r="T3" s="2836"/>
      <c r="U3" s="2836"/>
      <c r="V3" s="2844"/>
    </row>
    <row r="4" spans="1:22" s="2848" customFormat="1" ht="13.2" customHeight="1">
      <c r="A4" s="2854" t="s">
        <v>2324</v>
      </c>
      <c r="B4" s="2855"/>
      <c r="C4" s="2839"/>
      <c r="D4" s="2839"/>
      <c r="E4" s="2840"/>
      <c r="F4" s="2841"/>
      <c r="G4" s="2842"/>
      <c r="H4" s="2843"/>
      <c r="I4" s="2844"/>
      <c r="J4" s="3757" t="s">
        <v>2325</v>
      </c>
      <c r="K4" s="3758"/>
      <c r="L4" s="2856"/>
      <c r="M4" s="2856"/>
      <c r="N4" s="2856"/>
      <c r="O4" s="2856"/>
      <c r="P4" s="2856"/>
      <c r="Q4" s="2857"/>
      <c r="R4" s="2858">
        <f>SUM(L4:Q4)</f>
        <v>0</v>
      </c>
      <c r="S4" s="2836"/>
      <c r="T4" s="2836"/>
      <c r="U4" s="2836"/>
      <c r="V4" s="2844"/>
    </row>
    <row r="5" spans="1:22" s="2848" customFormat="1" ht="13.2" customHeight="1" thickBot="1">
      <c r="A5" s="2859" t="s">
        <v>2326</v>
      </c>
      <c r="B5" s="2860"/>
      <c r="C5" s="2839"/>
      <c r="D5" s="2861"/>
      <c r="E5" s="2841"/>
      <c r="F5" s="2841"/>
      <c r="G5" s="2842"/>
      <c r="H5" s="2843"/>
      <c r="I5" s="2844"/>
      <c r="J5" s="2862" t="s">
        <v>2327</v>
      </c>
      <c r="K5" s="2863"/>
      <c r="L5" s="2863"/>
      <c r="M5" s="2864"/>
      <c r="N5" s="2864"/>
      <c r="O5" s="2864"/>
      <c r="P5" s="2864"/>
      <c r="Q5" s="2864"/>
      <c r="R5" s="2847">
        <f>SUM(R14,R19,R24,R25,R27,R28)</f>
        <v>0</v>
      </c>
      <c r="S5" s="2836"/>
      <c r="T5" s="2836" t="s">
        <v>2328</v>
      </c>
      <c r="U5" s="2836" t="e">
        <f>ROUND(R5*10000/365/R3,1)</f>
        <v>#DIV/0!</v>
      </c>
      <c r="V5" s="2844"/>
    </row>
    <row r="6" spans="1:22" s="2848" customFormat="1" ht="13.2" customHeight="1" thickBot="1">
      <c r="A6" s="3763" t="s">
        <v>2329</v>
      </c>
      <c r="B6" s="3764"/>
      <c r="C6" s="3765"/>
      <c r="D6" s="2865"/>
      <c r="E6" s="2866"/>
      <c r="F6" s="2867"/>
      <c r="G6" s="2868"/>
      <c r="H6" s="2843"/>
      <c r="I6" s="2844"/>
      <c r="J6" s="3749">
        <v>1</v>
      </c>
      <c r="K6" s="3750" t="s">
        <v>2330</v>
      </c>
      <c r="L6" s="2869" t="s">
        <v>2331</v>
      </c>
      <c r="M6" s="2870" t="s">
        <v>2332</v>
      </c>
      <c r="N6" s="2870" t="s">
        <v>2333</v>
      </c>
      <c r="O6" s="2870" t="s">
        <v>2334</v>
      </c>
      <c r="P6" s="2870" t="s">
        <v>2335</v>
      </c>
      <c r="Q6" s="2870" t="s">
        <v>2336</v>
      </c>
      <c r="R6" s="2853" t="s">
        <v>2337</v>
      </c>
      <c r="S6" s="2836"/>
      <c r="T6" s="2836" t="s">
        <v>2338</v>
      </c>
      <c r="U6" s="2836"/>
      <c r="V6" s="2844"/>
    </row>
    <row r="7" spans="1:22" s="2848" customFormat="1" ht="13.2" customHeight="1">
      <c r="A7" s="2871" t="s">
        <v>2339</v>
      </c>
      <c r="B7" s="2872"/>
      <c r="C7" s="2873"/>
      <c r="D7" s="2874">
        <f>SUM(D9,D10,D11,D17,0)</f>
        <v>0</v>
      </c>
      <c r="E7" s="2875" t="e">
        <f>E9+E10+E11+E17</f>
        <v>#DIV/0!</v>
      </c>
      <c r="F7" s="2876"/>
      <c r="G7" s="2877"/>
      <c r="H7" s="2843"/>
      <c r="I7" s="2844"/>
      <c r="J7" s="3749"/>
      <c r="K7" s="3751"/>
      <c r="L7" s="2878" t="s">
        <v>2340</v>
      </c>
      <c r="M7" s="2879"/>
      <c r="N7" s="2855"/>
      <c r="O7" s="2880"/>
      <c r="P7" s="2880"/>
      <c r="Q7" s="2881">
        <v>365</v>
      </c>
      <c r="R7" s="2882">
        <f>ROUND(M7*N7*O7*P7*Q7/10000,0)</f>
        <v>0</v>
      </c>
      <c r="S7" s="2836"/>
      <c r="T7" s="2836" t="s">
        <v>2341</v>
      </c>
      <c r="U7" s="2836"/>
      <c r="V7" s="2844"/>
    </row>
    <row r="8" spans="1:22" s="2848" customFormat="1" ht="13.2" customHeight="1">
      <c r="A8" s="2883" t="s">
        <v>2342</v>
      </c>
      <c r="B8" s="3766" t="s">
        <v>2343</v>
      </c>
      <c r="C8" s="3767"/>
      <c r="D8" s="2884" t="s">
        <v>2344</v>
      </c>
      <c r="E8" s="2885" t="s">
        <v>2345</v>
      </c>
      <c r="F8" s="2886" t="s">
        <v>2346</v>
      </c>
      <c r="G8" s="2887"/>
      <c r="H8" s="2843"/>
      <c r="I8" s="2844"/>
      <c r="J8" s="3749"/>
      <c r="K8" s="3751"/>
      <c r="L8" s="2878" t="s">
        <v>2347</v>
      </c>
      <c r="M8" s="2879"/>
      <c r="N8" s="2855"/>
      <c r="O8" s="2880"/>
      <c r="P8" s="2880"/>
      <c r="Q8" s="2881">
        <v>365</v>
      </c>
      <c r="R8" s="2882">
        <f t="shared" ref="R8:R13" si="0">ROUND(M8*N8*O8*P8*Q8/10000,0)</f>
        <v>0</v>
      </c>
      <c r="S8" s="2836"/>
      <c r="T8" s="2836" t="s">
        <v>2348</v>
      </c>
      <c r="U8" s="2836"/>
      <c r="V8" s="2844"/>
    </row>
    <row r="9" spans="1:22" s="2848" customFormat="1" ht="13.2" customHeight="1">
      <c r="A9" s="2883">
        <v>1</v>
      </c>
      <c r="B9" s="3766" t="s">
        <v>2349</v>
      </c>
      <c r="C9" s="3767"/>
      <c r="D9" s="2884">
        <f>ROUND(D6*E9,0)</f>
        <v>0</v>
      </c>
      <c r="E9" s="2888"/>
      <c r="F9" s="2889" t="s">
        <v>2350</v>
      </c>
      <c r="G9" s="2868"/>
      <c r="H9" s="2843"/>
      <c r="I9" s="2844"/>
      <c r="J9" s="3749"/>
      <c r="K9" s="3751"/>
      <c r="L9" s="2878" t="s">
        <v>2351</v>
      </c>
      <c r="M9" s="2879"/>
      <c r="N9" s="2855"/>
      <c r="O9" s="2880"/>
      <c r="P9" s="2880"/>
      <c r="Q9" s="2881">
        <v>365</v>
      </c>
      <c r="R9" s="2882">
        <f t="shared" si="0"/>
        <v>0</v>
      </c>
      <c r="S9" s="2836"/>
      <c r="T9" s="2836"/>
      <c r="U9" s="2836"/>
      <c r="V9" s="2844"/>
    </row>
    <row r="10" spans="1:22" s="2848" customFormat="1" ht="13.2" customHeight="1">
      <c r="A10" s="2883">
        <v>2</v>
      </c>
      <c r="B10" s="3766" t="s">
        <v>2352</v>
      </c>
      <c r="C10" s="3767"/>
      <c r="D10" s="2884">
        <f>ROUND(D6*E10,0)</f>
        <v>0</v>
      </c>
      <c r="E10" s="2888"/>
      <c r="F10" s="2889" t="s">
        <v>2353</v>
      </c>
      <c r="G10" s="2868"/>
      <c r="H10" s="2843"/>
      <c r="I10" s="2844"/>
      <c r="J10" s="3749"/>
      <c r="K10" s="3751"/>
      <c r="L10" s="2878" t="s">
        <v>2354</v>
      </c>
      <c r="M10" s="2879"/>
      <c r="N10" s="2855"/>
      <c r="O10" s="2880"/>
      <c r="P10" s="2880"/>
      <c r="Q10" s="2881">
        <v>365</v>
      </c>
      <c r="R10" s="2882">
        <f t="shared" si="0"/>
        <v>0</v>
      </c>
      <c r="S10" s="2836"/>
      <c r="T10" s="2836"/>
      <c r="U10" s="2836"/>
      <c r="V10" s="2844"/>
    </row>
    <row r="11" spans="1:22" s="2848" customFormat="1" ht="13.2" customHeight="1">
      <c r="A11" s="2883">
        <v>3</v>
      </c>
      <c r="B11" s="3766" t="s">
        <v>2355</v>
      </c>
      <c r="C11" s="3767"/>
      <c r="D11" s="2884">
        <f>D12+D14+D15+D16</f>
        <v>0</v>
      </c>
      <c r="E11" s="2890" t="e">
        <f>D11/D6</f>
        <v>#DIV/0!</v>
      </c>
      <c r="F11" s="2886"/>
      <c r="G11" s="2887"/>
      <c r="H11" s="2843"/>
      <c r="I11" s="2844"/>
      <c r="J11" s="3749"/>
      <c r="K11" s="3751"/>
      <c r="L11" s="2878" t="s">
        <v>2356</v>
      </c>
      <c r="M11" s="2879"/>
      <c r="N11" s="2855"/>
      <c r="O11" s="2880"/>
      <c r="P11" s="2880"/>
      <c r="Q11" s="2881">
        <v>365</v>
      </c>
      <c r="R11" s="2882">
        <f t="shared" si="0"/>
        <v>0</v>
      </c>
      <c r="S11" s="2836"/>
      <c r="T11" s="2836"/>
      <c r="U11" s="2836"/>
      <c r="V11" s="2844"/>
    </row>
    <row r="12" spans="1:22" s="2848" customFormat="1" ht="13.2" customHeight="1">
      <c r="A12" s="2891" t="s">
        <v>2357</v>
      </c>
      <c r="B12" s="3759" t="s">
        <v>2358</v>
      </c>
      <c r="C12" s="3760"/>
      <c r="D12" s="2892">
        <f>ROUND(D13*1.2%*(1-30%),0)</f>
        <v>0</v>
      </c>
      <c r="E12" s="2893">
        <v>1.2E-2</v>
      </c>
      <c r="F12" s="2886" t="s">
        <v>2359</v>
      </c>
      <c r="G12" s="2887"/>
      <c r="H12" s="2843"/>
      <c r="I12" s="2844"/>
      <c r="J12" s="3749"/>
      <c r="K12" s="3751"/>
      <c r="L12" s="2878" t="s">
        <v>2360</v>
      </c>
      <c r="M12" s="2879"/>
      <c r="N12" s="2855"/>
      <c r="O12" s="2880"/>
      <c r="P12" s="2880"/>
      <c r="Q12" s="2881">
        <v>365</v>
      </c>
      <c r="R12" s="2882">
        <f t="shared" si="0"/>
        <v>0</v>
      </c>
      <c r="S12" s="2836"/>
      <c r="T12" s="2836"/>
      <c r="U12" s="2836"/>
      <c r="V12" s="2844"/>
    </row>
    <row r="13" spans="1:22" s="2848" customFormat="1" ht="13.2" customHeight="1">
      <c r="A13" s="2891"/>
      <c r="B13" s="2894"/>
      <c r="C13" s="2895" t="s">
        <v>2361</v>
      </c>
      <c r="D13" s="2896"/>
      <c r="E13" s="2897"/>
      <c r="F13" s="2886"/>
      <c r="G13" s="2887"/>
      <c r="H13" s="2843"/>
      <c r="I13" s="2844"/>
      <c r="J13" s="3749"/>
      <c r="K13" s="3751"/>
      <c r="L13" s="2878" t="s">
        <v>2362</v>
      </c>
      <c r="M13" s="2879"/>
      <c r="N13" s="2855"/>
      <c r="O13" s="2880"/>
      <c r="P13" s="2880"/>
      <c r="Q13" s="2881">
        <v>365</v>
      </c>
      <c r="R13" s="2882">
        <f t="shared" si="0"/>
        <v>0</v>
      </c>
      <c r="S13" s="2836"/>
      <c r="T13" s="2836"/>
      <c r="U13" s="2836"/>
      <c r="V13" s="2844"/>
    </row>
    <row r="14" spans="1:22" s="2848" customFormat="1" ht="13.2" customHeight="1">
      <c r="A14" s="2891" t="s">
        <v>2363</v>
      </c>
      <c r="B14" s="3759" t="s">
        <v>2364</v>
      </c>
      <c r="C14" s="3760"/>
      <c r="D14" s="2892">
        <f>ROUND(E14*B5/10000,0)</f>
        <v>0</v>
      </c>
      <c r="E14" s="2881"/>
      <c r="F14" s="2886" t="s">
        <v>2365</v>
      </c>
      <c r="G14" s="2887"/>
      <c r="H14" s="2843"/>
      <c r="I14" s="2844"/>
      <c r="J14" s="3749"/>
      <c r="K14" s="3752"/>
      <c r="L14" s="2898" t="s">
        <v>2366</v>
      </c>
      <c r="M14" s="2899">
        <f>SUM(M7:M13)</f>
        <v>0</v>
      </c>
      <c r="N14" s="2899" t="e">
        <f>ROUND((N7*M7+N8*M8+N9*M9+N10*M10+N11*M11+N12*M12+N13*M13)/M14,0)</f>
        <v>#DIV/0!</v>
      </c>
      <c r="O14" s="2900"/>
      <c r="P14" s="2900"/>
      <c r="Q14" s="2901"/>
      <c r="R14" s="2847">
        <f>SUM(R7:R13)</f>
        <v>0</v>
      </c>
      <c r="S14" s="2836"/>
      <c r="T14" s="2836"/>
      <c r="U14" s="2836"/>
      <c r="V14" s="2844"/>
    </row>
    <row r="15" spans="1:22" s="2848" customFormat="1" ht="13.2" customHeight="1">
      <c r="A15" s="2891" t="s">
        <v>2367</v>
      </c>
      <c r="B15" s="3759" t="s">
        <v>2368</v>
      </c>
      <c r="C15" s="3760"/>
      <c r="D15" s="2892">
        <f>ROUND(D6*E15,0)</f>
        <v>0</v>
      </c>
      <c r="E15" s="2893">
        <v>5.5E-2</v>
      </c>
      <c r="F15" s="2886" t="s">
        <v>2369</v>
      </c>
      <c r="G15" s="2868"/>
      <c r="H15" s="2843"/>
      <c r="I15" s="2844"/>
      <c r="J15" s="3749">
        <v>2</v>
      </c>
      <c r="K15" s="3750" t="s">
        <v>2370</v>
      </c>
      <c r="L15" s="2878" t="s">
        <v>2371</v>
      </c>
      <c r="M15" s="2879" t="s">
        <v>2372</v>
      </c>
      <c r="N15" s="2879" t="s">
        <v>2373</v>
      </c>
      <c r="O15" s="2880" t="s">
        <v>2374</v>
      </c>
      <c r="P15" s="2880" t="s">
        <v>2336</v>
      </c>
      <c r="Q15" s="2855" t="s">
        <v>2375</v>
      </c>
      <c r="R15" s="2902" t="s">
        <v>2337</v>
      </c>
      <c r="S15" s="2836"/>
      <c r="T15" s="2836"/>
      <c r="U15" s="2836"/>
      <c r="V15" s="2844"/>
    </row>
    <row r="16" spans="1:22" s="2848" customFormat="1" ht="13.2" customHeight="1">
      <c r="A16" s="2891" t="s">
        <v>2376</v>
      </c>
      <c r="B16" s="3759" t="s">
        <v>2377</v>
      </c>
      <c r="C16" s="3760"/>
      <c r="D16" s="2903">
        <f>D6*E16</f>
        <v>0</v>
      </c>
      <c r="E16" s="2904"/>
      <c r="F16" s="2889" t="s">
        <v>2378</v>
      </c>
      <c r="G16" s="2868"/>
      <c r="H16" s="2843"/>
      <c r="I16" s="2844"/>
      <c r="J16" s="3749"/>
      <c r="K16" s="3751"/>
      <c r="L16" s="2878" t="s">
        <v>2379</v>
      </c>
      <c r="M16" s="2879"/>
      <c r="N16" s="2879"/>
      <c r="O16" s="2880"/>
      <c r="P16" s="2881">
        <v>365</v>
      </c>
      <c r="Q16" s="2855"/>
      <c r="R16" s="2902">
        <f>ROUND(M16*N16*O16*P16/10000,0)</f>
        <v>0</v>
      </c>
      <c r="S16" s="2836"/>
      <c r="T16" s="2836"/>
      <c r="U16" s="2836"/>
      <c r="V16" s="2844"/>
    </row>
    <row r="17" spans="1:22" s="2848" customFormat="1" ht="13.2" customHeight="1" thickBot="1">
      <c r="A17" s="2905">
        <v>4</v>
      </c>
      <c r="B17" s="3761" t="s">
        <v>2380</v>
      </c>
      <c r="C17" s="3762"/>
      <c r="D17" s="2906">
        <f>ROUND(D6*E17,0)</f>
        <v>0</v>
      </c>
      <c r="E17" s="2907"/>
      <c r="F17" s="2908" t="s">
        <v>2381</v>
      </c>
      <c r="G17" s="2868"/>
      <c r="H17" s="2843"/>
      <c r="I17" s="2844"/>
      <c r="J17" s="3749"/>
      <c r="K17" s="3751"/>
      <c r="L17" s="2878" t="s">
        <v>2382</v>
      </c>
      <c r="M17" s="2879"/>
      <c r="N17" s="2879"/>
      <c r="O17" s="2880"/>
      <c r="P17" s="2881">
        <v>365</v>
      </c>
      <c r="Q17" s="2855"/>
      <c r="R17" s="2902">
        <f>ROUND(M17*N17*O17*P17/10000,0)</f>
        <v>0</v>
      </c>
      <c r="S17" s="2836"/>
      <c r="T17" s="2836"/>
      <c r="U17" s="2836"/>
      <c r="V17" s="2844"/>
    </row>
    <row r="18" spans="1:22" s="2848" customFormat="1" ht="13.2" customHeight="1" thickBot="1">
      <c r="A18" s="2871" t="s">
        <v>2383</v>
      </c>
      <c r="B18" s="2872"/>
      <c r="C18" s="2872"/>
      <c r="D18" s="2909">
        <f>ROUND(D6*E18,0)</f>
        <v>0</v>
      </c>
      <c r="E18" s="2910"/>
      <c r="F18" s="2911" t="s">
        <v>2384</v>
      </c>
      <c r="G18" s="2868"/>
      <c r="H18" s="2843"/>
      <c r="I18" s="2844"/>
      <c r="J18" s="3749"/>
      <c r="K18" s="3751"/>
      <c r="L18" s="2878" t="s">
        <v>2385</v>
      </c>
      <c r="M18" s="2879"/>
      <c r="N18" s="2879"/>
      <c r="O18" s="2880"/>
      <c r="P18" s="2881">
        <v>365</v>
      </c>
      <c r="Q18" s="2855"/>
      <c r="R18" s="2902">
        <f>ROUND(M18*N18*O18*P18/10000,0)</f>
        <v>0</v>
      </c>
      <c r="S18" s="2836"/>
      <c r="T18" s="2836"/>
      <c r="U18" s="2836"/>
      <c r="V18" s="2844"/>
    </row>
    <row r="19" spans="1:22" s="2848" customFormat="1" ht="13.2" customHeight="1" thickBot="1">
      <c r="A19" s="2912" t="s">
        <v>2386</v>
      </c>
      <c r="B19" s="2866"/>
      <c r="C19" s="2866"/>
      <c r="D19" s="2866"/>
      <c r="E19" s="2866"/>
      <c r="F19" s="2867"/>
      <c r="G19" s="2887"/>
      <c r="H19" s="2843"/>
      <c r="I19" s="2844"/>
      <c r="J19" s="3749"/>
      <c r="K19" s="3752"/>
      <c r="L19" s="2898" t="s">
        <v>2366</v>
      </c>
      <c r="M19" s="2899"/>
      <c r="N19" s="2899">
        <f>SUM(N16:N18)</f>
        <v>0</v>
      </c>
      <c r="O19" s="2900"/>
      <c r="P19" s="2913" t="s">
        <v>2430</v>
      </c>
      <c r="Q19" s="2880">
        <v>0</v>
      </c>
      <c r="R19" s="2914">
        <f>ROUND(IF(P19="按比例",R14*Q19,SUM(R16:R18)),0)</f>
        <v>0</v>
      </c>
      <c r="S19" s="2836"/>
      <c r="T19" s="2836"/>
      <c r="U19" s="2836"/>
      <c r="V19" s="2844"/>
    </row>
    <row r="20" spans="1:22" s="2848" customFormat="1" ht="13.2" customHeight="1">
      <c r="A20" s="2871"/>
      <c r="B20" s="2872"/>
      <c r="C20" s="2872"/>
      <c r="D20" s="2872"/>
      <c r="E20" s="2872"/>
      <c r="F20" s="2915"/>
      <c r="G20" s="2887"/>
      <c r="H20" s="2843"/>
      <c r="I20" s="2844"/>
      <c r="J20" s="3749">
        <v>3</v>
      </c>
      <c r="K20" s="3750" t="s">
        <v>2387</v>
      </c>
      <c r="L20" s="2878" t="s">
        <v>2388</v>
      </c>
      <c r="M20" s="2879" t="s">
        <v>2389</v>
      </c>
      <c r="N20" s="2916" t="s">
        <v>2390</v>
      </c>
      <c r="O20" s="2880" t="s">
        <v>2391</v>
      </c>
      <c r="P20" s="2881" t="s">
        <v>2392</v>
      </c>
      <c r="Q20" s="2855" t="s">
        <v>2393</v>
      </c>
      <c r="R20" s="2902" t="s">
        <v>2394</v>
      </c>
      <c r="S20" s="2917"/>
      <c r="T20" s="2917"/>
      <c r="U20" s="2917"/>
      <c r="V20" s="2844"/>
    </row>
    <row r="21" spans="1:22" s="2848" customFormat="1" ht="13.2" customHeight="1">
      <c r="A21" s="2871"/>
      <c r="B21" s="2872"/>
      <c r="C21" s="2918" t="s">
        <v>2395</v>
      </c>
      <c r="D21" s="2919" t="s">
        <v>2396</v>
      </c>
      <c r="E21" s="2920" t="s">
        <v>2397</v>
      </c>
      <c r="F21" s="2915"/>
      <c r="G21" s="2887"/>
      <c r="H21" s="2843"/>
      <c r="I21" s="2844"/>
      <c r="J21" s="3749"/>
      <c r="K21" s="3751"/>
      <c r="L21" s="2878" t="s">
        <v>2398</v>
      </c>
      <c r="M21" s="2879"/>
      <c r="N21" s="2879"/>
      <c r="O21" s="2880"/>
      <c r="P21" s="2881">
        <v>365</v>
      </c>
      <c r="Q21" s="2855"/>
      <c r="R21" s="2921">
        <f>ROUND(M21*N21*O21*P21/10000,0)</f>
        <v>0</v>
      </c>
      <c r="S21" s="2917"/>
      <c r="T21" s="2917"/>
      <c r="U21" s="2917"/>
      <c r="V21" s="2844"/>
    </row>
    <row r="22" spans="1:22" s="2848" customFormat="1" ht="13.2" customHeight="1">
      <c r="A22" s="2871"/>
      <c r="B22" s="2872"/>
      <c r="C22" s="2922" t="s">
        <v>2399</v>
      </c>
      <c r="D22" s="2923" t="s">
        <v>2400</v>
      </c>
      <c r="E22" s="2924" t="s">
        <v>2401</v>
      </c>
      <c r="F22" s="2915"/>
      <c r="G22" s="2925"/>
      <c r="H22" s="2843"/>
      <c r="I22" s="2844"/>
      <c r="J22" s="3749"/>
      <c r="K22" s="3751"/>
      <c r="L22" s="2878" t="s">
        <v>2402</v>
      </c>
      <c r="M22" s="2879"/>
      <c r="N22" s="2879"/>
      <c r="O22" s="2880"/>
      <c r="P22" s="2881">
        <v>365</v>
      </c>
      <c r="Q22" s="2855"/>
      <c r="R22" s="2921">
        <f>ROUND(M22*N22*O22*P22/10000,0)</f>
        <v>0</v>
      </c>
      <c r="S22" s="2917"/>
      <c r="T22" s="2917"/>
      <c r="U22" s="2917"/>
      <c r="V22" s="2844"/>
    </row>
    <row r="23" spans="1:22" s="2848" customFormat="1" ht="13.2" customHeight="1">
      <c r="A23" s="2926">
        <v>1</v>
      </c>
      <c r="B23" s="2927" t="s">
        <v>2403</v>
      </c>
      <c r="C23" s="2928">
        <f>D6</f>
        <v>0</v>
      </c>
      <c r="D23" s="2929">
        <f>C23*(1+D24)</f>
        <v>0</v>
      </c>
      <c r="E23" s="2930">
        <f>D23*(1+E24)</f>
        <v>0</v>
      </c>
      <c r="F23" s="2931"/>
      <c r="G23" s="2932"/>
      <c r="H23" s="2843"/>
      <c r="I23" s="2844"/>
      <c r="J23" s="3749"/>
      <c r="K23" s="3751"/>
      <c r="L23" s="2878" t="s">
        <v>2404</v>
      </c>
      <c r="M23" s="2879"/>
      <c r="N23" s="2879"/>
      <c r="O23" s="2880"/>
      <c r="P23" s="2881">
        <v>365</v>
      </c>
      <c r="Q23" s="2855"/>
      <c r="R23" s="2921">
        <f>ROUND(M23*N23*O23*P23/10000,0)</f>
        <v>0</v>
      </c>
      <c r="S23" s="2836"/>
      <c r="T23" s="2836"/>
      <c r="U23" s="2836"/>
      <c r="V23" s="2844"/>
    </row>
    <row r="24" spans="1:22" s="2848" customFormat="1" ht="13.2" customHeight="1">
      <c r="A24" s="2933"/>
      <c r="B24" s="2934" t="s">
        <v>2405</v>
      </c>
      <c r="C24" s="2935"/>
      <c r="D24" s="2936"/>
      <c r="E24" s="2937"/>
      <c r="F24" s="2938"/>
      <c r="G24" s="2932"/>
      <c r="H24" s="2843"/>
      <c r="I24" s="2844"/>
      <c r="J24" s="3749"/>
      <c r="K24" s="3752"/>
      <c r="L24" s="2898" t="s">
        <v>2366</v>
      </c>
      <c r="M24" s="2899">
        <f>SUM(M21:M23)</f>
        <v>0</v>
      </c>
      <c r="N24" s="2899"/>
      <c r="O24" s="2900"/>
      <c r="P24" s="2913" t="s">
        <v>2430</v>
      </c>
      <c r="Q24" s="2880">
        <v>0</v>
      </c>
      <c r="R24" s="2914">
        <f>ROUND(IF(P24="按比例",R14*Q24,SUM(R21:R23)),0)</f>
        <v>0</v>
      </c>
      <c r="S24" s="2836"/>
      <c r="T24" s="2836"/>
      <c r="U24" s="2836"/>
      <c r="V24" s="2844"/>
    </row>
    <row r="25" spans="1:22" s="2945" customFormat="1" ht="13.2" customHeight="1">
      <c r="A25" s="2933"/>
      <c r="B25" s="2934"/>
      <c r="C25" s="2935"/>
      <c r="D25" s="2936"/>
      <c r="E25" s="2937"/>
      <c r="F25" s="2938"/>
      <c r="G25" s="2925"/>
      <c r="H25" s="2843"/>
      <c r="I25" s="2844"/>
      <c r="J25" s="2939">
        <v>4</v>
      </c>
      <c r="K25" s="2940" t="s">
        <v>2406</v>
      </c>
      <c r="L25" s="2941"/>
      <c r="M25" s="2941"/>
      <c r="N25" s="2941"/>
      <c r="O25" s="2941"/>
      <c r="P25" s="2942"/>
      <c r="Q25" s="2943">
        <v>0</v>
      </c>
      <c r="R25" s="2914">
        <f>ROUND(R14*Q25,0)</f>
        <v>0</v>
      </c>
      <c r="S25" s="2836"/>
      <c r="T25" s="2836"/>
      <c r="U25" s="2836"/>
      <c r="V25" s="2944"/>
    </row>
    <row r="26" spans="1:22" s="2945" customFormat="1" ht="13.2" customHeight="1">
      <c r="A26" s="2926">
        <v>2</v>
      </c>
      <c r="B26" s="2927" t="s">
        <v>2407</v>
      </c>
      <c r="C26" s="2928">
        <f>D7</f>
        <v>0</v>
      </c>
      <c r="D26" s="2929">
        <f>D23*D27</f>
        <v>0</v>
      </c>
      <c r="E26" s="2930">
        <f>E23*E27</f>
        <v>0</v>
      </c>
      <c r="F26" s="2931"/>
      <c r="G26" s="2932"/>
      <c r="H26" s="2843"/>
      <c r="I26" s="2844"/>
      <c r="J26" s="3753">
        <v>5</v>
      </c>
      <c r="K26" s="2946" t="s">
        <v>2408</v>
      </c>
      <c r="L26" s="2947"/>
      <c r="M26" s="2948"/>
      <c r="N26" s="2949" t="s">
        <v>2409</v>
      </c>
      <c r="O26" s="2949" t="s">
        <v>2410</v>
      </c>
      <c r="P26" s="2950" t="s">
        <v>2411</v>
      </c>
      <c r="Q26" s="2950" t="s">
        <v>2412</v>
      </c>
      <c r="R26" s="2853" t="s">
        <v>2337</v>
      </c>
      <c r="S26" s="2951"/>
      <c r="T26" s="2951"/>
      <c r="U26" s="2951"/>
      <c r="V26" s="2944"/>
    </row>
    <row r="27" spans="1:22" s="2848" customFormat="1" ht="13.2" customHeight="1">
      <c r="A27" s="2933"/>
      <c r="B27" s="2934" t="s">
        <v>2413</v>
      </c>
      <c r="C27" s="2952" t="e">
        <f>E7</f>
        <v>#DIV/0!</v>
      </c>
      <c r="D27" s="2936"/>
      <c r="E27" s="2937"/>
      <c r="F27" s="2938"/>
      <c r="G27" s="2932"/>
      <c r="H27" s="2953"/>
      <c r="I27" s="2944"/>
      <c r="J27" s="3754"/>
      <c r="K27" s="2954"/>
      <c r="L27" s="2955"/>
      <c r="M27" s="2956"/>
      <c r="N27" s="2957"/>
      <c r="O27" s="2957"/>
      <c r="P27" s="2957"/>
      <c r="Q27" s="2958"/>
      <c r="R27" s="2914">
        <f>ROUND(O27*N27*P27*(1-Q27)/10000,0)</f>
        <v>0</v>
      </c>
      <c r="S27" s="2836"/>
      <c r="T27" s="2836"/>
      <c r="U27" s="2836"/>
      <c r="V27" s="2844"/>
    </row>
    <row r="28" spans="1:22" s="2945" customFormat="1" ht="13.2" customHeight="1" thickBot="1">
      <c r="A28" s="2933"/>
      <c r="B28" s="2934"/>
      <c r="C28" s="2952"/>
      <c r="D28" s="2936"/>
      <c r="E28" s="2937" t="s">
        <v>2414</v>
      </c>
      <c r="F28" s="2938"/>
      <c r="G28" s="2925"/>
      <c r="H28" s="2953"/>
      <c r="I28" s="2944"/>
      <c r="J28" s="2959">
        <v>6</v>
      </c>
      <c r="K28" s="2960" t="s">
        <v>2415</v>
      </c>
      <c r="L28" s="2961" t="s">
        <v>2416</v>
      </c>
      <c r="M28" s="2962"/>
      <c r="N28" s="2961" t="s">
        <v>2417</v>
      </c>
      <c r="O28" s="2963"/>
      <c r="P28" s="2961" t="s">
        <v>2418</v>
      </c>
      <c r="Q28" s="2964">
        <v>1.4999999999999999E-2</v>
      </c>
      <c r="R28" s="2965"/>
      <c r="S28" s="2917"/>
      <c r="T28" s="2917"/>
      <c r="U28" s="2917"/>
      <c r="V28" s="2944"/>
    </row>
    <row r="29" spans="1:22" s="2945" customFormat="1" ht="13.2" customHeight="1">
      <c r="A29" s="2926">
        <v>3</v>
      </c>
      <c r="B29" s="2927" t="s">
        <v>2419</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2" customHeight="1" thickBot="1">
      <c r="A30" s="2933"/>
      <c r="B30" s="2934" t="s">
        <v>2413</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2" customHeight="1">
      <c r="A31" s="2933"/>
      <c r="B31" s="2934"/>
      <c r="C31" s="2967"/>
      <c r="D31" s="2966"/>
      <c r="E31" s="2897"/>
      <c r="F31" s="2938"/>
      <c r="G31" s="2925"/>
      <c r="H31" s="2953"/>
      <c r="I31" s="2944"/>
      <c r="J31" s="2833" t="s">
        <v>2420</v>
      </c>
      <c r="K31" s="2834"/>
      <c r="L31" s="2834"/>
      <c r="M31" s="2834"/>
      <c r="N31" s="2834"/>
      <c r="O31" s="2834"/>
      <c r="P31" s="2834"/>
      <c r="Q31" s="2834"/>
      <c r="R31" s="2835"/>
      <c r="S31" s="2917"/>
      <c r="T31" s="2836"/>
      <c r="U31" s="2836"/>
      <c r="V31" s="2944"/>
    </row>
    <row r="32" spans="1:22" s="2945" customFormat="1" ht="13.2" customHeight="1">
      <c r="A32" s="2926">
        <v>4</v>
      </c>
      <c r="B32" s="2927" t="s">
        <v>2421</v>
      </c>
      <c r="C32" s="2928">
        <f>C23-C26-C29</f>
        <v>0</v>
      </c>
      <c r="D32" s="2929">
        <f>D23-D26-D29</f>
        <v>0</v>
      </c>
      <c r="E32" s="2930">
        <f>E23-E26-E29</f>
        <v>0</v>
      </c>
      <c r="F32" s="2931"/>
      <c r="G32" s="2925"/>
      <c r="H32" s="2843"/>
      <c r="I32" s="2844"/>
      <c r="J32" s="3755" t="s">
        <v>2313</v>
      </c>
      <c r="K32" s="3756"/>
      <c r="L32" s="2845" t="s">
        <v>2314</v>
      </c>
      <c r="M32" s="2845" t="s">
        <v>2315</v>
      </c>
      <c r="N32" s="2845" t="s">
        <v>2316</v>
      </c>
      <c r="O32" s="2845" t="s">
        <v>2317</v>
      </c>
      <c r="P32" s="2845" t="s">
        <v>2318</v>
      </c>
      <c r="Q32" s="2846" t="s">
        <v>2319</v>
      </c>
      <c r="R32" s="2968" t="s">
        <v>2320</v>
      </c>
      <c r="S32" s="2917"/>
      <c r="T32" s="2836"/>
      <c r="U32" s="2836"/>
      <c r="V32" s="2944"/>
    </row>
    <row r="33" spans="1:23" s="2848" customFormat="1" ht="13.2" customHeight="1">
      <c r="A33" s="2926"/>
      <c r="B33" s="2927"/>
      <c r="C33" s="2928"/>
      <c r="D33" s="2969"/>
      <c r="E33" s="2970"/>
      <c r="F33" s="2931"/>
      <c r="G33" s="2925"/>
      <c r="H33" s="2953"/>
      <c r="I33" s="2944"/>
      <c r="J33" s="3757" t="s">
        <v>2323</v>
      </c>
      <c r="K33" s="3758"/>
      <c r="L33" s="2851"/>
      <c r="M33" s="2851"/>
      <c r="N33" s="2851"/>
      <c r="O33" s="2851"/>
      <c r="P33" s="2851"/>
      <c r="Q33" s="2852"/>
      <c r="R33" s="2971">
        <f>SUM(L33:Q33)</f>
        <v>0</v>
      </c>
      <c r="S33" s="2917"/>
      <c r="T33" s="2836"/>
      <c r="U33" s="2836"/>
      <c r="V33" s="2844"/>
    </row>
    <row r="34" spans="1:23" s="2848" customFormat="1" ht="13.2" customHeight="1">
      <c r="A34" s="2926">
        <v>5</v>
      </c>
      <c r="B34" s="2927" t="s">
        <v>2422</v>
      </c>
      <c r="C34" s="2972"/>
      <c r="D34" s="2973"/>
      <c r="E34" s="2974"/>
      <c r="F34" s="2931"/>
      <c r="G34" s="2925"/>
      <c r="H34" s="2953"/>
      <c r="I34" s="2944"/>
      <c r="J34" s="3757" t="s">
        <v>2325</v>
      </c>
      <c r="K34" s="3758"/>
      <c r="L34" s="2856"/>
      <c r="M34" s="2856"/>
      <c r="N34" s="2856"/>
      <c r="O34" s="2856"/>
      <c r="P34" s="2856"/>
      <c r="Q34" s="2857"/>
      <c r="R34" s="2975">
        <f>SUM(L34:Q34)</f>
        <v>0</v>
      </c>
      <c r="S34" s="2917"/>
      <c r="T34" s="2836"/>
      <c r="U34" s="2836" t="e">
        <f>ROUND(R35*10000/365/R33,1)</f>
        <v>#DIV/0!</v>
      </c>
      <c r="V34" s="2844"/>
    </row>
    <row r="35" spans="1:23" s="2848" customFormat="1" ht="13.2" customHeight="1">
      <c r="A35" s="2926">
        <v>6</v>
      </c>
      <c r="B35" s="2927" t="s">
        <v>2423</v>
      </c>
      <c r="C35" s="2976"/>
      <c r="D35" s="2977"/>
      <c r="E35" s="2978"/>
      <c r="F35" s="2931"/>
      <c r="G35" s="2979"/>
      <c r="H35" s="2843"/>
      <c r="I35" s="2944"/>
      <c r="J35" s="2862" t="s">
        <v>2327</v>
      </c>
      <c r="K35" s="2863"/>
      <c r="L35" s="2863"/>
      <c r="M35" s="2864"/>
      <c r="N35" s="2864"/>
      <c r="O35" s="2864"/>
      <c r="P35" s="2864"/>
      <c r="Q35" s="2864"/>
      <c r="R35" s="2980">
        <f>R40+R41+R43</f>
        <v>0</v>
      </c>
      <c r="S35" s="2917"/>
      <c r="T35" s="2836" t="s">
        <v>2328</v>
      </c>
      <c r="U35" s="2836"/>
      <c r="V35" s="2844"/>
    </row>
    <row r="36" spans="1:23" s="2848" customFormat="1" ht="13.2" customHeight="1" thickBot="1">
      <c r="A36" s="2926">
        <v>7</v>
      </c>
      <c r="B36" s="2981" t="s">
        <v>2424</v>
      </c>
      <c r="C36" s="2982"/>
      <c r="D36" s="2983"/>
      <c r="E36" s="2984"/>
      <c r="F36" s="2985">
        <f>C36+D36+E36</f>
        <v>0</v>
      </c>
      <c r="G36" s="2925"/>
      <c r="H36" s="2843"/>
      <c r="I36" s="2844"/>
      <c r="J36" s="3749">
        <v>1</v>
      </c>
      <c r="K36" s="3750" t="s">
        <v>2425</v>
      </c>
      <c r="L36" s="2869"/>
      <c r="M36" s="2870"/>
      <c r="N36" s="2870"/>
      <c r="O36" s="2870"/>
      <c r="P36" s="2870"/>
      <c r="Q36" s="2870"/>
      <c r="R36" s="2853" t="s">
        <v>2337</v>
      </c>
      <c r="S36" s="2917"/>
      <c r="T36" s="2836" t="s">
        <v>2338</v>
      </c>
      <c r="U36" s="2836"/>
      <c r="V36" s="2844"/>
    </row>
    <row r="37" spans="1:23" s="2848" customFormat="1" ht="13.2" customHeight="1">
      <c r="A37" s="2926"/>
      <c r="B37" s="2927"/>
      <c r="C37" s="2927"/>
      <c r="D37" s="2927"/>
      <c r="E37" s="2927"/>
      <c r="F37" s="2931"/>
      <c r="G37" s="2925"/>
      <c r="H37" s="2843"/>
      <c r="I37" s="2844"/>
      <c r="J37" s="3749"/>
      <c r="K37" s="3751"/>
      <c r="L37" s="2878"/>
      <c r="M37" s="2879"/>
      <c r="N37" s="2855"/>
      <c r="O37" s="2880"/>
      <c r="P37" s="2880"/>
      <c r="Q37" s="2881"/>
      <c r="R37" s="2882"/>
      <c r="S37" s="2917"/>
      <c r="T37" s="2836" t="s">
        <v>2341</v>
      </c>
      <c r="U37" s="2836"/>
      <c r="V37" s="2844"/>
    </row>
    <row r="38" spans="1:23" s="2848" customFormat="1" ht="13.2" customHeight="1">
      <c r="A38" s="2926">
        <v>8</v>
      </c>
      <c r="B38" s="2927"/>
      <c r="C38" s="2884" t="e">
        <f>ROUND(C32*(1-((1+C35)/(1+C34))^C36)/(C34-C35),0)</f>
        <v>#DIV/0!</v>
      </c>
      <c r="D38" s="2884">
        <f>IF(D23=0,0,ROUND(D32*(1-((1+D35)/(1+D34))^D36)/(D34-D35),0))</f>
        <v>0</v>
      </c>
      <c r="E38" s="2884">
        <f>IF(E23=0,0,ROUND(E32*(1-((1+E35)/(1+E34))^E36)/(E34-E35),0))</f>
        <v>0</v>
      </c>
      <c r="F38" s="2931"/>
      <c r="G38" s="2925"/>
      <c r="H38" s="2843"/>
      <c r="I38" s="2844"/>
      <c r="J38" s="3749"/>
      <c r="K38" s="3751"/>
      <c r="L38" s="2878"/>
      <c r="M38" s="2879"/>
      <c r="N38" s="2855"/>
      <c r="O38" s="2880"/>
      <c r="P38" s="2880"/>
      <c r="Q38" s="2881"/>
      <c r="R38" s="2882"/>
      <c r="S38" s="2917"/>
      <c r="T38" s="2836" t="s">
        <v>2348</v>
      </c>
      <c r="U38" s="2836"/>
      <c r="V38" s="2844"/>
    </row>
    <row r="39" spans="1:23" s="2848" customFormat="1" ht="13.2" customHeight="1">
      <c r="A39" s="2926">
        <v>9</v>
      </c>
      <c r="B39" s="2927" t="s">
        <v>2426</v>
      </c>
      <c r="C39" s="2892" t="e">
        <f>C38</f>
        <v>#DIV/0!</v>
      </c>
      <c r="D39" s="2927">
        <f>D38/(1+D34)^C36</f>
        <v>0</v>
      </c>
      <c r="E39" s="2927">
        <f>E38/(1+E34)^(C36+D36)</f>
        <v>0</v>
      </c>
      <c r="F39" s="2931"/>
      <c r="G39" s="2986"/>
      <c r="H39" s="2843"/>
      <c r="I39" s="2844"/>
      <c r="J39" s="3749"/>
      <c r="K39" s="3751"/>
      <c r="L39" s="2878"/>
      <c r="M39" s="2879"/>
      <c r="N39" s="2855"/>
      <c r="O39" s="2880"/>
      <c r="P39" s="2880"/>
      <c r="Q39" s="2881"/>
      <c r="R39" s="2882"/>
      <c r="S39" s="2917"/>
      <c r="T39" s="2836"/>
      <c r="U39" s="2836"/>
      <c r="V39" s="2844"/>
    </row>
    <row r="40" spans="1:23" s="2848" customFormat="1" ht="13.2" customHeight="1">
      <c r="A40" s="2987">
        <v>10</v>
      </c>
      <c r="B40" s="2927" t="s">
        <v>2427</v>
      </c>
      <c r="C40" s="2988" t="e">
        <f>C39+D39+E39</f>
        <v>#DIV/0!</v>
      </c>
      <c r="D40" s="2989"/>
      <c r="E40" s="2989"/>
      <c r="F40" s="2990"/>
      <c r="G40" s="2925"/>
      <c r="H40" s="2843"/>
      <c r="I40" s="2844"/>
      <c r="J40" s="3749"/>
      <c r="K40" s="3752"/>
      <c r="L40" s="2898" t="s">
        <v>2366</v>
      </c>
      <c r="M40" s="2899"/>
      <c r="N40" s="2899"/>
      <c r="O40" s="2900"/>
      <c r="P40" s="2900"/>
      <c r="Q40" s="2901"/>
      <c r="R40" s="2847">
        <f>SUM(R37:R39)</f>
        <v>0</v>
      </c>
      <c r="S40" s="2917"/>
      <c r="T40" s="2836"/>
      <c r="U40" s="2836"/>
      <c r="V40" s="2844"/>
    </row>
    <row r="41" spans="1:23" s="2848" customFormat="1" ht="13.2" customHeight="1" thickBot="1">
      <c r="A41" s="2991">
        <v>11</v>
      </c>
      <c r="B41" s="2992" t="s">
        <v>2428</v>
      </c>
      <c r="C41" s="2992" t="e">
        <f>ROUND(C40*10000/B4,0)</f>
        <v>#DIV/0!</v>
      </c>
      <c r="D41" s="2993"/>
      <c r="E41" s="2993"/>
      <c r="F41" s="2994"/>
      <c r="G41" s="2995"/>
      <c r="H41" s="2843"/>
      <c r="I41" s="2844"/>
      <c r="J41" s="2939">
        <v>2</v>
      </c>
      <c r="K41" s="2940" t="s">
        <v>2406</v>
      </c>
      <c r="L41" s="2941"/>
      <c r="M41" s="2941"/>
      <c r="N41" s="2941"/>
      <c r="O41" s="2941"/>
      <c r="P41" s="2942"/>
      <c r="Q41" s="2943"/>
      <c r="R41" s="2914">
        <f>ROUND(R40*Q41,0)</f>
        <v>0</v>
      </c>
      <c r="S41" s="2917"/>
      <c r="T41" s="2836"/>
      <c r="U41" s="2951"/>
      <c r="V41" s="2844"/>
    </row>
    <row r="42" spans="1:23" s="2848" customFormat="1" ht="13.2" customHeight="1">
      <c r="G42" s="2995"/>
      <c r="H42" s="2843"/>
      <c r="I42" s="2844"/>
      <c r="J42" s="3753">
        <v>3</v>
      </c>
      <c r="K42" s="2946" t="s">
        <v>2408</v>
      </c>
      <c r="L42" s="2947"/>
      <c r="M42" s="2948"/>
      <c r="N42" s="2949" t="s">
        <v>2409</v>
      </c>
      <c r="O42" s="2949" t="s">
        <v>2410</v>
      </c>
      <c r="P42" s="2950" t="s">
        <v>2411</v>
      </c>
      <c r="Q42" s="2950" t="s">
        <v>2412</v>
      </c>
      <c r="R42" s="2853" t="s">
        <v>2337</v>
      </c>
      <c r="S42" s="2951"/>
      <c r="T42" s="2951"/>
      <c r="U42" s="2836"/>
      <c r="V42" s="2844"/>
    </row>
    <row r="43" spans="1:23" ht="13.2" customHeight="1">
      <c r="A43" s="2848"/>
      <c r="B43" s="2848"/>
      <c r="C43" s="2848"/>
      <c r="D43" s="2848"/>
      <c r="E43" s="2848"/>
      <c r="F43" s="2848"/>
      <c r="I43" s="2831"/>
      <c r="J43" s="3754"/>
      <c r="K43" s="2954"/>
      <c r="L43" s="2955"/>
      <c r="M43" s="2956"/>
      <c r="N43" s="2879"/>
      <c r="O43" s="2879"/>
      <c r="P43" s="2879"/>
      <c r="Q43" s="2943"/>
      <c r="R43" s="2914">
        <f>ROUND(O43*N43*P43*(1-Q43)/10000,0)</f>
        <v>0</v>
      </c>
      <c r="S43" s="2917"/>
      <c r="T43" s="2836"/>
      <c r="V43" s="2997"/>
      <c r="W43" s="2998"/>
    </row>
    <row r="44" spans="1:23" ht="13.2" customHeight="1" thickBot="1">
      <c r="J44" s="2959">
        <v>6</v>
      </c>
      <c r="K44" s="2960" t="s">
        <v>2415</v>
      </c>
      <c r="L44" s="2999" t="s">
        <v>2416</v>
      </c>
      <c r="M44" s="2962"/>
      <c r="N44" s="2999" t="s">
        <v>2417</v>
      </c>
      <c r="O44" s="2962"/>
      <c r="P44" s="2999" t="s">
        <v>2418</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工行：</v>
      </c>
    </row>
    <row r="4" spans="1:1" ht="34.799999999999997">
      <c r="A4" s="1480" t="str">
        <f>"受贵公司委托，我公司对"&amp;项目基本情况!S1&amp;"进行了预评估。"</f>
        <v>受贵公司委托，我公司对北京市崇文区珠市口东大街14号1-C房地产抵押价值进行了预评估。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14号1-C房地产，为北京中欣安泰投资有限公司所有。根据《国有土地使用证》[]，估价对象（分摊）出让国有建设用地使用权面积为278.54平方米。根据《房屋所有权证》[]、《测绘报告》[]，估价对象建筑面积为1139.13平方米。</v>
      </c>
    </row>
    <row r="8" spans="1:1" ht="54.6">
      <c r="A8" s="1483" t="s">
        <v>901</v>
      </c>
    </row>
    <row r="9" spans="1:1" ht="17.399999999999999">
      <c r="A9" s="1482" t="s">
        <v>902</v>
      </c>
    </row>
    <row r="10" spans="1:1" ht="87">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14号1-C房地产,属北京中欣安泰投资有限公司开发建设的商业项目，该项目尚在开发建设中。根据《国有土地使用证》[]，估价对象（分摊）出让国有建设用地使用权面积为278.54平方米。根据《房屋所有权证》[]、《测绘报告》[]，估价对象规划建筑面积为1139.13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北京欣选欣礼商务服务有限公司拟使用北京市崇文区珠市口东大街14号1-C房地产作为抵押担保物，向工行办理贷款手续。工行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2023年2月8日（评估专业人员实地查勘之日）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1139.1300000000001</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4.4">
      <c r="A4" s="355" t="s">
        <v>1665</v>
      </c>
      <c r="B4" s="356"/>
      <c r="C4" s="3692" t="s">
        <v>1666</v>
      </c>
      <c r="D4" s="3693"/>
      <c r="E4" s="3694" t="s">
        <v>1667</v>
      </c>
      <c r="F4" s="3695"/>
      <c r="G4" s="3692" t="s">
        <v>1668</v>
      </c>
      <c r="H4" s="3693"/>
      <c r="I4" s="3692" t="s">
        <v>1669</v>
      </c>
      <c r="J4" s="3693"/>
      <c r="K4" s="1889" t="s">
        <v>1670</v>
      </c>
      <c r="L4" s="2710"/>
      <c r="M4" s="2711"/>
      <c r="N4" s="2711"/>
      <c r="O4" s="2711"/>
      <c r="P4" s="3696" t="s">
        <v>1671</v>
      </c>
      <c r="Q4" s="3697"/>
      <c r="R4" s="3702" t="s">
        <v>1667</v>
      </c>
      <c r="S4" s="3703"/>
      <c r="T4" s="3702" t="s">
        <v>1668</v>
      </c>
      <c r="U4" s="3703"/>
      <c r="V4" s="3687" t="s">
        <v>1669</v>
      </c>
      <c r="W4" s="3687"/>
      <c r="X4" s="1355"/>
      <c r="Y4" s="3702" t="s">
        <v>1671</v>
      </c>
      <c r="Z4" s="3703"/>
      <c r="AA4" s="3689" t="s">
        <v>1667</v>
      </c>
      <c r="AB4" s="3689" t="s">
        <v>1668</v>
      </c>
      <c r="AC4" s="3689" t="s">
        <v>1669</v>
      </c>
    </row>
    <row r="5" spans="1:29">
      <c r="A5" s="358"/>
      <c r="B5" s="359"/>
      <c r="C5" s="3710" t="s">
        <v>1672</v>
      </c>
      <c r="D5" s="3711"/>
      <c r="E5" s="3718" t="s">
        <v>1673</v>
      </c>
      <c r="F5" s="3719"/>
      <c r="G5" s="3710" t="s">
        <v>1674</v>
      </c>
      <c r="H5" s="3711"/>
      <c r="I5" s="3710" t="s">
        <v>1675</v>
      </c>
      <c r="J5" s="3711"/>
      <c r="K5" s="1890"/>
      <c r="L5" s="2710"/>
      <c r="M5" s="2711"/>
      <c r="N5" s="2711"/>
      <c r="O5" s="2711"/>
      <c r="P5" s="3698"/>
      <c r="Q5" s="3699"/>
      <c r="R5" s="3704"/>
      <c r="S5" s="3705"/>
      <c r="T5" s="3704"/>
      <c r="U5" s="3705"/>
      <c r="V5" s="3687"/>
      <c r="W5" s="3687"/>
      <c r="X5" s="1355"/>
      <c r="Y5" s="3704"/>
      <c r="Z5" s="3705"/>
      <c r="AA5" s="3690"/>
      <c r="AB5" s="3690"/>
      <c r="AC5" s="3690"/>
    </row>
    <row r="6" spans="1:29" ht="15" thickBot="1">
      <c r="A6" s="360"/>
      <c r="B6" s="361"/>
      <c r="C6" s="3708" t="s">
        <v>1676</v>
      </c>
      <c r="D6" s="3709"/>
      <c r="E6" s="3716" t="s">
        <v>1676</v>
      </c>
      <c r="F6" s="3717"/>
      <c r="G6" s="3708" t="s">
        <v>1676</v>
      </c>
      <c r="H6" s="3709"/>
      <c r="I6" s="3708" t="s">
        <v>1676</v>
      </c>
      <c r="J6" s="3709"/>
      <c r="K6" s="1890" t="s">
        <v>1677</v>
      </c>
      <c r="L6" s="2710"/>
      <c r="M6" s="2711"/>
      <c r="N6" s="2711"/>
      <c r="O6" s="2711"/>
      <c r="P6" s="3700"/>
      <c r="Q6" s="3701"/>
      <c r="R6" s="3704"/>
      <c r="S6" s="3705"/>
      <c r="T6" s="3706"/>
      <c r="U6" s="3707"/>
      <c r="V6" s="3687"/>
      <c r="W6" s="3687"/>
      <c r="X6" s="1355"/>
      <c r="Y6" s="3706"/>
      <c r="Z6" s="3707"/>
      <c r="AA6" s="3691"/>
      <c r="AB6" s="3691"/>
      <c r="AC6" s="3691"/>
    </row>
    <row r="7" spans="1:29" s="108" customFormat="1" ht="15" thickBot="1">
      <c r="A7" s="362" t="s">
        <v>1678</v>
      </c>
      <c r="B7" s="363"/>
      <c r="C7" s="364">
        <f>'数据-取费表'!B2</f>
        <v>44965</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12" t="s">
        <v>1679</v>
      </c>
      <c r="Q7" s="3714"/>
      <c r="R7" s="701" t="s">
        <v>20</v>
      </c>
      <c r="S7" s="702">
        <f t="shared" ref="S7:S15" si="0">F7</f>
        <v>0</v>
      </c>
      <c r="T7" s="701" t="s">
        <v>20</v>
      </c>
      <c r="U7" s="702">
        <f t="shared" ref="U7:U15" si="1">H7</f>
        <v>0</v>
      </c>
      <c r="V7" s="701" t="s">
        <v>20</v>
      </c>
      <c r="W7" s="702">
        <f t="shared" ref="W7:W15" si="2">J7</f>
        <v>0</v>
      </c>
      <c r="X7" s="703"/>
      <c r="Y7" s="3712" t="s">
        <v>1679</v>
      </c>
      <c r="Z7" s="3713"/>
      <c r="AA7" s="704" t="e">
        <f>D7/F7</f>
        <v>#DIV/0!</v>
      </c>
      <c r="AB7" s="704" t="e">
        <f>D7/H7</f>
        <v>#DIV/0!</v>
      </c>
      <c r="AC7" s="704" t="e">
        <f>D7/J7</f>
        <v>#DIV/0!</v>
      </c>
    </row>
    <row r="8" spans="1:29" s="108" customFormat="1" ht="1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12" t="s">
        <v>1682</v>
      </c>
      <c r="Q8" s="3713"/>
      <c r="R8" s="701" t="s">
        <v>20</v>
      </c>
      <c r="S8" s="702">
        <f t="shared" si="0"/>
        <v>100</v>
      </c>
      <c r="T8" s="701" t="s">
        <v>20</v>
      </c>
      <c r="U8" s="702">
        <f t="shared" si="1"/>
        <v>100</v>
      </c>
      <c r="V8" s="701" t="s">
        <v>20</v>
      </c>
      <c r="W8" s="702">
        <f t="shared" si="2"/>
        <v>100</v>
      </c>
      <c r="X8" s="703"/>
      <c r="Y8" s="3712" t="s">
        <v>1682</v>
      </c>
      <c r="Z8" s="3713"/>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688"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8.8">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4"/>
      <c r="M10" s="2715"/>
      <c r="N10" s="2715"/>
      <c r="O10" s="2715"/>
      <c r="P10" s="3688"/>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88"/>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688"/>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688"/>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688"/>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78" t="s">
        <v>1690</v>
      </c>
      <c r="Q15" s="1352" t="str">
        <f t="shared" si="6"/>
        <v>居住社区成熟度</v>
      </c>
      <c r="R15" s="705" t="s">
        <v>18</v>
      </c>
      <c r="S15" s="706">
        <f t="shared" si="0"/>
        <v>100</v>
      </c>
      <c r="T15" s="705" t="s">
        <v>18</v>
      </c>
      <c r="U15" s="706">
        <f t="shared" si="1"/>
        <v>100</v>
      </c>
      <c r="V15" s="705" t="s">
        <v>18</v>
      </c>
      <c r="W15" s="706">
        <f t="shared" si="2"/>
        <v>100</v>
      </c>
      <c r="X15" s="1355"/>
      <c r="Y15" s="368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679"/>
      <c r="Q16" s="1352"/>
      <c r="R16" s="705"/>
      <c r="S16" s="706"/>
      <c r="T16" s="705"/>
      <c r="U16" s="706"/>
      <c r="V16" s="705"/>
      <c r="W16" s="706"/>
      <c r="X16" s="1355"/>
      <c r="Y16" s="3681"/>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79"/>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679"/>
      <c r="Q18" s="1352"/>
      <c r="R18" s="705"/>
      <c r="S18" s="706"/>
      <c r="T18" s="705"/>
      <c r="U18" s="706"/>
      <c r="V18" s="705"/>
      <c r="W18" s="706"/>
      <c r="X18" s="1355"/>
      <c r="Y18" s="3681"/>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79"/>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679"/>
      <c r="Q20" s="1352"/>
      <c r="R20" s="705"/>
      <c r="S20" s="706"/>
      <c r="T20" s="705"/>
      <c r="U20" s="706"/>
      <c r="V20" s="705"/>
      <c r="W20" s="706"/>
      <c r="X20" s="1355"/>
      <c r="Y20" s="3681"/>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679"/>
      <c r="Q22" s="1352"/>
      <c r="R22" s="705"/>
      <c r="S22" s="706"/>
      <c r="T22" s="705"/>
      <c r="U22" s="706"/>
      <c r="V22" s="705"/>
      <c r="W22" s="706"/>
      <c r="X22" s="1355"/>
      <c r="Y22" s="3681"/>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79"/>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679"/>
      <c r="Q24" s="1352"/>
      <c r="R24" s="705"/>
      <c r="S24" s="706"/>
      <c r="T24" s="705"/>
      <c r="U24" s="706"/>
      <c r="V24" s="705"/>
      <c r="W24" s="706"/>
      <c r="X24" s="1355"/>
      <c r="Y24" s="368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679"/>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679"/>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679"/>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679"/>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679"/>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679"/>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682" t="s">
        <v>1695</v>
      </c>
      <c r="Q32" s="1352" t="str">
        <f t="shared" si="11"/>
        <v>建筑类型</v>
      </c>
      <c r="R32" s="705" t="s">
        <v>18</v>
      </c>
      <c r="S32" s="706">
        <f t="shared" si="12"/>
        <v>100</v>
      </c>
      <c r="T32" s="705" t="s">
        <v>18</v>
      </c>
      <c r="U32" s="706">
        <f t="shared" si="13"/>
        <v>100</v>
      </c>
      <c r="V32" s="705" t="s">
        <v>18</v>
      </c>
      <c r="W32" s="706">
        <f t="shared" si="14"/>
        <v>100</v>
      </c>
      <c r="X32" s="1355"/>
      <c r="Y32" s="368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683" t="s">
        <v>1695</v>
      </c>
      <c r="Q38" s="1352" t="str">
        <f t="shared" si="11"/>
        <v>物业管理</v>
      </c>
      <c r="R38" s="705" t="s">
        <v>18</v>
      </c>
      <c r="S38" s="706">
        <f t="shared" si="12"/>
        <v>100</v>
      </c>
      <c r="T38" s="705" t="s">
        <v>18</v>
      </c>
      <c r="U38" s="706">
        <f t="shared" si="13"/>
        <v>100</v>
      </c>
      <c r="V38" s="705" t="s">
        <v>18</v>
      </c>
      <c r="W38" s="706">
        <f t="shared" si="14"/>
        <v>100</v>
      </c>
      <c r="X38" s="1355"/>
      <c r="Y38" s="368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28.8">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4"/>
      <c r="L47" s="2719"/>
      <c r="M47" s="2720"/>
      <c r="N47" s="2711"/>
      <c r="O47" s="2720"/>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 thickBot="1">
      <c r="A48" s="437" t="s">
        <v>1708</v>
      </c>
      <c r="B48" s="438"/>
      <c r="C48" s="1160" t="e">
        <f>R49</f>
        <v>#DIV/0!</v>
      </c>
      <c r="D48" s="2317" t="s">
        <v>2137</v>
      </c>
      <c r="E48" s="1161" t="e">
        <f>R48</f>
        <v>#DIV/0!</v>
      </c>
      <c r="F48" s="2318"/>
      <c r="G48" s="1160" t="e">
        <f>T48</f>
        <v>#DIV/0!</v>
      </c>
      <c r="H48" s="2318"/>
      <c r="I48" s="1161" t="e">
        <f>V48</f>
        <v>#DIV/0!</v>
      </c>
      <c r="J48" s="2318"/>
      <c r="K48" s="2319">
        <f>F48+H48+J48</f>
        <v>0</v>
      </c>
      <c r="L48" s="2719"/>
      <c r="M48" s="2720"/>
      <c r="N48" s="2720"/>
      <c r="O48" s="2720"/>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5"/>
      <c r="L49" s="2719"/>
      <c r="M49" s="2720"/>
      <c r="N49" s="2720"/>
      <c r="O49" s="2720"/>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1684</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1687</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1139.1300000000001</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4.4">
      <c r="A4" s="355" t="s">
        <v>1768</v>
      </c>
      <c r="B4" s="356"/>
      <c r="C4" s="3692" t="s">
        <v>1769</v>
      </c>
      <c r="D4" s="3693"/>
      <c r="E4" s="3694" t="s">
        <v>1770</v>
      </c>
      <c r="F4" s="3695"/>
      <c r="G4" s="3692" t="s">
        <v>1771</v>
      </c>
      <c r="H4" s="3693"/>
      <c r="I4" s="3692" t="s">
        <v>1772</v>
      </c>
      <c r="J4" s="3693"/>
      <c r="K4" s="559" t="s">
        <v>1773</v>
      </c>
      <c r="L4" s="2710"/>
      <c r="M4" s="2711"/>
      <c r="N4" s="2711"/>
      <c r="O4" s="2711"/>
      <c r="P4" s="3774" t="s">
        <v>1774</v>
      </c>
      <c r="Q4" s="3775"/>
      <c r="R4" s="3778" t="s">
        <v>1770</v>
      </c>
      <c r="S4" s="3779"/>
      <c r="T4" s="3778" t="s">
        <v>1771</v>
      </c>
      <c r="U4" s="3779"/>
      <c r="V4" s="3780" t="s">
        <v>1772</v>
      </c>
      <c r="W4" s="3780"/>
      <c r="X4" s="1958"/>
      <c r="Y4" s="3778" t="s">
        <v>1774</v>
      </c>
      <c r="Z4" s="3779"/>
      <c r="AA4" s="3782" t="s">
        <v>1770</v>
      </c>
      <c r="AB4" s="3782" t="s">
        <v>1771</v>
      </c>
      <c r="AC4" s="3771" t="s">
        <v>1772</v>
      </c>
    </row>
    <row r="5" spans="1:29">
      <c r="A5" s="358"/>
      <c r="B5" s="359"/>
      <c r="C5" s="3710" t="s">
        <v>1672</v>
      </c>
      <c r="D5" s="3711"/>
      <c r="E5" s="3718" t="s">
        <v>1673</v>
      </c>
      <c r="F5" s="3719"/>
      <c r="G5" s="3710" t="s">
        <v>1674</v>
      </c>
      <c r="H5" s="3711"/>
      <c r="I5" s="3710" t="s">
        <v>1675</v>
      </c>
      <c r="J5" s="3711"/>
      <c r="K5" s="559"/>
      <c r="L5" s="2710"/>
      <c r="M5" s="2711"/>
      <c r="N5" s="2711"/>
      <c r="O5" s="2711"/>
      <c r="P5" s="3776"/>
      <c r="Q5" s="3699"/>
      <c r="R5" s="3704"/>
      <c r="S5" s="3705"/>
      <c r="T5" s="3704"/>
      <c r="U5" s="3705"/>
      <c r="V5" s="3687"/>
      <c r="W5" s="3687"/>
      <c r="X5" s="1355"/>
      <c r="Y5" s="3704"/>
      <c r="Z5" s="3705"/>
      <c r="AA5" s="3690"/>
      <c r="AB5" s="3690"/>
      <c r="AC5" s="3772"/>
    </row>
    <row r="6" spans="1:29" ht="15" thickBot="1">
      <c r="A6" s="360"/>
      <c r="B6" s="361"/>
      <c r="C6" s="3708" t="s">
        <v>1676</v>
      </c>
      <c r="D6" s="3709"/>
      <c r="E6" s="3716" t="s">
        <v>1676</v>
      </c>
      <c r="F6" s="3717"/>
      <c r="G6" s="3708" t="s">
        <v>1676</v>
      </c>
      <c r="H6" s="3709"/>
      <c r="I6" s="3708" t="s">
        <v>1676</v>
      </c>
      <c r="J6" s="3709"/>
      <c r="K6" s="559" t="s">
        <v>1677</v>
      </c>
      <c r="L6" s="2710"/>
      <c r="M6" s="2711"/>
      <c r="N6" s="2711"/>
      <c r="O6" s="2711"/>
      <c r="P6" s="3777"/>
      <c r="Q6" s="3701"/>
      <c r="R6" s="3704"/>
      <c r="S6" s="3705"/>
      <c r="T6" s="3706"/>
      <c r="U6" s="3707"/>
      <c r="V6" s="3687"/>
      <c r="W6" s="3687"/>
      <c r="X6" s="1355"/>
      <c r="Y6" s="3706"/>
      <c r="Z6" s="3707"/>
      <c r="AA6" s="3691"/>
      <c r="AB6" s="3691"/>
      <c r="AC6" s="3773"/>
    </row>
    <row r="7" spans="1:29" s="108" customFormat="1" ht="15" thickBot="1">
      <c r="A7" s="362" t="s">
        <v>1678</v>
      </c>
      <c r="B7" s="363"/>
      <c r="C7" s="364">
        <f>'数据-取费表'!B2</f>
        <v>44965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1"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1959"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1" t="s">
        <v>1682</v>
      </c>
      <c r="Q8" s="3713"/>
      <c r="R8" s="701" t="s">
        <v>14</v>
      </c>
      <c r="S8" s="702">
        <f t="shared" si="0"/>
        <v>100</v>
      </c>
      <c r="T8" s="701" t="s">
        <v>14</v>
      </c>
      <c r="U8" s="702">
        <f t="shared" si="1"/>
        <v>100</v>
      </c>
      <c r="V8" s="701" t="s">
        <v>14</v>
      </c>
      <c r="W8" s="702">
        <f t="shared" si="2"/>
        <v>100</v>
      </c>
      <c r="X8" s="703"/>
      <c r="Y8" s="3712" t="s">
        <v>1682</v>
      </c>
      <c r="Z8" s="3713"/>
      <c r="AA8" s="704">
        <f t="shared" ref="AA8:AA47" si="3">D8/F8</f>
        <v>1</v>
      </c>
      <c r="AB8" s="704">
        <f t="shared" ref="AB8:AB47" si="4">D8/H8</f>
        <v>1</v>
      </c>
      <c r="AC8" s="1959">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88"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1959">
        <f t="shared" si="5"/>
        <v>1</v>
      </c>
    </row>
    <row r="10" spans="1:29" s="378" customFormat="1" ht="28.8">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88"/>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88"/>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688"/>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688"/>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688"/>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15">
      <c r="A15" s="391" t="s">
        <v>1689</v>
      </c>
      <c r="B15" s="577" t="s">
        <v>1810</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78" t="s">
        <v>1690</v>
      </c>
      <c r="Q15" s="1352" t="str">
        <f t="shared" si="6"/>
        <v>办公集聚程度</v>
      </c>
      <c r="R15" s="705" t="s">
        <v>14</v>
      </c>
      <c r="S15" s="706">
        <f t="shared" si="0"/>
        <v>100</v>
      </c>
      <c r="T15" s="705" t="s">
        <v>14</v>
      </c>
      <c r="U15" s="706">
        <f t="shared" si="1"/>
        <v>100</v>
      </c>
      <c r="V15" s="705" t="s">
        <v>14</v>
      </c>
      <c r="W15" s="706">
        <f t="shared" si="2"/>
        <v>100</v>
      </c>
      <c r="X15" s="1355"/>
      <c r="Y15" s="3680"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679"/>
      <c r="Q16" s="1352"/>
      <c r="R16" s="705"/>
      <c r="S16" s="706"/>
      <c r="T16" s="705"/>
      <c r="U16" s="706"/>
      <c r="V16" s="705"/>
      <c r="W16" s="706"/>
      <c r="X16" s="1355"/>
      <c r="Y16" s="3681"/>
      <c r="Z16" s="1356"/>
      <c r="AA16" s="1353">
        <v>1</v>
      </c>
      <c r="AB16" s="1353">
        <v>1</v>
      </c>
      <c r="AC16" s="1962">
        <v>1</v>
      </c>
    </row>
    <row r="17" spans="1:29" ht="15">
      <c r="A17" s="379"/>
      <c r="B17" s="579" t="s">
        <v>1258</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679"/>
      <c r="Q18" s="1352"/>
      <c r="R18" s="705"/>
      <c r="S18" s="706"/>
      <c r="T18" s="705"/>
      <c r="U18" s="706"/>
      <c r="V18" s="705"/>
      <c r="W18" s="706"/>
      <c r="X18" s="1355"/>
      <c r="Y18" s="3681"/>
      <c r="Z18" s="1356"/>
      <c r="AA18" s="1353">
        <v>1</v>
      </c>
      <c r="AB18" s="1353">
        <v>1</v>
      </c>
      <c r="AC18" s="1962">
        <v>1</v>
      </c>
    </row>
    <row r="19" spans="1:29" ht="15">
      <c r="A19" s="379"/>
      <c r="B19" s="579" t="s">
        <v>1811</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679"/>
      <c r="Q20" s="1352"/>
      <c r="R20" s="705"/>
      <c r="S20" s="706"/>
      <c r="T20" s="705"/>
      <c r="U20" s="706"/>
      <c r="V20" s="705"/>
      <c r="W20" s="706"/>
      <c r="X20" s="1355"/>
      <c r="Y20" s="3681"/>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679"/>
      <c r="Q22" s="1352"/>
      <c r="R22" s="705"/>
      <c r="S22" s="706"/>
      <c r="T22" s="705"/>
      <c r="U22" s="706"/>
      <c r="V22" s="705"/>
      <c r="W22" s="706"/>
      <c r="X22" s="1355"/>
      <c r="Y22" s="3681"/>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79"/>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679"/>
      <c r="Q24" s="1352"/>
      <c r="R24" s="705"/>
      <c r="S24" s="706"/>
      <c r="T24" s="705"/>
      <c r="U24" s="706"/>
      <c r="V24" s="705"/>
      <c r="W24" s="706"/>
      <c r="X24" s="1355"/>
      <c r="Y24" s="3681"/>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679"/>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679"/>
      <c r="Q26" s="1352"/>
      <c r="R26" s="705"/>
      <c r="S26" s="706"/>
      <c r="T26" s="705"/>
      <c r="U26" s="706"/>
      <c r="V26" s="705"/>
      <c r="W26" s="706"/>
      <c r="X26" s="1355"/>
      <c r="Y26" s="368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79"/>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679"/>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679"/>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682" t="s">
        <v>1695</v>
      </c>
      <c r="Q33" s="1352" t="str">
        <f t="shared" si="11"/>
        <v>建筑类型</v>
      </c>
      <c r="R33" s="705" t="s">
        <v>14</v>
      </c>
      <c r="S33" s="706">
        <f t="shared" si="12"/>
        <v>100</v>
      </c>
      <c r="T33" s="705" t="s">
        <v>14</v>
      </c>
      <c r="U33" s="706">
        <f t="shared" si="13"/>
        <v>100</v>
      </c>
      <c r="V33" s="705" t="s">
        <v>14</v>
      </c>
      <c r="W33" s="706">
        <f t="shared" si="14"/>
        <v>100</v>
      </c>
      <c r="X33" s="1355"/>
      <c r="Y33" s="3685"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83"/>
      <c r="Q34" s="707" t="str">
        <f t="shared" si="11"/>
        <v>项目建筑规模</v>
      </c>
      <c r="R34" s="708" t="s">
        <v>14</v>
      </c>
      <c r="S34" s="709" t="e">
        <f t="shared" si="12"/>
        <v>#N/A</v>
      </c>
      <c r="T34" s="708" t="s">
        <v>14</v>
      </c>
      <c r="U34" s="709" t="e">
        <f t="shared" si="13"/>
        <v>#N/A</v>
      </c>
      <c r="V34" s="708" t="s">
        <v>14</v>
      </c>
      <c r="W34" s="709" t="e">
        <f t="shared" si="14"/>
        <v>#N/A</v>
      </c>
      <c r="X34" s="710"/>
      <c r="Y34" s="3685"/>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83"/>
      <c r="Q37" s="1352" t="str">
        <f t="shared" si="11"/>
        <v>成新度</v>
      </c>
      <c r="R37" s="705" t="s">
        <v>14</v>
      </c>
      <c r="S37" s="706" t="e">
        <f t="shared" si="12"/>
        <v>#N/A</v>
      </c>
      <c r="T37" s="705" t="s">
        <v>14</v>
      </c>
      <c r="U37" s="706" t="e">
        <f t="shared" si="13"/>
        <v>#N/A</v>
      </c>
      <c r="V37" s="705" t="s">
        <v>14</v>
      </c>
      <c r="W37" s="706" t="e">
        <f t="shared" si="14"/>
        <v>#N/A</v>
      </c>
      <c r="X37" s="1355"/>
      <c r="Y37" s="368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83" t="s">
        <v>1695</v>
      </c>
      <c r="Q39" s="1352" t="str">
        <f t="shared" si="11"/>
        <v>物业管理</v>
      </c>
      <c r="R39" s="705" t="s">
        <v>14</v>
      </c>
      <c r="S39" s="706">
        <f t="shared" si="12"/>
        <v>100</v>
      </c>
      <c r="T39" s="705" t="s">
        <v>14</v>
      </c>
      <c r="U39" s="706">
        <f t="shared" si="13"/>
        <v>100</v>
      </c>
      <c r="V39" s="705" t="s">
        <v>14</v>
      </c>
      <c r="W39" s="706">
        <f t="shared" si="14"/>
        <v>100</v>
      </c>
      <c r="X39" s="1355"/>
      <c r="Y39" s="3685"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19"/>
      <c r="M48" s="2711"/>
      <c r="N48" s="2711"/>
      <c r="O48" s="2711"/>
      <c r="P48" s="3688" t="str">
        <f>A48</f>
        <v>成交单价（元/平方米）</v>
      </c>
      <c r="Q48" s="3673"/>
      <c r="R48" s="3674">
        <f>E48</f>
        <v>0</v>
      </c>
      <c r="S48" s="3674"/>
      <c r="T48" s="3674">
        <f>G48</f>
        <v>0</v>
      </c>
      <c r="U48" s="3674"/>
      <c r="V48" s="3674">
        <f>I48</f>
        <v>0</v>
      </c>
      <c r="W48" s="3674"/>
      <c r="X48" s="397"/>
      <c r="Y48" s="712"/>
      <c r="Z48" s="397"/>
      <c r="AA48" s="397"/>
      <c r="AB48" s="397"/>
      <c r="AC48" s="578"/>
    </row>
    <row r="49" spans="1:29" ht="15" thickBot="1">
      <c r="A49" s="437" t="s">
        <v>1792</v>
      </c>
      <c r="B49" s="438"/>
      <c r="C49" s="1160" t="e">
        <f>R50</f>
        <v>#DIV/0!</v>
      </c>
      <c r="D49" s="2317" t="s">
        <v>2137</v>
      </c>
      <c r="E49" s="1161" t="e">
        <f>R49</f>
        <v>#DIV/0!</v>
      </c>
      <c r="F49" s="2318"/>
      <c r="G49" s="1160" t="e">
        <f>T49</f>
        <v>#DIV/0!</v>
      </c>
      <c r="H49" s="2318"/>
      <c r="I49" s="1161" t="e">
        <f>V49</f>
        <v>#DIV/0!</v>
      </c>
      <c r="J49" s="2318"/>
      <c r="K49" s="2320">
        <f>F49+H49+J49</f>
        <v>0</v>
      </c>
      <c r="L49" s="2719"/>
      <c r="M49" s="2711"/>
      <c r="N49" s="2711"/>
      <c r="O49" s="2711"/>
      <c r="P49" s="3688"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19"/>
      <c r="M50" s="2711"/>
      <c r="N50" s="2711"/>
      <c r="O50" s="2711"/>
      <c r="P50" s="3768" t="str">
        <f>A50</f>
        <v>估价对象XX用房的比较价值（楼面单价，元/平方米）</v>
      </c>
      <c r="Q50" s="3769"/>
      <c r="R50" s="3770" t="e">
        <f>IF(F1="售价",ROUND(IF(D49="简单平均",AVERAGE(R49:V49),R49*F49+T49*H49+V49*J49),0),ROUND(IF(D49="简单平均",AVERAGE(R49:V49),R49*F49+T49*H49+V49*J49),1))</f>
        <v>#DIV/0!</v>
      </c>
      <c r="S50" s="3770"/>
      <c r="T50" s="3770"/>
      <c r="U50" s="3770"/>
      <c r="V50" s="3770"/>
      <c r="W50" s="3770"/>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2.2" thickBot="1">
      <c r="A58" s="694" t="s">
        <v>1797</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4.4">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4"/>
      <c r="Q59" s="2736"/>
      <c r="R59" s="2736"/>
      <c r="S59" s="2736"/>
      <c r="T59" s="2736"/>
      <c r="U59" s="2736"/>
      <c r="V59" s="2736"/>
      <c r="W59" s="2736"/>
      <c r="X59" s="2736"/>
      <c r="Y59" s="2736"/>
      <c r="Z59" s="2736"/>
      <c r="AA59" s="2736"/>
      <c r="AB59" s="2736"/>
      <c r="AC59" s="2736"/>
    </row>
    <row r="60" spans="1:29" s="108" customFormat="1">
      <c r="A60" s="458"/>
      <c r="B60" s="459"/>
      <c r="C60" s="1183">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 thickBot="1">
      <c r="A61" s="464" t="s">
        <v>1715</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4.4">
      <c r="A62" s="470" t="s">
        <v>1680</v>
      </c>
      <c r="B62" s="459"/>
      <c r="C62" s="471" t="s">
        <v>1775</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4.4"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ht="14.4">
      <c r="A64" s="476" t="s">
        <v>1718</v>
      </c>
      <c r="B64" s="477" t="s">
        <v>1684</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4.4"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9.4" thickTop="1">
      <c r="A66" s="483"/>
      <c r="B66" s="487" t="s">
        <v>1687</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4.4"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4.4"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4.4"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4.4"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4.4"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4.4"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4.4"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ht="14.4">
      <c r="A77" s="476" t="s">
        <v>1689</v>
      </c>
      <c r="B77" s="477" t="s">
        <v>1820</v>
      </c>
      <c r="C77" s="522" t="s">
        <v>1720</v>
      </c>
      <c r="D77" s="522" t="s">
        <v>1721</v>
      </c>
      <c r="E77" s="522" t="s">
        <v>1722</v>
      </c>
      <c r="F77" s="522" t="s">
        <v>1723</v>
      </c>
      <c r="G77" s="522" t="s">
        <v>1724</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 thickTop="1">
      <c r="A79" s="483"/>
      <c r="B79" s="487" t="s">
        <v>1725</v>
      </c>
      <c r="C79" s="527" t="s">
        <v>1720</v>
      </c>
      <c r="D79" s="527" t="s">
        <v>1721</v>
      </c>
      <c r="E79" s="527" t="s">
        <v>1722</v>
      </c>
      <c r="F79" s="527" t="s">
        <v>1723</v>
      </c>
      <c r="G79" s="527" t="s">
        <v>1724</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 thickTop="1">
      <c r="A81" s="483"/>
      <c r="B81" s="487" t="s">
        <v>1726</v>
      </c>
      <c r="C81" s="527" t="s">
        <v>1720</v>
      </c>
      <c r="D81" s="527" t="s">
        <v>1721</v>
      </c>
      <c r="E81" s="527" t="s">
        <v>1722</v>
      </c>
      <c r="F81" s="527" t="s">
        <v>1723</v>
      </c>
      <c r="G81" s="527" t="s">
        <v>1724</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 thickTop="1">
      <c r="A83" s="483"/>
      <c r="B83" s="495" t="s">
        <v>1812</v>
      </c>
      <c r="C83" s="608" t="s">
        <v>1798</v>
      </c>
      <c r="D83" s="608" t="s">
        <v>1799</v>
      </c>
      <c r="E83" s="608" t="s">
        <v>1800</v>
      </c>
      <c r="F83" s="608" t="s">
        <v>1801</v>
      </c>
      <c r="G83" s="608" t="s">
        <v>1802</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 thickTop="1">
      <c r="A85" s="483"/>
      <c r="B85" s="487" t="s">
        <v>1821</v>
      </c>
      <c r="C85" s="527" t="s">
        <v>1720</v>
      </c>
      <c r="D85" s="527" t="s">
        <v>1721</v>
      </c>
      <c r="E85" s="527" t="s">
        <v>1722</v>
      </c>
      <c r="F85" s="527" t="s">
        <v>1723</v>
      </c>
      <c r="G85" s="527" t="s">
        <v>1724</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9.4" thickTop="1">
      <c r="A87" s="528"/>
      <c r="B87" s="487" t="s">
        <v>1822</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4.4" thickTop="1">
      <c r="A89" s="528"/>
      <c r="B89" s="487" t="str">
        <f>B27</f>
        <v>楼层</v>
      </c>
      <c r="C89" s="503"/>
      <c r="D89" s="503"/>
      <c r="E89" s="503"/>
      <c r="F89" s="1927"/>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4.4"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4.4"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4.4"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4.4"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4.4"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4.4"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4.4" thickBot="1">
      <c r="A100" s="1928"/>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ht="14.4">
      <c r="A101" s="476" t="s">
        <v>1693</v>
      </c>
      <c r="B101" s="477" t="s">
        <v>1735</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4.4"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1737</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1739</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1823</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1740</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1741</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1824</v>
      </c>
      <c r="C119" s="532"/>
      <c r="D119" s="532"/>
      <c r="E119" s="532"/>
      <c r="F119" s="532"/>
      <c r="G119" s="532"/>
      <c r="H119" s="532"/>
      <c r="I119" s="532"/>
      <c r="J119" s="532"/>
      <c r="K119" s="532"/>
      <c r="L119" s="1968"/>
      <c r="M119" s="1969"/>
      <c r="N119" s="2749"/>
      <c r="O119" s="2749"/>
      <c r="P119" s="2762"/>
      <c r="Q119" s="2763"/>
      <c r="R119" s="2720"/>
      <c r="S119" s="2720"/>
      <c r="T119" s="2720"/>
      <c r="U119" s="2720"/>
      <c r="V119" s="2720"/>
      <c r="W119" s="2720"/>
      <c r="X119" s="2720"/>
      <c r="Y119" s="2720"/>
      <c r="Z119" s="2720"/>
      <c r="AA119" s="2720"/>
      <c r="AB119" s="2720"/>
      <c r="AC119" s="2720"/>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1807</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4.4"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1743</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4.4"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4.4"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4.4"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4.4"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4.4"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4.4" thickBot="1">
      <c r="A132" s="1928"/>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1139.1300000000001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692" t="s">
        <v>1769</v>
      </c>
      <c r="D4" s="3693"/>
      <c r="E4" s="3694" t="s">
        <v>1770</v>
      </c>
      <c r="F4" s="3695"/>
      <c r="G4" s="3692" t="s">
        <v>1771</v>
      </c>
      <c r="H4" s="3693"/>
      <c r="I4" s="3692" t="s">
        <v>1772</v>
      </c>
      <c r="J4" s="3693"/>
      <c r="K4" s="559" t="s">
        <v>1773</v>
      </c>
      <c r="L4" s="913"/>
      <c r="M4" s="914"/>
      <c r="N4" s="914"/>
      <c r="O4" s="914"/>
      <c r="P4" s="3696" t="s">
        <v>1774</v>
      </c>
      <c r="Q4" s="3697"/>
      <c r="R4" s="3702" t="s">
        <v>1770</v>
      </c>
      <c r="S4" s="3703"/>
      <c r="T4" s="3702" t="s">
        <v>1771</v>
      </c>
      <c r="U4" s="3703"/>
      <c r="V4" s="3687" t="s">
        <v>1772</v>
      </c>
      <c r="W4" s="3687"/>
      <c r="X4" s="1355"/>
      <c r="Y4" s="3702" t="s">
        <v>1774</v>
      </c>
      <c r="Z4" s="3703"/>
      <c r="AA4" s="3689" t="s">
        <v>1770</v>
      </c>
      <c r="AB4" s="3690" t="s">
        <v>1771</v>
      </c>
      <c r="AC4" s="3689" t="s">
        <v>1772</v>
      </c>
    </row>
    <row r="5" spans="1:29">
      <c r="A5" s="358"/>
      <c r="B5" s="359"/>
      <c r="C5" s="3710" t="s">
        <v>1672</v>
      </c>
      <c r="D5" s="3711"/>
      <c r="E5" s="3718" t="s">
        <v>1673</v>
      </c>
      <c r="F5" s="3719"/>
      <c r="G5" s="3710" t="s">
        <v>1674</v>
      </c>
      <c r="H5" s="3711"/>
      <c r="I5" s="3710" t="s">
        <v>1675</v>
      </c>
      <c r="J5" s="3711"/>
      <c r="K5" s="559"/>
      <c r="L5" s="913"/>
      <c r="M5" s="914"/>
      <c r="N5" s="914"/>
      <c r="O5" s="914"/>
      <c r="P5" s="3698"/>
      <c r="Q5" s="3699"/>
      <c r="R5" s="3704"/>
      <c r="S5" s="3705"/>
      <c r="T5" s="3704"/>
      <c r="U5" s="3705"/>
      <c r="V5" s="3687"/>
      <c r="W5" s="3687"/>
      <c r="X5" s="1355"/>
      <c r="Y5" s="3704"/>
      <c r="Z5" s="3705"/>
      <c r="AA5" s="3690"/>
      <c r="AB5" s="3690"/>
      <c r="AC5" s="3690"/>
    </row>
    <row r="6" spans="1:29" ht="15" thickBot="1">
      <c r="A6" s="360"/>
      <c r="B6" s="361"/>
      <c r="C6" s="3708" t="s">
        <v>1676</v>
      </c>
      <c r="D6" s="3709"/>
      <c r="E6" s="3716" t="s">
        <v>1676</v>
      </c>
      <c r="F6" s="3717"/>
      <c r="G6" s="3708" t="s">
        <v>1676</v>
      </c>
      <c r="H6" s="3709"/>
      <c r="I6" s="3708" t="s">
        <v>1676</v>
      </c>
      <c r="J6" s="3709"/>
      <c r="K6" s="559" t="s">
        <v>1677</v>
      </c>
      <c r="L6" s="913"/>
      <c r="M6" s="914"/>
      <c r="N6" s="914"/>
      <c r="O6" s="914"/>
      <c r="P6" s="3700"/>
      <c r="Q6" s="3701"/>
      <c r="R6" s="3704"/>
      <c r="S6" s="3705"/>
      <c r="T6" s="3706"/>
      <c r="U6" s="3707"/>
      <c r="V6" s="3687"/>
      <c r="W6" s="3687"/>
      <c r="X6" s="1355"/>
      <c r="Y6" s="3706"/>
      <c r="Z6" s="3707"/>
      <c r="AA6" s="3691"/>
      <c r="AB6" s="3691"/>
      <c r="AC6" s="3691"/>
    </row>
    <row r="7" spans="1:29" s="108" customFormat="1" ht="15" thickBot="1">
      <c r="A7" s="362" t="s">
        <v>1678</v>
      </c>
      <c r="B7" s="363"/>
      <c r="C7" s="364">
        <f>'数据-取费表'!B2</f>
        <v>44965</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1682</v>
      </c>
      <c r="Q8" s="3713"/>
      <c r="R8" s="701" t="s">
        <v>14</v>
      </c>
      <c r="S8" s="702">
        <f t="shared" si="0"/>
        <v>100</v>
      </c>
      <c r="T8" s="701" t="s">
        <v>14</v>
      </c>
      <c r="U8" s="702">
        <f t="shared" si="1"/>
        <v>100</v>
      </c>
      <c r="V8" s="701" t="s">
        <v>14</v>
      </c>
      <c r="W8" s="702">
        <f t="shared" si="2"/>
        <v>100</v>
      </c>
      <c r="X8" s="703"/>
      <c r="Y8" s="3712" t="s">
        <v>1682</v>
      </c>
      <c r="Z8" s="3713"/>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8.8">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1690</v>
      </c>
      <c r="Q15" s="1352" t="str">
        <f t="shared" si="6"/>
        <v>产业集聚程度</v>
      </c>
      <c r="R15" s="705" t="s">
        <v>14</v>
      </c>
      <c r="S15" s="706">
        <f t="shared" si="0"/>
        <v>100</v>
      </c>
      <c r="T15" s="705" t="s">
        <v>14</v>
      </c>
      <c r="U15" s="706">
        <f t="shared" si="1"/>
        <v>100</v>
      </c>
      <c r="V15" s="705" t="s">
        <v>14</v>
      </c>
      <c r="W15" s="706">
        <f t="shared" si="2"/>
        <v>100</v>
      </c>
      <c r="X15" s="1355"/>
      <c r="Y15" s="368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3" t="s">
        <v>1695</v>
      </c>
      <c r="Q29" s="1352" t="str">
        <f t="shared" si="11"/>
        <v>建筑类型</v>
      </c>
      <c r="R29" s="705" t="s">
        <v>14</v>
      </c>
      <c r="S29" s="706">
        <f t="shared" si="12"/>
        <v>100</v>
      </c>
      <c r="T29" s="705" t="s">
        <v>14</v>
      </c>
      <c r="U29" s="706">
        <f t="shared" si="13"/>
        <v>100</v>
      </c>
      <c r="V29" s="705" t="s">
        <v>14</v>
      </c>
      <c r="W29" s="706">
        <f t="shared" si="14"/>
        <v>100</v>
      </c>
      <c r="X29" s="1355"/>
      <c r="Y29" s="368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1695</v>
      </c>
      <c r="Q35" s="1352" t="str">
        <f t="shared" si="11"/>
        <v>市政基础设施</v>
      </c>
      <c r="R35" s="705" t="s">
        <v>14</v>
      </c>
      <c r="S35" s="706">
        <f t="shared" si="12"/>
        <v>100</v>
      </c>
      <c r="T35" s="705" t="s">
        <v>14</v>
      </c>
      <c r="U35" s="706">
        <f t="shared" si="13"/>
        <v>100</v>
      </c>
      <c r="V35" s="705" t="s">
        <v>14</v>
      </c>
      <c r="W35" s="706">
        <f t="shared" si="14"/>
        <v>100</v>
      </c>
      <c r="X35" s="1355"/>
      <c r="Y35" s="368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5"/>
      <c r="O54" s="2766"/>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4.4">
      <c r="A4" s="355" t="s">
        <v>1768</v>
      </c>
      <c r="B4" s="356"/>
      <c r="C4" s="3692" t="s">
        <v>1769</v>
      </c>
      <c r="D4" s="3693"/>
      <c r="E4" s="3694" t="s">
        <v>1770</v>
      </c>
      <c r="F4" s="3695"/>
      <c r="G4" s="3692" t="s">
        <v>1771</v>
      </c>
      <c r="H4" s="3693"/>
      <c r="I4" s="3692" t="s">
        <v>1772</v>
      </c>
      <c r="J4" s="3693"/>
      <c r="K4" s="559" t="s">
        <v>1773</v>
      </c>
      <c r="L4" s="2710"/>
      <c r="M4" s="2711"/>
      <c r="N4" s="2711"/>
      <c r="O4" s="2711"/>
      <c r="P4" s="3696" t="s">
        <v>1774</v>
      </c>
      <c r="Q4" s="3697"/>
      <c r="R4" s="3702" t="s">
        <v>1770</v>
      </c>
      <c r="S4" s="3703"/>
      <c r="T4" s="3702" t="s">
        <v>1771</v>
      </c>
      <c r="U4" s="3703"/>
      <c r="V4" s="3687" t="s">
        <v>1772</v>
      </c>
      <c r="W4" s="3687"/>
      <c r="X4" s="1355"/>
      <c r="Y4" s="3702" t="s">
        <v>1774</v>
      </c>
      <c r="Z4" s="3703"/>
      <c r="AA4" s="3689" t="s">
        <v>1770</v>
      </c>
      <c r="AB4" s="3690" t="s">
        <v>1771</v>
      </c>
      <c r="AC4" s="3689" t="s">
        <v>1772</v>
      </c>
    </row>
    <row r="5" spans="1:29">
      <c r="A5" s="358"/>
      <c r="B5" s="359"/>
      <c r="C5" s="3710" t="s">
        <v>1672</v>
      </c>
      <c r="D5" s="3711"/>
      <c r="E5" s="3718" t="s">
        <v>1673</v>
      </c>
      <c r="F5" s="3719"/>
      <c r="G5" s="3710" t="s">
        <v>1674</v>
      </c>
      <c r="H5" s="3711"/>
      <c r="I5" s="3710" t="s">
        <v>1675</v>
      </c>
      <c r="J5" s="3711"/>
      <c r="K5" s="559"/>
      <c r="L5" s="2710"/>
      <c r="M5" s="2711"/>
      <c r="N5" s="2711"/>
      <c r="O5" s="2711"/>
      <c r="P5" s="3698"/>
      <c r="Q5" s="3699"/>
      <c r="R5" s="3704"/>
      <c r="S5" s="3705"/>
      <c r="T5" s="3704"/>
      <c r="U5" s="3705"/>
      <c r="V5" s="3687"/>
      <c r="W5" s="3687"/>
      <c r="X5" s="1355"/>
      <c r="Y5" s="3704"/>
      <c r="Z5" s="3705"/>
      <c r="AA5" s="3690"/>
      <c r="AB5" s="3690"/>
      <c r="AC5" s="3690"/>
    </row>
    <row r="6" spans="1:29" ht="15" thickBot="1">
      <c r="A6" s="360"/>
      <c r="B6" s="361"/>
      <c r="C6" s="3708" t="s">
        <v>1676</v>
      </c>
      <c r="D6" s="3709"/>
      <c r="E6" s="3716" t="s">
        <v>1676</v>
      </c>
      <c r="F6" s="3717"/>
      <c r="G6" s="3708" t="s">
        <v>1676</v>
      </c>
      <c r="H6" s="3709"/>
      <c r="I6" s="3708" t="s">
        <v>1676</v>
      </c>
      <c r="J6" s="3709"/>
      <c r="K6" s="559" t="s">
        <v>1677</v>
      </c>
      <c r="L6" s="2710"/>
      <c r="M6" s="2711"/>
      <c r="N6" s="2711"/>
      <c r="O6" s="2711"/>
      <c r="P6" s="3700"/>
      <c r="Q6" s="3701"/>
      <c r="R6" s="3704"/>
      <c r="S6" s="3705"/>
      <c r="T6" s="3706"/>
      <c r="U6" s="3707"/>
      <c r="V6" s="3687"/>
      <c r="W6" s="3687"/>
      <c r="X6" s="1355"/>
      <c r="Y6" s="3706"/>
      <c r="Z6" s="3707"/>
      <c r="AA6" s="3691"/>
      <c r="AB6" s="3691"/>
      <c r="AC6" s="3691"/>
    </row>
    <row r="7" spans="1:29" s="108" customFormat="1" ht="15" thickBot="1">
      <c r="A7" s="362" t="s">
        <v>1678</v>
      </c>
      <c r="B7" s="363"/>
      <c r="C7" s="364">
        <f>'数据-取费表'!B2</f>
        <v>44965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2" t="s">
        <v>1679</v>
      </c>
      <c r="Q7" s="3714"/>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73" t="s">
        <v>1685</v>
      </c>
      <c r="Q9" s="1343" t="str">
        <f t="shared" ref="Q9:Q14" si="6">B9</f>
        <v>用途</v>
      </c>
      <c r="R9" s="701" t="s">
        <v>14</v>
      </c>
      <c r="S9" s="702">
        <f t="shared" si="0"/>
        <v>100</v>
      </c>
      <c r="T9" s="701" t="s">
        <v>14</v>
      </c>
      <c r="U9" s="702">
        <f t="shared" si="1"/>
        <v>100</v>
      </c>
      <c r="V9" s="701" t="s">
        <v>14</v>
      </c>
      <c r="W9" s="702">
        <f t="shared" si="2"/>
        <v>100</v>
      </c>
      <c r="X9" s="703"/>
      <c r="Y9" s="3580" t="s">
        <v>1686</v>
      </c>
      <c r="Z9" s="52" t="str">
        <f t="shared" ref="Z9:Z14" si="7">Q9</f>
        <v>用途</v>
      </c>
      <c r="AA9" s="704">
        <f t="shared" si="3"/>
        <v>1</v>
      </c>
      <c r="AB9" s="704">
        <f t="shared" si="4"/>
        <v>1</v>
      </c>
      <c r="AC9" s="704">
        <f t="shared" si="5"/>
        <v>1</v>
      </c>
    </row>
    <row r="10" spans="1:29" s="378" customFormat="1" ht="28.8">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73"/>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73"/>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73"/>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73"/>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80" t="s">
        <v>1690</v>
      </c>
      <c r="Q14" s="1352" t="str">
        <f t="shared" si="6"/>
        <v>交通便捷度</v>
      </c>
      <c r="R14" s="705" t="s">
        <v>14</v>
      </c>
      <c r="S14" s="706">
        <f t="shared" si="0"/>
        <v>100</v>
      </c>
      <c r="T14" s="705" t="s">
        <v>14</v>
      </c>
      <c r="U14" s="706">
        <f t="shared" si="1"/>
        <v>100</v>
      </c>
      <c r="V14" s="705" t="s">
        <v>14</v>
      </c>
      <c r="W14" s="706">
        <f t="shared" si="2"/>
        <v>100</v>
      </c>
      <c r="X14" s="1355"/>
      <c r="Y14" s="368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681"/>
      <c r="Q15" s="1352"/>
      <c r="R15" s="705"/>
      <c r="S15" s="706"/>
      <c r="T15" s="705"/>
      <c r="U15" s="706"/>
      <c r="V15" s="705"/>
      <c r="W15" s="706"/>
      <c r="X15" s="1355"/>
      <c r="Y15" s="3681"/>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681"/>
      <c r="Q17" s="1352"/>
      <c r="R17" s="705"/>
      <c r="S17" s="706"/>
      <c r="T17" s="705"/>
      <c r="U17" s="706"/>
      <c r="V17" s="705"/>
      <c r="W17" s="706"/>
      <c r="X17" s="1355"/>
      <c r="Y17" s="3681"/>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681"/>
      <c r="Q19" s="1352"/>
      <c r="R19" s="705"/>
      <c r="S19" s="706"/>
      <c r="T19" s="705"/>
      <c r="U19" s="706"/>
      <c r="V19" s="705"/>
      <c r="W19" s="706"/>
      <c r="X19" s="1355"/>
      <c r="Y19" s="3681"/>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681"/>
      <c r="Q21" s="1352"/>
      <c r="R21" s="705"/>
      <c r="S21" s="706"/>
      <c r="T21" s="705"/>
      <c r="U21" s="706"/>
      <c r="V21" s="705"/>
      <c r="W21" s="706"/>
      <c r="X21" s="1355"/>
      <c r="Y21" s="368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85" t="s">
        <v>1695</v>
      </c>
      <c r="Q32" s="1352" t="str">
        <f t="shared" si="11"/>
        <v>车位类型</v>
      </c>
      <c r="R32" s="705" t="s">
        <v>14</v>
      </c>
      <c r="S32" s="706">
        <f t="shared" si="12"/>
        <v>100</v>
      </c>
      <c r="T32" s="705" t="s">
        <v>14</v>
      </c>
      <c r="U32" s="706">
        <f t="shared" si="13"/>
        <v>100</v>
      </c>
      <c r="V32" s="705" t="s">
        <v>14</v>
      </c>
      <c r="W32" s="706">
        <f t="shared" si="14"/>
        <v>100</v>
      </c>
      <c r="X32" s="1355"/>
      <c r="Y32" s="368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19"/>
      <c r="M37" s="2720"/>
      <c r="N37" s="2711"/>
      <c r="O37" s="2720"/>
      <c r="P37" s="3673" t="str">
        <f>A37</f>
        <v>成交单价</v>
      </c>
      <c r="Q37" s="3673"/>
      <c r="R37" s="3674">
        <f>E37</f>
        <v>0</v>
      </c>
      <c r="S37" s="3674"/>
      <c r="T37" s="3674">
        <f>G37</f>
        <v>0</v>
      </c>
      <c r="U37" s="3674"/>
      <c r="V37" s="3674">
        <f>I37</f>
        <v>0</v>
      </c>
      <c r="W37" s="3674"/>
      <c r="X37" s="690"/>
      <c r="Y37" s="712"/>
      <c r="Z37" s="690"/>
      <c r="AA37" s="690"/>
      <c r="AB37" s="690"/>
      <c r="AC37" s="690"/>
    </row>
    <row r="38" spans="1:29" ht="1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9"/>
      <c r="M38" s="2720"/>
      <c r="N38" s="2720"/>
      <c r="O38" s="2720"/>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19"/>
      <c r="M39" s="2720"/>
      <c r="N39" s="2720"/>
      <c r="O39" s="2720"/>
      <c r="P39" s="3675" t="str">
        <f>A39</f>
        <v>估价对象XX用房的比较价值（楼面单价，元/平方米）</v>
      </c>
      <c r="Q39" s="3676"/>
      <c r="R39" s="3784" t="e">
        <f>IF(F1="售价",ROUND(IF(D38="简单平均",AVERAGE(R38:W38),R38*F38+T38*H38+V38*J38),0),ROUND(IF(D38="简单平均",AVERAGE(R38:V38),R38*F38+T38*H38+V38*J38),1))</f>
        <v>#DIV/0!</v>
      </c>
      <c r="S39" s="3784"/>
      <c r="T39" s="3784"/>
      <c r="U39" s="3784"/>
      <c r="V39" s="3784"/>
      <c r="W39" s="378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2.2" thickBot="1">
      <c r="A47" s="1166" t="s">
        <v>1849</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4.4">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4"/>
      <c r="Q48" s="2736"/>
      <c r="R48" s="2736"/>
      <c r="S48" s="2736"/>
      <c r="T48" s="2736"/>
      <c r="U48" s="2736"/>
      <c r="V48" s="2736"/>
      <c r="W48" s="2736"/>
      <c r="X48" s="2736"/>
      <c r="Y48" s="2736"/>
      <c r="Z48" s="2736"/>
      <c r="AA48" s="2736"/>
      <c r="AB48" s="2736"/>
      <c r="AC48" s="2736"/>
    </row>
    <row r="49" spans="1:29" s="108" customFormat="1">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 thickBot="1">
      <c r="A50" s="464" t="s">
        <v>1715</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4.4">
      <c r="A51" s="470" t="s">
        <v>1680</v>
      </c>
      <c r="B51" s="459"/>
      <c r="C51" s="471" t="s">
        <v>1775</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4.4"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ht="14.4">
      <c r="A53" s="476" t="s">
        <v>1718</v>
      </c>
      <c r="B53" s="477" t="s">
        <v>1684</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4.4"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9.4" thickTop="1">
      <c r="A55" s="483"/>
      <c r="B55" s="487" t="s">
        <v>1687</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4.4"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4.4"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4.4"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4.4"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4.4"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4.4"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4.4"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 thickTop="1">
      <c r="A65" s="483"/>
      <c r="B65" s="487" t="s">
        <v>1726</v>
      </c>
      <c r="C65" s="527" t="s">
        <v>1720</v>
      </c>
      <c r="D65" s="527" t="s">
        <v>1721</v>
      </c>
      <c r="E65" s="527" t="s">
        <v>1722</v>
      </c>
      <c r="F65" s="527" t="s">
        <v>1723</v>
      </c>
      <c r="G65" s="527" t="s">
        <v>1724</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 thickTop="1">
      <c r="A67" s="483"/>
      <c r="B67" s="495" t="s">
        <v>1812</v>
      </c>
      <c r="C67" s="608" t="s">
        <v>1798</v>
      </c>
      <c r="D67" s="608" t="s">
        <v>1799</v>
      </c>
      <c r="E67" s="608" t="s">
        <v>1800</v>
      </c>
      <c r="F67" s="608" t="s">
        <v>1801</v>
      </c>
      <c r="G67" s="608" t="s">
        <v>1802</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 thickTop="1">
      <c r="A69" s="483"/>
      <c r="B69" s="487" t="s">
        <v>1732</v>
      </c>
      <c r="C69" s="527" t="s">
        <v>1720</v>
      </c>
      <c r="D69" s="527" t="s">
        <v>1721</v>
      </c>
      <c r="E69" s="527" t="s">
        <v>1722</v>
      </c>
      <c r="F69" s="527" t="s">
        <v>1723</v>
      </c>
      <c r="G69" s="527" t="s">
        <v>1724</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 thickTop="1">
      <c r="A71" s="483"/>
      <c r="B71" s="487" t="s">
        <v>1851</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4.4"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4.4"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4.4"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4.4"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4.4"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4.4"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9.4" thickTop="1">
      <c r="A79" s="476" t="s">
        <v>1693</v>
      </c>
      <c r="B79" s="477" t="s">
        <v>1852</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 thickTop="1">
      <c r="A81" s="483"/>
      <c r="B81" s="487" t="s">
        <v>1853</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4.4"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1739</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1855</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4.4"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1857</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1858</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4.4"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4.4"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4.4"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4.4"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4.4"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4.4"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4.4"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1768</v>
      </c>
      <c r="B4" s="356"/>
      <c r="C4" s="3692" t="s">
        <v>1769</v>
      </c>
      <c r="D4" s="3693"/>
      <c r="E4" s="3694" t="s">
        <v>1770</v>
      </c>
      <c r="F4" s="3695"/>
      <c r="G4" s="3692" t="s">
        <v>1771</v>
      </c>
      <c r="H4" s="3693"/>
      <c r="I4" s="3692" t="s">
        <v>1772</v>
      </c>
      <c r="J4" s="3693"/>
      <c r="K4" s="559" t="s">
        <v>1773</v>
      </c>
      <c r="L4" s="2710"/>
      <c r="M4" s="2711"/>
      <c r="N4" s="2711"/>
      <c r="O4" s="2711"/>
      <c r="P4" s="3696" t="s">
        <v>1774</v>
      </c>
      <c r="Q4" s="3697"/>
      <c r="R4" s="3702" t="s">
        <v>1770</v>
      </c>
      <c r="S4" s="3703"/>
      <c r="T4" s="3702" t="s">
        <v>1771</v>
      </c>
      <c r="U4" s="3703"/>
      <c r="V4" s="3687" t="s">
        <v>1772</v>
      </c>
      <c r="W4" s="3687"/>
      <c r="X4" s="1355"/>
      <c r="Y4" s="3702" t="s">
        <v>1774</v>
      </c>
      <c r="Z4" s="3703"/>
      <c r="AA4" s="3689" t="s">
        <v>1770</v>
      </c>
      <c r="AB4" s="3690" t="s">
        <v>1771</v>
      </c>
      <c r="AC4" s="3689" t="s">
        <v>1772</v>
      </c>
    </row>
    <row r="5" spans="1:29">
      <c r="A5" s="358"/>
      <c r="B5" s="359"/>
      <c r="C5" s="3710" t="s">
        <v>1672</v>
      </c>
      <c r="D5" s="3711"/>
      <c r="E5" s="3718" t="s">
        <v>1673</v>
      </c>
      <c r="F5" s="3719"/>
      <c r="G5" s="3710" t="s">
        <v>1674</v>
      </c>
      <c r="H5" s="3711"/>
      <c r="I5" s="3710" t="s">
        <v>1675</v>
      </c>
      <c r="J5" s="3711"/>
      <c r="K5" s="559"/>
      <c r="L5" s="2710"/>
      <c r="M5" s="2711"/>
      <c r="N5" s="2711"/>
      <c r="O5" s="2711"/>
      <c r="P5" s="3698"/>
      <c r="Q5" s="3699"/>
      <c r="R5" s="3704"/>
      <c r="S5" s="3705"/>
      <c r="T5" s="3704"/>
      <c r="U5" s="3705"/>
      <c r="V5" s="3687"/>
      <c r="W5" s="3687"/>
      <c r="X5" s="1355"/>
      <c r="Y5" s="3704"/>
      <c r="Z5" s="3705"/>
      <c r="AA5" s="3690"/>
      <c r="AB5" s="3690"/>
      <c r="AC5" s="3690"/>
    </row>
    <row r="6" spans="1:29" ht="15" thickBot="1">
      <c r="A6" s="360"/>
      <c r="B6" s="361"/>
      <c r="C6" s="3708" t="s">
        <v>1676</v>
      </c>
      <c r="D6" s="3709"/>
      <c r="E6" s="3716" t="s">
        <v>1676</v>
      </c>
      <c r="F6" s="3717"/>
      <c r="G6" s="3708" t="s">
        <v>1676</v>
      </c>
      <c r="H6" s="3709"/>
      <c r="I6" s="3708" t="s">
        <v>1676</v>
      </c>
      <c r="J6" s="3709"/>
      <c r="K6" s="559" t="s">
        <v>1677</v>
      </c>
      <c r="L6" s="2710"/>
      <c r="M6" s="2711"/>
      <c r="N6" s="2711"/>
      <c r="O6" s="2711"/>
      <c r="P6" s="3700"/>
      <c r="Q6" s="3701"/>
      <c r="R6" s="3704"/>
      <c r="S6" s="3705"/>
      <c r="T6" s="3706"/>
      <c r="U6" s="3707"/>
      <c r="V6" s="3687"/>
      <c r="W6" s="3687"/>
      <c r="X6" s="1355"/>
      <c r="Y6" s="3706"/>
      <c r="Z6" s="3707"/>
      <c r="AA6" s="3691"/>
      <c r="AB6" s="3691"/>
      <c r="AC6" s="3691"/>
    </row>
    <row r="7" spans="1:29" s="108" customFormat="1" ht="15" thickBot="1">
      <c r="A7" s="362" t="s">
        <v>1678</v>
      </c>
      <c r="B7" s="363"/>
      <c r="C7" s="364">
        <f>'数据-取费表'!B2</f>
        <v>44965</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12" t="s">
        <v>1679</v>
      </c>
      <c r="Q7" s="3714"/>
      <c r="R7" s="701" t="s">
        <v>14</v>
      </c>
      <c r="S7" s="702">
        <f t="shared" ref="S7:S14" si="0">F7</f>
        <v>0</v>
      </c>
      <c r="T7" s="701" t="s">
        <v>14</v>
      </c>
      <c r="U7" s="702">
        <f t="shared" ref="U7:U14" si="1">H7</f>
        <v>0</v>
      </c>
      <c r="V7" s="701" t="s">
        <v>14</v>
      </c>
      <c r="W7" s="702">
        <f t="shared" ref="W7:W14" si="2">J7</f>
        <v>0</v>
      </c>
      <c r="X7" s="703"/>
      <c r="Y7" s="3712" t="s">
        <v>1679</v>
      </c>
      <c r="Z7" s="3713"/>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2" t="s">
        <v>1682</v>
      </c>
      <c r="Q8" s="3713"/>
      <c r="R8" s="701" t="s">
        <v>14</v>
      </c>
      <c r="S8" s="702">
        <f t="shared" si="0"/>
        <v>100</v>
      </c>
      <c r="T8" s="701" t="s">
        <v>14</v>
      </c>
      <c r="U8" s="702">
        <f t="shared" si="1"/>
        <v>100</v>
      </c>
      <c r="V8" s="701" t="s">
        <v>14</v>
      </c>
      <c r="W8" s="702">
        <f t="shared" si="2"/>
        <v>100</v>
      </c>
      <c r="X8" s="703"/>
      <c r="Y8" s="3712" t="s">
        <v>1682</v>
      </c>
      <c r="Z8" s="3713"/>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73" t="s">
        <v>1685</v>
      </c>
      <c r="Q9" s="1343" t="str">
        <f t="shared" ref="Q9:Q14" si="6">B9</f>
        <v>用途</v>
      </c>
      <c r="R9" s="701" t="s">
        <v>14</v>
      </c>
      <c r="S9" s="702">
        <f t="shared" si="0"/>
        <v>100</v>
      </c>
      <c r="T9" s="701" t="s">
        <v>14</v>
      </c>
      <c r="U9" s="702">
        <f t="shared" si="1"/>
        <v>100</v>
      </c>
      <c r="V9" s="701" t="s">
        <v>14</v>
      </c>
      <c r="W9" s="702">
        <f t="shared" si="2"/>
        <v>100</v>
      </c>
      <c r="X9" s="703"/>
      <c r="Y9" s="3580" t="s">
        <v>1686</v>
      </c>
      <c r="Z9" s="52" t="str">
        <f t="shared" ref="Z9:Z14" si="7">Q9</f>
        <v>用途</v>
      </c>
      <c r="AA9" s="704">
        <f t="shared" si="3"/>
        <v>1</v>
      </c>
      <c r="AB9" s="704">
        <f t="shared" si="4"/>
        <v>1</v>
      </c>
      <c r="AC9" s="704">
        <f t="shared" si="5"/>
        <v>1</v>
      </c>
    </row>
    <row r="10" spans="1:29" s="378" customFormat="1" ht="28.8">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73"/>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73"/>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73"/>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9"/>
      <c r="P13" s="3673"/>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80" t="s">
        <v>1690</v>
      </c>
      <c r="Q14" s="1352" t="str">
        <f t="shared" si="6"/>
        <v>交通便捷度</v>
      </c>
      <c r="R14" s="705" t="s">
        <v>14</v>
      </c>
      <c r="S14" s="706">
        <f t="shared" si="0"/>
        <v>100</v>
      </c>
      <c r="T14" s="705" t="s">
        <v>14</v>
      </c>
      <c r="U14" s="706">
        <f t="shared" si="1"/>
        <v>100</v>
      </c>
      <c r="V14" s="705" t="s">
        <v>14</v>
      </c>
      <c r="W14" s="706">
        <f t="shared" si="2"/>
        <v>100</v>
      </c>
      <c r="X14" s="1355"/>
      <c r="Y14" s="368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9"/>
      <c r="P15" s="3681"/>
      <c r="Q15" s="1352"/>
      <c r="R15" s="705"/>
      <c r="S15" s="706"/>
      <c r="T15" s="705"/>
      <c r="U15" s="706"/>
      <c r="V15" s="705"/>
      <c r="W15" s="706"/>
      <c r="X15" s="1355"/>
      <c r="Y15" s="3681"/>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9"/>
      <c r="P17" s="3681"/>
      <c r="Q17" s="1352"/>
      <c r="R17" s="705"/>
      <c r="S17" s="706"/>
      <c r="T17" s="705"/>
      <c r="U17" s="706"/>
      <c r="V17" s="705"/>
      <c r="W17" s="706"/>
      <c r="X17" s="1355"/>
      <c r="Y17" s="3681"/>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9"/>
      <c r="P19" s="3681"/>
      <c r="Q19" s="1352"/>
      <c r="R19" s="705"/>
      <c r="S19" s="706"/>
      <c r="T19" s="705"/>
      <c r="U19" s="706"/>
      <c r="V19" s="705"/>
      <c r="W19" s="706"/>
      <c r="X19" s="1355"/>
      <c r="Y19" s="3681"/>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9"/>
      <c r="P21" s="3681"/>
      <c r="Q21" s="1352"/>
      <c r="R21" s="705"/>
      <c r="S21" s="706"/>
      <c r="T21" s="705"/>
      <c r="U21" s="706"/>
      <c r="V21" s="705"/>
      <c r="W21" s="706"/>
      <c r="X21" s="1355"/>
      <c r="Y21" s="368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7"/>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9"/>
      <c r="P26" s="378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85" t="s">
        <v>1695</v>
      </c>
      <c r="Q32" s="1352">
        <f t="shared" si="11"/>
        <v>111</v>
      </c>
      <c r="R32" s="705" t="s">
        <v>14</v>
      </c>
      <c r="S32" s="706">
        <f t="shared" si="12"/>
        <v>100</v>
      </c>
      <c r="T32" s="705" t="s">
        <v>14</v>
      </c>
      <c r="U32" s="706">
        <f t="shared" si="13"/>
        <v>100</v>
      </c>
      <c r="V32" s="705" t="s">
        <v>14</v>
      </c>
      <c r="W32" s="706">
        <f t="shared" si="14"/>
        <v>100</v>
      </c>
      <c r="X32" s="1355"/>
      <c r="Y32" s="368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9"/>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19"/>
      <c r="M35" s="2720"/>
      <c r="N35" s="2711"/>
      <c r="O35" s="2720"/>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 thickBot="1">
      <c r="A36" s="437" t="s">
        <v>1792</v>
      </c>
      <c r="B36" s="438"/>
      <c r="C36" s="1160" t="e">
        <f>R37</f>
        <v>#DIV/0!</v>
      </c>
      <c r="D36" s="2317" t="s">
        <v>2137</v>
      </c>
      <c r="E36" s="1161" t="e">
        <f>R36</f>
        <v>#DIV/0!</v>
      </c>
      <c r="F36" s="2318"/>
      <c r="G36" s="1160" t="e">
        <f>T36</f>
        <v>#DIV/0!</v>
      </c>
      <c r="H36" s="2318"/>
      <c r="I36" s="1161" t="e">
        <f>V36</f>
        <v>#DIV/0!</v>
      </c>
      <c r="J36" s="2318"/>
      <c r="K36" s="2320">
        <f>F36+H36+J36</f>
        <v>0</v>
      </c>
      <c r="L36" s="2719"/>
      <c r="M36" s="2720"/>
      <c r="N36" s="2711"/>
      <c r="O36" s="2720"/>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19"/>
      <c r="M37" s="2720"/>
      <c r="N37" s="2720"/>
      <c r="O37" s="2720"/>
      <c r="P37" s="3675" t="str">
        <f>A37</f>
        <v>估价对象XX用房的比较价值（楼面单价，元/平方米）</v>
      </c>
      <c r="Q37" s="3676"/>
      <c r="R37" s="3784" t="e">
        <f>IF(F1="售价",ROUND(IF(D36="简单平均",AVERAGE(R36:W36),R36*F36+T36*H36+V36*J36),0),ROUND(IF(D36="简单平均",AVERAGE(R36:V36),R36*F36+T36*H36+V36*J36),1))</f>
        <v>#DIV/0!</v>
      </c>
      <c r="S37" s="3784"/>
      <c r="T37" s="3784"/>
      <c r="U37" s="3784"/>
      <c r="V37" s="3784"/>
      <c r="W37" s="378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2.2" thickBot="1">
      <c r="A45" s="694" t="s">
        <v>1797</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4.4">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1"/>
      <c r="Q46" s="2736"/>
      <c r="R46" s="2736"/>
      <c r="S46" s="2736"/>
      <c r="T46" s="2736"/>
      <c r="U46" s="2736"/>
      <c r="V46" s="2736"/>
      <c r="W46" s="2736"/>
      <c r="X46" s="2736"/>
      <c r="Y46" s="2736"/>
      <c r="Z46" s="2736"/>
      <c r="AA46" s="2736"/>
      <c r="AB46" s="2736"/>
      <c r="AC46" s="2736"/>
      <c r="AD46" s="2736"/>
    </row>
    <row r="47" spans="1:30" s="108" customFormat="1">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 thickBot="1">
      <c r="A48" s="464" t="s">
        <v>1715</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4.4">
      <c r="A49" s="470" t="s">
        <v>1680</v>
      </c>
      <c r="B49" s="459"/>
      <c r="C49" s="471" t="s">
        <v>1775</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4.4"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ht="14.4">
      <c r="A51" s="476" t="s">
        <v>1718</v>
      </c>
      <c r="B51" s="477" t="s">
        <v>1684</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4.4"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9.4" thickTop="1">
      <c r="A53" s="483"/>
      <c r="B53" s="487" t="s">
        <v>1687</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4.4"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4.4"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4.4"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4.4"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4.4"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4.4"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4.4"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9.4" thickTop="1">
      <c r="A63" s="483"/>
      <c r="B63" s="487" t="s">
        <v>1862</v>
      </c>
      <c r="C63" s="527" t="s">
        <v>1720</v>
      </c>
      <c r="D63" s="527" t="s">
        <v>1721</v>
      </c>
      <c r="E63" s="527" t="s">
        <v>1722</v>
      </c>
      <c r="F63" s="527" t="s">
        <v>1723</v>
      </c>
      <c r="G63" s="527" t="s">
        <v>1724</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 thickTop="1">
      <c r="A65" s="483"/>
      <c r="B65" s="495" t="s">
        <v>1812</v>
      </c>
      <c r="C65" s="608" t="s">
        <v>1798</v>
      </c>
      <c r="D65" s="608" t="s">
        <v>1799</v>
      </c>
      <c r="E65" s="608" t="s">
        <v>1800</v>
      </c>
      <c r="F65" s="608" t="s">
        <v>1801</v>
      </c>
      <c r="G65" s="608" t="s">
        <v>1802</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 thickTop="1">
      <c r="A67" s="483"/>
      <c r="B67" s="487" t="s">
        <v>1732</v>
      </c>
      <c r="C67" s="527" t="s">
        <v>1720</v>
      </c>
      <c r="D67" s="527" t="s">
        <v>1721</v>
      </c>
      <c r="E67" s="527" t="s">
        <v>1722</v>
      </c>
      <c r="F67" s="527" t="s">
        <v>1723</v>
      </c>
      <c r="G67" s="527" t="s">
        <v>1724</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 thickTop="1">
      <c r="A69" s="483"/>
      <c r="B69" s="487" t="s">
        <v>1851</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4.4"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4.4"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4.4"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4.4"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4.4"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4.4"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4.4"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1693</v>
      </c>
      <c r="B77" s="477" t="s">
        <v>1739</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1855</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1863</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4.4"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1865</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4.4"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4.4"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4.4"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4.4"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4.4"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4.4"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4.4"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4.4"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4.4">
      <c r="A4" s="355" t="s">
        <v>1768</v>
      </c>
      <c r="B4" s="356"/>
      <c r="C4" s="3692" t="s">
        <v>1769</v>
      </c>
      <c r="D4" s="3693"/>
      <c r="E4" s="3694" t="s">
        <v>1770</v>
      </c>
      <c r="F4" s="3695"/>
      <c r="G4" s="3692" t="s">
        <v>1771</v>
      </c>
      <c r="H4" s="3693"/>
      <c r="I4" s="3692" t="s">
        <v>1772</v>
      </c>
      <c r="J4" s="3693"/>
      <c r="K4" s="559" t="s">
        <v>1773</v>
      </c>
      <c r="L4" s="2710"/>
      <c r="M4" s="2711"/>
      <c r="N4" s="2711"/>
      <c r="O4" s="2711"/>
      <c r="P4" s="3696" t="s">
        <v>1774</v>
      </c>
      <c r="Q4" s="3697"/>
      <c r="R4" s="3702" t="s">
        <v>1770</v>
      </c>
      <c r="S4" s="3703"/>
      <c r="T4" s="3702" t="s">
        <v>1771</v>
      </c>
      <c r="U4" s="3703"/>
      <c r="V4" s="3687" t="s">
        <v>1772</v>
      </c>
      <c r="W4" s="3687"/>
      <c r="X4" s="1355"/>
      <c r="Y4" s="3702" t="s">
        <v>1774</v>
      </c>
      <c r="Z4" s="3703"/>
      <c r="AA4" s="3689" t="s">
        <v>1770</v>
      </c>
      <c r="AB4" s="3690" t="s">
        <v>1771</v>
      </c>
      <c r="AC4" s="3689" t="s">
        <v>1772</v>
      </c>
    </row>
    <row r="5" spans="1:30">
      <c r="A5" s="358"/>
      <c r="B5" s="359"/>
      <c r="C5" s="3710" t="s">
        <v>1672</v>
      </c>
      <c r="D5" s="3711"/>
      <c r="E5" s="3718" t="s">
        <v>1673</v>
      </c>
      <c r="F5" s="3719"/>
      <c r="G5" s="3710" t="s">
        <v>1674</v>
      </c>
      <c r="H5" s="3711"/>
      <c r="I5" s="3710" t="s">
        <v>1675</v>
      </c>
      <c r="J5" s="3711"/>
      <c r="K5" s="559"/>
      <c r="L5" s="2710"/>
      <c r="M5" s="2711"/>
      <c r="N5" s="2711"/>
      <c r="O5" s="2711"/>
      <c r="P5" s="3698"/>
      <c r="Q5" s="3699"/>
      <c r="R5" s="3704"/>
      <c r="S5" s="3705"/>
      <c r="T5" s="3704"/>
      <c r="U5" s="3705"/>
      <c r="V5" s="3687"/>
      <c r="W5" s="3687"/>
      <c r="X5" s="1355"/>
      <c r="Y5" s="3704"/>
      <c r="Z5" s="3705"/>
      <c r="AA5" s="3690"/>
      <c r="AB5" s="3690"/>
      <c r="AC5" s="3690"/>
    </row>
    <row r="6" spans="1:30" ht="15" thickBot="1">
      <c r="A6" s="360"/>
      <c r="B6" s="361"/>
      <c r="C6" s="3708" t="s">
        <v>1676</v>
      </c>
      <c r="D6" s="3709"/>
      <c r="E6" s="3716" t="s">
        <v>1676</v>
      </c>
      <c r="F6" s="3717"/>
      <c r="G6" s="3708" t="s">
        <v>1676</v>
      </c>
      <c r="H6" s="3709"/>
      <c r="I6" s="3708" t="s">
        <v>1676</v>
      </c>
      <c r="J6" s="3709"/>
      <c r="K6" s="559" t="s">
        <v>1677</v>
      </c>
      <c r="L6" s="2710"/>
      <c r="M6" s="2711"/>
      <c r="N6" s="2711"/>
      <c r="O6" s="2711"/>
      <c r="P6" s="3700"/>
      <c r="Q6" s="3701"/>
      <c r="R6" s="3704"/>
      <c r="S6" s="3705"/>
      <c r="T6" s="3706"/>
      <c r="U6" s="3707"/>
      <c r="V6" s="3687"/>
      <c r="W6" s="3687"/>
      <c r="X6" s="1355"/>
      <c r="Y6" s="3706"/>
      <c r="Z6" s="3707"/>
      <c r="AA6" s="3691"/>
      <c r="AB6" s="3691"/>
      <c r="AC6" s="3691"/>
    </row>
    <row r="7" spans="1:30" s="108" customFormat="1" ht="15" thickBot="1">
      <c r="A7" s="362" t="s">
        <v>1678</v>
      </c>
      <c r="B7" s="363"/>
      <c r="C7" s="364">
        <f>'数据-取费表'!B2</f>
        <v>44965</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1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5" si="3">D8/F8</f>
        <v>#DIV/0!</v>
      </c>
      <c r="AB8" s="704" t="e">
        <f t="shared" ref="AB8:AB45" si="4">D8/H8</f>
        <v>#DIV/0!</v>
      </c>
      <c r="AC8" s="704" t="e">
        <f t="shared" ref="AC8:AC45" si="5">D8/J8</f>
        <v>#DIV/0!</v>
      </c>
    </row>
    <row r="9" spans="1:30" s="108" customFormat="1" ht="14.4">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7"/>
      <c r="P9" s="3673"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145</v>
      </c>
      <c r="G10" s="414"/>
      <c r="H10" s="127">
        <f>ROUND(100/'数据-取费表'!G16,0)</f>
        <v>145</v>
      </c>
      <c r="I10" s="414"/>
      <c r="J10" s="127">
        <f>ROUND(100/'数据-取费表'!G16,0)</f>
        <v>145</v>
      </c>
      <c r="K10" s="620"/>
      <c r="L10" s="2714"/>
      <c r="M10" s="2715"/>
      <c r="N10" s="2715"/>
      <c r="O10" s="2768"/>
      <c r="P10" s="3673"/>
      <c r="Q10" s="1343" t="str">
        <f t="shared" si="6"/>
        <v>土地使用年限（年）</v>
      </c>
      <c r="R10" s="701" t="s">
        <v>14</v>
      </c>
      <c r="S10" s="702">
        <f t="shared" si="0"/>
        <v>145</v>
      </c>
      <c r="T10" s="701" t="s">
        <v>14</v>
      </c>
      <c r="U10" s="702">
        <f t="shared" si="1"/>
        <v>145</v>
      </c>
      <c r="V10" s="701" t="s">
        <v>14</v>
      </c>
      <c r="W10" s="702">
        <f t="shared" si="2"/>
        <v>145</v>
      </c>
      <c r="X10" s="703"/>
      <c r="Y10" s="3580"/>
      <c r="Z10" s="52" t="str">
        <f t="shared" si="7"/>
        <v>土地使用年限（年）</v>
      </c>
      <c r="AA10" s="704">
        <f t="shared" si="3"/>
        <v>0.68965517241379315</v>
      </c>
      <c r="AB10" s="704">
        <f t="shared" si="4"/>
        <v>0.68965517241379315</v>
      </c>
      <c r="AC10" s="704">
        <f t="shared" si="5"/>
        <v>0.68965517241379315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73"/>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73"/>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73"/>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73"/>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80" t="s">
        <v>1690</v>
      </c>
      <c r="Q15" s="1352" t="str">
        <f t="shared" si="6"/>
        <v>居住社区成熟度</v>
      </c>
      <c r="R15" s="705" t="s">
        <v>14</v>
      </c>
      <c r="S15" s="706">
        <f t="shared" si="0"/>
        <v>100</v>
      </c>
      <c r="T15" s="705" t="s">
        <v>14</v>
      </c>
      <c r="U15" s="706">
        <f t="shared" si="1"/>
        <v>100</v>
      </c>
      <c r="V15" s="705" t="s">
        <v>14</v>
      </c>
      <c r="W15" s="706">
        <f t="shared" si="2"/>
        <v>100</v>
      </c>
      <c r="X15" s="1355"/>
      <c r="Y15" s="368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9"/>
      <c r="P16" s="3681"/>
      <c r="Q16" s="1352"/>
      <c r="R16" s="705"/>
      <c r="S16" s="706"/>
      <c r="T16" s="705"/>
      <c r="U16" s="706"/>
      <c r="V16" s="705"/>
      <c r="W16" s="706"/>
      <c r="X16" s="1355"/>
      <c r="Y16" s="3681"/>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9"/>
      <c r="P18" s="3681"/>
      <c r="Q18" s="1352"/>
      <c r="R18" s="705"/>
      <c r="S18" s="706"/>
      <c r="T18" s="705"/>
      <c r="U18" s="706"/>
      <c r="V18" s="705"/>
      <c r="W18" s="706"/>
      <c r="X18" s="1355"/>
      <c r="Y18" s="3681"/>
      <c r="Z18" s="1356"/>
      <c r="AA18" s="1353">
        <v>1</v>
      </c>
      <c r="AB18" s="1353">
        <v>1</v>
      </c>
      <c r="AC18" s="1353">
        <v>1</v>
      </c>
    </row>
    <row r="19" spans="1:29" ht="15">
      <c r="A19" s="379"/>
      <c r="B19" s="402" t="s">
        <v>1810</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9"/>
      <c r="P20" s="3681"/>
      <c r="Q20" s="1352"/>
      <c r="R20" s="705"/>
      <c r="S20" s="706"/>
      <c r="T20" s="705"/>
      <c r="U20" s="706"/>
      <c r="V20" s="705"/>
      <c r="W20" s="706"/>
      <c r="X20" s="1355"/>
      <c r="Y20" s="3681"/>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9"/>
      <c r="P22" s="3681"/>
      <c r="Q22" s="1352"/>
      <c r="R22" s="705"/>
      <c r="S22" s="706"/>
      <c r="T22" s="705"/>
      <c r="U22" s="706"/>
      <c r="V22" s="705"/>
      <c r="W22" s="706"/>
      <c r="X22" s="1355"/>
      <c r="Y22" s="3681"/>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9"/>
      <c r="P24" s="3681"/>
      <c r="Q24" s="1352"/>
      <c r="R24" s="705"/>
      <c r="S24" s="706"/>
      <c r="T24" s="705"/>
      <c r="U24" s="706"/>
      <c r="V24" s="705"/>
      <c r="W24" s="706"/>
      <c r="X24" s="1355"/>
      <c r="Y24" s="3681"/>
      <c r="Z24" s="1356"/>
      <c r="AA24" s="1353"/>
      <c r="AB24" s="1353"/>
      <c r="AC24" s="1353"/>
    </row>
    <row r="25" spans="1:29" ht="28.8">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9"/>
      <c r="P26" s="3681"/>
      <c r="Q26" s="1352"/>
      <c r="R26" s="705"/>
      <c r="S26" s="706"/>
      <c r="T26" s="705"/>
      <c r="U26" s="706"/>
      <c r="V26" s="705"/>
      <c r="W26" s="706"/>
      <c r="X26" s="1355"/>
      <c r="Y26" s="3681"/>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7"/>
      <c r="P28" s="3681"/>
      <c r="Q28" s="1343"/>
      <c r="R28" s="701"/>
      <c r="S28" s="702"/>
      <c r="T28" s="701"/>
      <c r="U28" s="702"/>
      <c r="V28" s="701"/>
      <c r="W28" s="702"/>
      <c r="X28" s="703"/>
      <c r="Y28" s="3681"/>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7"/>
      <c r="P30" s="3681"/>
      <c r="Q30" s="1343"/>
      <c r="R30" s="701"/>
      <c r="S30" s="702"/>
      <c r="T30" s="701"/>
      <c r="U30" s="702"/>
      <c r="V30" s="701"/>
      <c r="W30" s="702"/>
      <c r="X30" s="703"/>
      <c r="Y30" s="368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9"/>
      <c r="P33" s="3681"/>
      <c r="Q33" s="1352"/>
      <c r="R33" s="705"/>
      <c r="S33" s="706"/>
      <c r="T33" s="705"/>
      <c r="U33" s="706"/>
      <c r="V33" s="705"/>
      <c r="W33" s="706"/>
      <c r="X33" s="1355"/>
      <c r="Y33" s="368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83" t="s">
        <v>1695</v>
      </c>
      <c r="Q36" s="1352">
        <f t="shared" si="8"/>
        <v>111</v>
      </c>
      <c r="R36" s="705" t="s">
        <v>14</v>
      </c>
      <c r="S36" s="706">
        <f t="shared" si="10"/>
        <v>100</v>
      </c>
      <c r="T36" s="705" t="s">
        <v>14</v>
      </c>
      <c r="U36" s="706">
        <f t="shared" si="11"/>
        <v>100</v>
      </c>
      <c r="V36" s="705" t="s">
        <v>14</v>
      </c>
      <c r="W36" s="706">
        <f t="shared" si="12"/>
        <v>100</v>
      </c>
      <c r="X36" s="1355"/>
      <c r="Y36" s="3685"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9"/>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9"/>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7"/>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9"/>
      <c r="P42" s="3685" t="s">
        <v>1695</v>
      </c>
      <c r="Q42" s="1352" t="str">
        <f t="shared" si="14"/>
        <v>工程地质条件</v>
      </c>
      <c r="R42" s="705" t="s">
        <v>14</v>
      </c>
      <c r="S42" s="706">
        <f t="shared" si="10"/>
        <v>100</v>
      </c>
      <c r="T42" s="705" t="s">
        <v>14</v>
      </c>
      <c r="U42" s="706">
        <f t="shared" si="11"/>
        <v>100</v>
      </c>
      <c r="V42" s="705" t="s">
        <v>14</v>
      </c>
      <c r="W42" s="706">
        <f t="shared" si="12"/>
        <v>100</v>
      </c>
      <c r="X42" s="1355"/>
      <c r="Y42" s="368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19"/>
      <c r="M46" s="2720"/>
      <c r="N46" s="2711"/>
      <c r="O46" s="2720"/>
      <c r="P46" s="3673" t="str">
        <f>A46</f>
        <v>成交单价</v>
      </c>
      <c r="Q46" s="3673"/>
      <c r="R46" s="3687">
        <f>E46</f>
        <v>0</v>
      </c>
      <c r="S46" s="3687"/>
      <c r="T46" s="3687">
        <f>G46</f>
        <v>0</v>
      </c>
      <c r="U46" s="3687"/>
      <c r="V46" s="3687">
        <f>I46</f>
        <v>0</v>
      </c>
      <c r="W46" s="3687"/>
      <c r="X46" s="690"/>
      <c r="Y46" s="712"/>
      <c r="Z46" s="690"/>
      <c r="AA46" s="690"/>
      <c r="AB46" s="690"/>
      <c r="AC46" s="690"/>
    </row>
    <row r="47" spans="1:29" ht="15" thickBot="1">
      <c r="A47" s="437" t="s">
        <v>1792</v>
      </c>
      <c r="B47" s="631"/>
      <c r="C47" s="440" t="e">
        <f>R48</f>
        <v>#DIV/0!</v>
      </c>
      <c r="D47" s="2317" t="s">
        <v>2137</v>
      </c>
      <c r="E47" s="440" t="e">
        <f>R47</f>
        <v>#DIV/0!</v>
      </c>
      <c r="F47" s="2318"/>
      <c r="G47" s="439" t="e">
        <f>T47</f>
        <v>#DIV/0!</v>
      </c>
      <c r="H47" s="2318"/>
      <c r="I47" s="440" t="e">
        <f>V47</f>
        <v>#DIV/0!</v>
      </c>
      <c r="J47" s="2318"/>
      <c r="K47" s="2320">
        <f>F47+H47+J47</f>
        <v>0</v>
      </c>
      <c r="L47" s="2719"/>
      <c r="M47" s="2720"/>
      <c r="N47" s="2720"/>
      <c r="O47" s="2720"/>
      <c r="P47" s="3673" t="str">
        <f>A47</f>
        <v>比较价值（元/平方米）</v>
      </c>
      <c r="Q47" s="3673"/>
      <c r="R47" s="3785" t="e">
        <f>ROUND(PRODUCT(R46,AA7:AA45),0)</f>
        <v>#DIV/0!</v>
      </c>
      <c r="S47" s="3785"/>
      <c r="T47" s="3785" t="e">
        <f>ROUND(PRODUCT(T46,AB7:AB45),0)</f>
        <v>#DIV/0!</v>
      </c>
      <c r="U47" s="3785"/>
      <c r="V47" s="3785" t="e">
        <f>ROUND(PRODUCT(V46,AC7:AC45),0)</f>
        <v>#DIV/0!</v>
      </c>
      <c r="W47" s="378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19"/>
      <c r="M48" s="2720"/>
      <c r="N48" s="2720"/>
      <c r="O48" s="2720"/>
      <c r="P48" s="3675" t="str">
        <f>A48</f>
        <v>估价对象XX用房的比较价值（楼面单价，元/平方米）</v>
      </c>
      <c r="Q48" s="3676"/>
      <c r="R48" s="3786" t="e">
        <f>ROUND(IF(D47="简单平均",AVERAGE(R47:W47),R47*F47+T47*H47+V47*J47),0)</f>
        <v>#DIV/0!</v>
      </c>
      <c r="S48" s="3786"/>
      <c r="T48" s="3786"/>
      <c r="U48" s="3786"/>
      <c r="V48" s="3786"/>
      <c r="W48" s="378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4.4"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1880</v>
      </c>
      <c r="B55" s="633" t="s">
        <v>1881</v>
      </c>
      <c r="C55" s="1983" t="s">
        <v>1882</v>
      </c>
      <c r="D55" s="1984" t="s">
        <v>1883</v>
      </c>
      <c r="E55" s="634" t="s">
        <v>1884</v>
      </c>
      <c r="F55" s="890" t="s">
        <v>1885</v>
      </c>
      <c r="G55" s="3692" t="s">
        <v>1886</v>
      </c>
      <c r="H55" s="3787"/>
      <c r="I55" s="135" t="s">
        <v>1887</v>
      </c>
      <c r="J55" s="1985">
        <f>项目基本情况!F35</f>
        <v>0</v>
      </c>
      <c r="K55" s="1986" t="s">
        <v>1888</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1889</v>
      </c>
      <c r="B56" s="637" t="e">
        <f>C48</f>
        <v>#DIV/0!</v>
      </c>
      <c r="C56" s="638">
        <v>1</v>
      </c>
      <c r="D56" s="944">
        <v>1</v>
      </c>
      <c r="E56" s="638">
        <f>'数据-汇总表'!E8+'数据-汇总表'!E9</f>
        <v>1139.1300000000001</v>
      </c>
      <c r="F56" s="886" t="e">
        <f t="shared" ref="F56:F64" si="15">ROUND(B56*E56/10000,0)</f>
        <v>#DIV/0!</v>
      </c>
      <c r="G56" s="3688"/>
      <c r="H56" s="3673"/>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1890</v>
      </c>
      <c r="B57" s="218" t="e">
        <f>ROUND($C$48*C57*D57,0)</f>
        <v>#DIV/0!</v>
      </c>
      <c r="C57" s="171">
        <f t="shared" ref="C57:C64" si="16">IF($C$55="北京市系数",I57,J57)</f>
        <v>0.7</v>
      </c>
      <c r="D57" s="945">
        <v>0.25</v>
      </c>
      <c r="E57" s="642"/>
      <c r="F57" s="886" t="e">
        <f t="shared" si="15"/>
        <v>#DIV/0!</v>
      </c>
      <c r="G57" s="3001" t="s">
        <v>1891</v>
      </c>
      <c r="H57" s="887" t="str">
        <f>项目基本情况!B37</f>
        <v>二级</v>
      </c>
      <c r="I57" s="891">
        <f>SUMIF(修正!A57:A68,H57,修正!B57:B68)</f>
        <v>0.7</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1892</v>
      </c>
      <c r="B58" s="218" t="e">
        <f t="shared" ref="B58:B64" si="17">ROUND($C$48*C58*D58,0)</f>
        <v>#DIV/0!</v>
      </c>
      <c r="C58" s="171">
        <f t="shared" si="16"/>
        <v>0.4</v>
      </c>
      <c r="D58" s="945">
        <v>0.25</v>
      </c>
      <c r="E58" s="642"/>
      <c r="F58" s="886" t="e">
        <f t="shared" si="15"/>
        <v>#DIV/0!</v>
      </c>
      <c r="G58" s="3002"/>
      <c r="H58" s="887" t="str">
        <f>项目基本情况!B37</f>
        <v>二级</v>
      </c>
      <c r="I58" s="891">
        <f>SUMIF(修正!A57:A68,H58,修正!C57:C68)</f>
        <v>0.4</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1893</v>
      </c>
      <c r="B59" s="218" t="e">
        <f t="shared" si="17"/>
        <v>#DIV/0!</v>
      </c>
      <c r="C59" s="171">
        <f t="shared" si="16"/>
        <v>0.3</v>
      </c>
      <c r="D59" s="945">
        <v>0.25</v>
      </c>
      <c r="E59" s="642"/>
      <c r="F59" s="886" t="e">
        <f t="shared" si="15"/>
        <v>#DIV/0!</v>
      </c>
      <c r="G59" s="3002"/>
      <c r="H59" s="887" t="str">
        <f>项目基本情况!B37</f>
        <v>二级</v>
      </c>
      <c r="I59" s="891">
        <f>SUMIF(修正!A57:A68,H59,修正!D57:D68)</f>
        <v>0.3</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1900</v>
      </c>
      <c r="B63" s="218" t="e">
        <f t="shared" si="17"/>
        <v>#DIV/0!</v>
      </c>
      <c r="C63" s="171">
        <f t="shared" si="16"/>
        <v>0.2</v>
      </c>
      <c r="D63" s="945">
        <v>0.25</v>
      </c>
      <c r="E63" s="217">
        <f>'数据-汇总表'!E14</f>
        <v>0</v>
      </c>
      <c r="F63" s="886" t="e">
        <f t="shared" si="15"/>
        <v>#DIV/0!</v>
      </c>
      <c r="G63" s="1987" t="s">
        <v>1891</v>
      </c>
      <c r="H63" s="887" t="str">
        <f>项目基本情况!B37</f>
        <v>二级</v>
      </c>
      <c r="I63" s="891">
        <f>SUMIF(修正!A57:A68,H63,修正!G57:G68)</f>
        <v>0.2</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thickBot="1">
      <c r="A65" s="643" t="s">
        <v>1902</v>
      </c>
      <c r="B65" s="644" t="s">
        <v>22</v>
      </c>
      <c r="C65" s="644" t="s">
        <v>23</v>
      </c>
      <c r="D65" s="644" t="s">
        <v>392</v>
      </c>
      <c r="E65" s="644">
        <f>IF(B46="楼面地价",SUM(E56:E64),'数据-汇总表'!D3)</f>
        <v>1139.1300000000001</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0"/>
      <c r="Q67" s="2720"/>
      <c r="R67" s="2720"/>
      <c r="S67" s="2720"/>
      <c r="T67" s="2720"/>
      <c r="U67" s="2720"/>
      <c r="V67" s="2720"/>
      <c r="W67" s="2720"/>
      <c r="X67" s="2720"/>
      <c r="Y67" s="2720"/>
      <c r="Z67" s="2720"/>
      <c r="AA67" s="2720"/>
      <c r="AB67" s="2720"/>
      <c r="AC67" s="2720"/>
    </row>
    <row r="68" spans="1:29" ht="22.2" thickBot="1">
      <c r="A68" s="694" t="s">
        <v>1797</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4.4">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1"/>
      <c r="Q69" s="2736"/>
      <c r="R69" s="2736"/>
      <c r="S69" s="2736"/>
      <c r="T69" s="2736"/>
      <c r="U69" s="2736"/>
      <c r="V69" s="2736"/>
      <c r="W69" s="2736"/>
      <c r="X69" s="2736"/>
      <c r="Y69" s="2736"/>
      <c r="Z69" s="2736"/>
      <c r="AA69" s="2736"/>
      <c r="AB69" s="2736"/>
      <c r="AC69" s="2736"/>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 thickBot="1">
      <c r="A71" s="464" t="s">
        <v>1715</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4.4">
      <c r="A72" s="470" t="s">
        <v>1680</v>
      </c>
      <c r="B72" s="459"/>
      <c r="C72" s="471" t="s">
        <v>1775</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4.4"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ht="14.4">
      <c r="A74" s="476" t="s">
        <v>1718</v>
      </c>
      <c r="B74" s="477" t="s">
        <v>1684</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4.4"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9.4" thickTop="1">
      <c r="A76" s="483"/>
      <c r="B76" s="487" t="s">
        <v>1687</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4.4"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4.4"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4.4"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4.4"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4.4"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4.4"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4.4"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ht="14.4">
      <c r="A87" s="476" t="s">
        <v>1689</v>
      </c>
      <c r="B87" s="477" t="s">
        <v>1719</v>
      </c>
      <c r="C87" s="522" t="s">
        <v>1720</v>
      </c>
      <c r="D87" s="522" t="s">
        <v>1721</v>
      </c>
      <c r="E87" s="522" t="s">
        <v>1722</v>
      </c>
      <c r="F87" s="522" t="s">
        <v>1723</v>
      </c>
      <c r="G87" s="522" t="s">
        <v>1724</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 thickTop="1">
      <c r="A89" s="483"/>
      <c r="B89" s="487" t="s">
        <v>1905</v>
      </c>
      <c r="C89" s="527" t="s">
        <v>1720</v>
      </c>
      <c r="D89" s="527" t="s">
        <v>1721</v>
      </c>
      <c r="E89" s="527" t="s">
        <v>1722</v>
      </c>
      <c r="F89" s="527" t="s">
        <v>1723</v>
      </c>
      <c r="G89" s="527" t="s">
        <v>1724</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 thickTop="1">
      <c r="A91" s="483"/>
      <c r="B91" s="487" t="s">
        <v>1820</v>
      </c>
      <c r="C91" s="527" t="s">
        <v>1720</v>
      </c>
      <c r="D91" s="527" t="s">
        <v>1721</v>
      </c>
      <c r="E91" s="527" t="s">
        <v>1722</v>
      </c>
      <c r="F91" s="527" t="s">
        <v>1723</v>
      </c>
      <c r="G91" s="527" t="s">
        <v>1724</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 thickTop="1">
      <c r="A93" s="483"/>
      <c r="B93" s="487" t="s">
        <v>1725</v>
      </c>
      <c r="C93" s="527" t="s">
        <v>1720</v>
      </c>
      <c r="D93" s="527" t="s">
        <v>1721</v>
      </c>
      <c r="E93" s="527" t="s">
        <v>1722</v>
      </c>
      <c r="F93" s="527" t="s">
        <v>1723</v>
      </c>
      <c r="G93" s="527" t="s">
        <v>1724</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9.4" thickTop="1">
      <c r="A105" s="483"/>
      <c r="B105" s="487" t="s">
        <v>1814</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 thickTop="1">
      <c r="A107" s="483"/>
      <c r="B107" s="487" t="s">
        <v>1872</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4.4"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4.4"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4.4"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4.4"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4.4"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4.4"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4.4"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1913</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1914</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1915</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1916</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4.4"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4.4"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4.4"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4.4"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4.4"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4.4"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4.4">
      <c r="A4" s="355" t="s">
        <v>1768</v>
      </c>
      <c r="B4" s="356"/>
      <c r="C4" s="3692" t="s">
        <v>1769</v>
      </c>
      <c r="D4" s="3693"/>
      <c r="E4" s="3694" t="s">
        <v>1770</v>
      </c>
      <c r="F4" s="3695"/>
      <c r="G4" s="3692" t="s">
        <v>1771</v>
      </c>
      <c r="H4" s="3693"/>
      <c r="I4" s="3692" t="s">
        <v>1772</v>
      </c>
      <c r="J4" s="3693"/>
      <c r="K4" s="559" t="s">
        <v>1773</v>
      </c>
      <c r="L4" s="2710"/>
      <c r="M4" s="2711"/>
      <c r="N4" s="2711"/>
      <c r="O4" s="2711"/>
      <c r="P4" s="3696" t="s">
        <v>1774</v>
      </c>
      <c r="Q4" s="3697"/>
      <c r="R4" s="3702" t="s">
        <v>1770</v>
      </c>
      <c r="S4" s="3703"/>
      <c r="T4" s="3702" t="s">
        <v>1771</v>
      </c>
      <c r="U4" s="3703"/>
      <c r="V4" s="3687" t="s">
        <v>1772</v>
      </c>
      <c r="W4" s="3687"/>
      <c r="X4" s="1355"/>
      <c r="Y4" s="3702" t="s">
        <v>1774</v>
      </c>
      <c r="Z4" s="3703"/>
      <c r="AA4" s="3689" t="s">
        <v>1770</v>
      </c>
      <c r="AB4" s="3690" t="s">
        <v>1771</v>
      </c>
      <c r="AC4" s="3689" t="s">
        <v>1772</v>
      </c>
    </row>
    <row r="5" spans="1:29">
      <c r="A5" s="358"/>
      <c r="B5" s="359"/>
      <c r="C5" s="3710" t="s">
        <v>1672</v>
      </c>
      <c r="D5" s="3711"/>
      <c r="E5" s="3718" t="s">
        <v>1673</v>
      </c>
      <c r="F5" s="3719"/>
      <c r="G5" s="3710" t="s">
        <v>1674</v>
      </c>
      <c r="H5" s="3711"/>
      <c r="I5" s="3710" t="s">
        <v>1675</v>
      </c>
      <c r="J5" s="3711"/>
      <c r="K5" s="559"/>
      <c r="L5" s="2710"/>
      <c r="M5" s="2711"/>
      <c r="N5" s="2711"/>
      <c r="O5" s="2711"/>
      <c r="P5" s="3698"/>
      <c r="Q5" s="3699"/>
      <c r="R5" s="3704"/>
      <c r="S5" s="3705"/>
      <c r="T5" s="3704"/>
      <c r="U5" s="3705"/>
      <c r="V5" s="3687"/>
      <c r="W5" s="3687"/>
      <c r="X5" s="1355"/>
      <c r="Y5" s="3704"/>
      <c r="Z5" s="3705"/>
      <c r="AA5" s="3690"/>
      <c r="AB5" s="3690"/>
      <c r="AC5" s="3690"/>
    </row>
    <row r="6" spans="1:29" ht="15" thickBot="1">
      <c r="A6" s="360"/>
      <c r="B6" s="361"/>
      <c r="C6" s="3788" t="s">
        <v>1918</v>
      </c>
      <c r="D6" s="3789"/>
      <c r="E6" s="3790" t="s">
        <v>1918</v>
      </c>
      <c r="F6" s="3791"/>
      <c r="G6" s="3788" t="s">
        <v>1918</v>
      </c>
      <c r="H6" s="3789"/>
      <c r="I6" s="3788" t="s">
        <v>1918</v>
      </c>
      <c r="J6" s="3789"/>
      <c r="K6" s="559" t="s">
        <v>1677</v>
      </c>
      <c r="L6" s="2710"/>
      <c r="M6" s="2711"/>
      <c r="N6" s="2711"/>
      <c r="O6" s="2711"/>
      <c r="P6" s="3700"/>
      <c r="Q6" s="3701"/>
      <c r="R6" s="3704"/>
      <c r="S6" s="3705"/>
      <c r="T6" s="3706"/>
      <c r="U6" s="3707"/>
      <c r="V6" s="3687"/>
      <c r="W6" s="3687"/>
      <c r="X6" s="1355"/>
      <c r="Y6" s="3706"/>
      <c r="Z6" s="3707"/>
      <c r="AA6" s="3691"/>
      <c r="AB6" s="3691"/>
      <c r="AC6" s="3691"/>
    </row>
    <row r="7" spans="1:29" s="108" customFormat="1" ht="15" thickBot="1">
      <c r="A7" s="362" t="s">
        <v>1678</v>
      </c>
      <c r="B7" s="363"/>
      <c r="C7" s="364">
        <f>'数据-取费表'!B2</f>
        <v>44965</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12" t="s">
        <v>1679</v>
      </c>
      <c r="Q7" s="3714"/>
      <c r="R7" s="701" t="s">
        <v>14</v>
      </c>
      <c r="S7" s="702">
        <f t="shared" ref="S7:S15" si="0">F7</f>
        <v>0</v>
      </c>
      <c r="T7" s="701" t="s">
        <v>14</v>
      </c>
      <c r="U7" s="702">
        <f t="shared" ref="U7:U15" si="1">H7</f>
        <v>0</v>
      </c>
      <c r="V7" s="701" t="s">
        <v>14</v>
      </c>
      <c r="W7" s="702">
        <f t="shared" ref="W7:W15" si="2">J7</f>
        <v>0</v>
      </c>
      <c r="X7" s="703"/>
      <c r="Y7" s="3712" t="s">
        <v>1679</v>
      </c>
      <c r="Z7" s="3713"/>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2" t="s">
        <v>1682</v>
      </c>
      <c r="Q8" s="3713"/>
      <c r="R8" s="701" t="s">
        <v>14</v>
      </c>
      <c r="S8" s="702">
        <f t="shared" si="0"/>
        <v>0</v>
      </c>
      <c r="T8" s="701" t="s">
        <v>14</v>
      </c>
      <c r="U8" s="702">
        <f t="shared" si="1"/>
        <v>0</v>
      </c>
      <c r="V8" s="701" t="s">
        <v>14</v>
      </c>
      <c r="W8" s="702">
        <f t="shared" si="2"/>
        <v>0</v>
      </c>
      <c r="X8" s="703"/>
      <c r="Y8" s="3712" t="s">
        <v>1682</v>
      </c>
      <c r="Z8" s="3713"/>
      <c r="AA8" s="704" t="e">
        <f t="shared" ref="AA8:AA40" si="3">D8/F8</f>
        <v>#DIV/0!</v>
      </c>
      <c r="AB8" s="704" t="e">
        <f t="shared" ref="AB8:AB40" si="4">D8/H8</f>
        <v>#DIV/0!</v>
      </c>
      <c r="AC8" s="704" t="e">
        <f t="shared" ref="AC8:AC40" si="5">D8/J8</f>
        <v>#DIV/0!</v>
      </c>
    </row>
    <row r="9" spans="1:29" s="108" customFormat="1" ht="14.4">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7"/>
      <c r="P9" s="3673" t="s">
        <v>1685</v>
      </c>
      <c r="Q9" s="1343" t="str">
        <f t="shared" ref="Q9:Q15" si="6">B9</f>
        <v>用途</v>
      </c>
      <c r="R9" s="701" t="s">
        <v>14</v>
      </c>
      <c r="S9" s="702">
        <f t="shared" si="0"/>
        <v>100</v>
      </c>
      <c r="T9" s="701" t="s">
        <v>14</v>
      </c>
      <c r="U9" s="702">
        <f t="shared" si="1"/>
        <v>100</v>
      </c>
      <c r="V9" s="701" t="s">
        <v>14</v>
      </c>
      <c r="W9" s="702">
        <f t="shared" si="2"/>
        <v>100</v>
      </c>
      <c r="X9" s="703"/>
      <c r="Y9" s="3580"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145</v>
      </c>
      <c r="G10" s="383"/>
      <c r="H10" s="127">
        <f>ROUND(100/'数据-取费表'!G16,0)</f>
        <v>145</v>
      </c>
      <c r="I10" s="383"/>
      <c r="J10" s="127">
        <f>ROUND(100/'数据-取费表'!G16,0)</f>
        <v>145</v>
      </c>
      <c r="K10" s="620"/>
      <c r="L10" s="2714"/>
      <c r="M10" s="2715"/>
      <c r="N10" s="2715"/>
      <c r="O10" s="2768"/>
      <c r="P10" s="3673"/>
      <c r="Q10" s="1343" t="str">
        <f t="shared" si="6"/>
        <v>土地使用年限（年）</v>
      </c>
      <c r="R10" s="701" t="s">
        <v>14</v>
      </c>
      <c r="S10" s="702">
        <f t="shared" si="0"/>
        <v>145</v>
      </c>
      <c r="T10" s="701" t="s">
        <v>14</v>
      </c>
      <c r="U10" s="702">
        <f t="shared" si="1"/>
        <v>145</v>
      </c>
      <c r="V10" s="701" t="s">
        <v>14</v>
      </c>
      <c r="W10" s="702">
        <f t="shared" si="2"/>
        <v>145</v>
      </c>
      <c r="X10" s="703"/>
      <c r="Y10" s="3580"/>
      <c r="Z10" s="52" t="str">
        <f t="shared" si="7"/>
        <v>土地使用年限（年）</v>
      </c>
      <c r="AA10" s="704">
        <f t="shared" si="3"/>
        <v>0.68965517241379315</v>
      </c>
      <c r="AB10" s="704">
        <f t="shared" si="4"/>
        <v>0.68965517241379315</v>
      </c>
      <c r="AC10" s="704">
        <f t="shared" si="5"/>
        <v>0.68965517241379315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73"/>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73"/>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73"/>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73"/>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69">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80" t="s">
        <v>1690</v>
      </c>
      <c r="Q15" s="1352" t="str">
        <f t="shared" si="6"/>
        <v>产业集聚程度</v>
      </c>
      <c r="R15" s="705" t="s">
        <v>14</v>
      </c>
      <c r="S15" s="706">
        <f t="shared" si="0"/>
        <v>100</v>
      </c>
      <c r="T15" s="705" t="s">
        <v>14</v>
      </c>
      <c r="U15" s="706">
        <f t="shared" si="1"/>
        <v>100</v>
      </c>
      <c r="V15" s="705" t="s">
        <v>14</v>
      </c>
      <c r="W15" s="706">
        <f t="shared" si="2"/>
        <v>100</v>
      </c>
      <c r="X15" s="1355"/>
      <c r="Y15" s="368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9"/>
      <c r="P16" s="3681"/>
      <c r="Q16" s="1352"/>
      <c r="R16" s="705"/>
      <c r="S16" s="706"/>
      <c r="T16" s="705"/>
      <c r="U16" s="706"/>
      <c r="V16" s="705"/>
      <c r="W16" s="706"/>
      <c r="X16" s="1355"/>
      <c r="Y16" s="3681"/>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9"/>
      <c r="P18" s="3681"/>
      <c r="Q18" s="1352"/>
      <c r="R18" s="705"/>
      <c r="S18" s="706"/>
      <c r="T18" s="705"/>
      <c r="U18" s="706"/>
      <c r="V18" s="705"/>
      <c r="W18" s="706"/>
      <c r="X18" s="1355"/>
      <c r="Y18" s="3681"/>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9"/>
      <c r="P20" s="3681"/>
      <c r="Q20" s="1352"/>
      <c r="R20" s="705"/>
      <c r="S20" s="706"/>
      <c r="T20" s="705"/>
      <c r="U20" s="706"/>
      <c r="V20" s="705"/>
      <c r="W20" s="706"/>
      <c r="X20" s="1355"/>
      <c r="Y20" s="3681"/>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9"/>
      <c r="P22" s="3681"/>
      <c r="Q22" s="1352"/>
      <c r="R22" s="705"/>
      <c r="S22" s="706"/>
      <c r="T22" s="705"/>
      <c r="U22" s="706"/>
      <c r="V22" s="705"/>
      <c r="W22" s="706"/>
      <c r="X22" s="1355"/>
      <c r="Y22" s="3681"/>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7"/>
      <c r="P24" s="3681"/>
      <c r="Q24" s="1343"/>
      <c r="R24" s="701"/>
      <c r="S24" s="702"/>
      <c r="T24" s="701"/>
      <c r="U24" s="702"/>
      <c r="V24" s="701"/>
      <c r="W24" s="702"/>
      <c r="X24" s="703"/>
      <c r="Y24" s="3681"/>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7"/>
      <c r="P26" s="3681"/>
      <c r="Q26" s="1343"/>
      <c r="R26" s="701"/>
      <c r="S26" s="702"/>
      <c r="T26" s="701"/>
      <c r="U26" s="702"/>
      <c r="V26" s="701"/>
      <c r="W26" s="702"/>
      <c r="X26" s="703"/>
      <c r="Y26" s="368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9"/>
      <c r="P29" s="3681"/>
      <c r="Q29" s="1352"/>
      <c r="R29" s="705"/>
      <c r="S29" s="706"/>
      <c r="T29" s="705"/>
      <c r="U29" s="706"/>
      <c r="V29" s="705"/>
      <c r="W29" s="706"/>
      <c r="X29" s="1355"/>
      <c r="Y29" s="368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83" t="s">
        <v>1695</v>
      </c>
      <c r="Q32" s="1352">
        <f t="shared" si="8"/>
        <v>111</v>
      </c>
      <c r="R32" s="705" t="s">
        <v>14</v>
      </c>
      <c r="S32" s="706">
        <f t="shared" si="10"/>
        <v>100</v>
      </c>
      <c r="T32" s="705" t="s">
        <v>14</v>
      </c>
      <c r="U32" s="706">
        <f t="shared" si="11"/>
        <v>100</v>
      </c>
      <c r="V32" s="705" t="s">
        <v>14</v>
      </c>
      <c r="W32" s="706">
        <f t="shared" si="12"/>
        <v>100</v>
      </c>
      <c r="X32" s="1355"/>
      <c r="Y32" s="3685"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9"/>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7"/>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9"/>
      <c r="P37" s="3685" t="s">
        <v>1695</v>
      </c>
      <c r="Q37" s="1352" t="str">
        <f t="shared" si="14"/>
        <v>工程地质条件</v>
      </c>
      <c r="R37" s="705" t="s">
        <v>14</v>
      </c>
      <c r="S37" s="706">
        <f t="shared" si="10"/>
        <v>100</v>
      </c>
      <c r="T37" s="705" t="s">
        <v>14</v>
      </c>
      <c r="U37" s="706">
        <f t="shared" si="11"/>
        <v>100</v>
      </c>
      <c r="V37" s="705" t="s">
        <v>14</v>
      </c>
      <c r="W37" s="706">
        <f t="shared" si="12"/>
        <v>100</v>
      </c>
      <c r="X37" s="1355"/>
      <c r="Y37" s="368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19"/>
      <c r="M41" s="2711"/>
      <c r="N41" s="2711"/>
      <c r="O41" s="2720"/>
      <c r="P41" s="3673" t="str">
        <f>A41</f>
        <v>成交单价</v>
      </c>
      <c r="Q41" s="3673"/>
      <c r="R41" s="3687">
        <f>E41</f>
        <v>0</v>
      </c>
      <c r="S41" s="3687"/>
      <c r="T41" s="3687">
        <f>G41</f>
        <v>0</v>
      </c>
      <c r="U41" s="3687"/>
      <c r="V41" s="3687">
        <f>I41</f>
        <v>0</v>
      </c>
      <c r="W41" s="3687"/>
      <c r="X41" s="690"/>
      <c r="Y41" s="712"/>
      <c r="Z41" s="690"/>
      <c r="AA41" s="690"/>
      <c r="AB41" s="690"/>
      <c r="AC41" s="690"/>
    </row>
    <row r="42" spans="1:31" ht="15" thickBot="1">
      <c r="A42" s="437" t="s">
        <v>1792</v>
      </c>
      <c r="B42" s="631"/>
      <c r="C42" s="440" t="e">
        <f>R43</f>
        <v>#DIV/0!</v>
      </c>
      <c r="D42" s="2317" t="s">
        <v>2137</v>
      </c>
      <c r="E42" s="440" t="e">
        <f>R42</f>
        <v>#DIV/0!</v>
      </c>
      <c r="F42" s="2318"/>
      <c r="G42" s="439" t="e">
        <f>T42</f>
        <v>#DIV/0!</v>
      </c>
      <c r="H42" s="2318"/>
      <c r="I42" s="440" t="e">
        <f>V42</f>
        <v>#DIV/0!</v>
      </c>
      <c r="J42" s="2318"/>
      <c r="K42" s="2320">
        <f>F42+H42+J42</f>
        <v>0</v>
      </c>
      <c r="L42" s="2719"/>
      <c r="M42" s="2711"/>
      <c r="N42" s="2711"/>
      <c r="O42" s="2720"/>
      <c r="P42" s="3673" t="str">
        <f>A42</f>
        <v>比较价值（元/平方米）</v>
      </c>
      <c r="Q42" s="3673"/>
      <c r="R42" s="3785" t="e">
        <f>ROUND(PRODUCT(R41,AA7:AA40),0)</f>
        <v>#DIV/0!</v>
      </c>
      <c r="S42" s="3785"/>
      <c r="T42" s="3785" t="e">
        <f>ROUND(PRODUCT(T41,AB7:AB40),0)</f>
        <v>#DIV/0!</v>
      </c>
      <c r="U42" s="3785"/>
      <c r="V42" s="3785" t="e">
        <f>ROUND(PRODUCT(V41,AC7:AC40),0)</f>
        <v>#DIV/0!</v>
      </c>
      <c r="W42" s="378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19"/>
      <c r="M43" s="2711"/>
      <c r="N43" s="2711"/>
      <c r="O43" s="2720"/>
      <c r="P43" s="3675" t="str">
        <f>A43</f>
        <v>估价对象XX用房的比较价值（楼面单价，元/平方米）</v>
      </c>
      <c r="Q43" s="3676"/>
      <c r="R43" s="3786" t="e">
        <f>ROUND(IF(D42="简单平均",AVERAGE(R42:W42),R42*F42+T42*H42+V42*J42),0)</f>
        <v>#DIV/0!</v>
      </c>
      <c r="S43" s="3786"/>
      <c r="T43" s="3786"/>
      <c r="U43" s="3786"/>
      <c r="V43" s="3786"/>
      <c r="W43" s="378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4.4"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8.8">
      <c r="A50" s="632" t="s">
        <v>1880</v>
      </c>
      <c r="B50" s="633" t="s">
        <v>1881</v>
      </c>
      <c r="C50" s="1983" t="s">
        <v>1882</v>
      </c>
      <c r="D50" s="1984" t="s">
        <v>1883</v>
      </c>
      <c r="E50" s="634" t="s">
        <v>1884</v>
      </c>
      <c r="F50" s="635" t="s">
        <v>1885</v>
      </c>
      <c r="G50" s="3692" t="s">
        <v>1886</v>
      </c>
      <c r="H50" s="3787"/>
      <c r="I50" s="1356" t="s">
        <v>1922</v>
      </c>
      <c r="J50" s="1356">
        <f>项目基本情况!F35</f>
        <v>0</v>
      </c>
      <c r="K50" s="1986" t="s">
        <v>1888</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1889</v>
      </c>
      <c r="B51" s="637" t="e">
        <f>C43</f>
        <v>#DIV/0!</v>
      </c>
      <c r="C51" s="638">
        <v>1</v>
      </c>
      <c r="D51" s="944">
        <v>1</v>
      </c>
      <c r="E51" s="638">
        <f>'数据-汇总表'!E8+'数据-汇总表'!E9</f>
        <v>1139.1300000000001</v>
      </c>
      <c r="F51" s="639" t="e">
        <f t="shared" ref="F51:F60" si="15">ROUND(B51*E51/10000,0)</f>
        <v>#DIV/0!</v>
      </c>
      <c r="G51" s="3688"/>
      <c r="H51" s="3673"/>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1890</v>
      </c>
      <c r="B52" s="218" t="e">
        <f>ROUND($C$43*C52*D52,0)</f>
        <v>#DIV/0!</v>
      </c>
      <c r="C52" s="171">
        <f t="shared" ref="C52:C60" si="16">IF($C$50="北京市系数",I52,J52)</f>
        <v>0.7</v>
      </c>
      <c r="D52" s="945">
        <v>0.25</v>
      </c>
      <c r="E52" s="642"/>
      <c r="F52" s="639" t="e">
        <f t="shared" si="15"/>
        <v>#DIV/0!</v>
      </c>
      <c r="G52" s="3001" t="s">
        <v>1891</v>
      </c>
      <c r="H52" s="887" t="str">
        <f>项目基本情况!B37</f>
        <v>二级</v>
      </c>
      <c r="I52" s="773">
        <f>SUMIF(修正!A57:A68,H52,修正!B57:B68)</f>
        <v>0.7</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1892</v>
      </c>
      <c r="B53" s="218" t="e">
        <f t="shared" ref="B53:B60" si="17">ROUND($C$43*C53*D53,0)</f>
        <v>#DIV/0!</v>
      </c>
      <c r="C53" s="171">
        <f t="shared" si="16"/>
        <v>0.4</v>
      </c>
      <c r="D53" s="945">
        <v>0.25</v>
      </c>
      <c r="E53" s="642"/>
      <c r="F53" s="639" t="e">
        <f t="shared" si="15"/>
        <v>#DIV/0!</v>
      </c>
      <c r="G53" s="3002"/>
      <c r="H53" s="887" t="str">
        <f>项目基本情况!B37</f>
        <v>二级</v>
      </c>
      <c r="I53" s="773">
        <f>SUMIF(修正!A57:A68,H53,修正!C57:C68)</f>
        <v>0.4</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1893</v>
      </c>
      <c r="B54" s="218" t="e">
        <f t="shared" si="17"/>
        <v>#DIV/0!</v>
      </c>
      <c r="C54" s="171">
        <f t="shared" si="16"/>
        <v>0.3</v>
      </c>
      <c r="D54" s="945">
        <v>0.25</v>
      </c>
      <c r="E54" s="642"/>
      <c r="F54" s="639" t="e">
        <f t="shared" si="15"/>
        <v>#DIV/0!</v>
      </c>
      <c r="G54" s="3002"/>
      <c r="H54" s="887" t="str">
        <f>项目基本情况!B37</f>
        <v>二级</v>
      </c>
      <c r="I54" s="773">
        <f>SUMIF(修正!A57:A68,H54,修正!D57:D68)</f>
        <v>0.3</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1900</v>
      </c>
      <c r="B59" s="218" t="e">
        <f t="shared" si="17"/>
        <v>#DIV/0!</v>
      </c>
      <c r="C59" s="171">
        <f t="shared" si="16"/>
        <v>0.2</v>
      </c>
      <c r="D59" s="945">
        <v>0.25</v>
      </c>
      <c r="E59" s="217">
        <f>'数据-汇总表'!E14</f>
        <v>0</v>
      </c>
      <c r="F59" s="639" t="e">
        <f t="shared" si="15"/>
        <v>#DIV/0!</v>
      </c>
      <c r="G59" s="1987" t="s">
        <v>1891</v>
      </c>
      <c r="H59" s="887" t="str">
        <f>项目基本情况!B37</f>
        <v>二级</v>
      </c>
      <c r="I59" s="773">
        <f>SUMIF(修正!A57:A68,H59,修正!G57:G68)</f>
        <v>0.2</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4.4" thickBot="1">
      <c r="A61" s="643" t="s">
        <v>1902</v>
      </c>
      <c r="B61" s="644" t="s">
        <v>22</v>
      </c>
      <c r="C61" s="644" t="s">
        <v>23</v>
      </c>
      <c r="D61" s="644" t="s">
        <v>392</v>
      </c>
      <c r="E61" s="644">
        <f>IF(B41="楼面地价",SUM(E51:E60),'数据-汇总表'!D3)</f>
        <v>278.54000000000002</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0"/>
      <c r="Q63" s="2720"/>
      <c r="R63" s="2720"/>
      <c r="S63" s="2720"/>
      <c r="T63" s="2720"/>
      <c r="U63" s="2720"/>
      <c r="V63" s="2720"/>
      <c r="W63" s="2720"/>
      <c r="X63" s="2720"/>
      <c r="Y63" s="2720"/>
      <c r="Z63" s="2720"/>
      <c r="AA63" s="2720"/>
      <c r="AB63" s="2720"/>
      <c r="AC63" s="2720"/>
      <c r="AD63" s="2720"/>
      <c r="AE63" s="2720"/>
    </row>
    <row r="64" spans="1:31" ht="22.2" thickBot="1">
      <c r="A64" s="694" t="s">
        <v>1797</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4.4">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 thickBot="1">
      <c r="A67" s="464" t="s">
        <v>1715</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4.4">
      <c r="A68" s="470" t="s">
        <v>1680</v>
      </c>
      <c r="B68" s="459"/>
      <c r="C68" s="471" t="s">
        <v>1775</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4.4"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ht="14.4">
      <c r="A70" s="476" t="s">
        <v>1718</v>
      </c>
      <c r="B70" s="477" t="s">
        <v>1684</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4.4"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9.4" thickTop="1">
      <c r="A72" s="483"/>
      <c r="B72" s="487" t="s">
        <v>1687</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4.4"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4.4"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4.4"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4.4"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4.4"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4.4"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4.4"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ht="14.4">
      <c r="A83" s="476" t="s">
        <v>1689</v>
      </c>
      <c r="B83" s="477" t="s">
        <v>1828</v>
      </c>
      <c r="C83" s="522" t="s">
        <v>1720</v>
      </c>
      <c r="D83" s="522" t="s">
        <v>1721</v>
      </c>
      <c r="E83" s="522" t="s">
        <v>1722</v>
      </c>
      <c r="F83" s="522" t="s">
        <v>1723</v>
      </c>
      <c r="G83" s="522" t="s">
        <v>1724</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 thickTop="1">
      <c r="A85" s="483"/>
      <c r="B85" s="487" t="s">
        <v>1725</v>
      </c>
      <c r="C85" s="527" t="s">
        <v>1720</v>
      </c>
      <c r="D85" s="527" t="s">
        <v>1721</v>
      </c>
      <c r="E85" s="527" t="s">
        <v>1722</v>
      </c>
      <c r="F85" s="527" t="s">
        <v>1723</v>
      </c>
      <c r="G85" s="527" t="s">
        <v>1724</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 thickTop="1">
      <c r="A95" s="483"/>
      <c r="B95" s="487" t="str">
        <f>B27</f>
        <v>临街状况</v>
      </c>
      <c r="C95" s="488" t="s">
        <v>1908</v>
      </c>
      <c r="D95" s="488" t="s">
        <v>1909</v>
      </c>
      <c r="E95" s="488" t="s">
        <v>1910</v>
      </c>
      <c r="F95" s="488" t="s">
        <v>1911</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9.4" thickTop="1">
      <c r="A97" s="483"/>
      <c r="B97" s="487" t="s">
        <v>1814</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 thickTop="1">
      <c r="A99" s="483"/>
      <c r="B99" s="487" t="s">
        <v>1872</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4.4"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4.4"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4.4"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4.4"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4.4"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4.4"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4.4"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1913</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1915</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1916</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4.4"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4.4"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4.4"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4.4"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4.4"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4.4"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5" t="s">
        <v>2083</v>
      </c>
      <c r="D1" s="3796"/>
      <c r="E1" s="3796"/>
      <c r="F1" s="3796"/>
      <c r="G1" s="3796"/>
      <c r="H1" s="3796"/>
      <c r="I1" s="3796"/>
      <c r="J1" s="3796"/>
      <c r="K1" s="3796"/>
      <c r="L1" s="3796"/>
      <c r="M1" s="3796"/>
      <c r="N1" s="3796"/>
      <c r="O1" s="3796"/>
      <c r="P1" s="3796"/>
      <c r="Q1" s="3796"/>
      <c r="R1" s="3796"/>
      <c r="S1" s="379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92" t="s">
        <v>27</v>
      </c>
      <c r="D22" s="3793"/>
      <c r="E22" s="3793"/>
      <c r="F22" s="3793"/>
      <c r="G22" s="3793"/>
      <c r="H22" s="3793"/>
      <c r="I22" s="3793"/>
      <c r="J22" s="3793"/>
      <c r="K22" s="3793"/>
      <c r="L22" s="3793"/>
      <c r="M22" s="3793"/>
      <c r="N22" s="3793"/>
      <c r="O22" s="3793"/>
      <c r="P22" s="3793"/>
      <c r="Q22" s="379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88"/>
      <c r="G1" s="2788"/>
      <c r="H1" s="2788"/>
      <c r="I1" s="2788"/>
      <c r="J1" s="2788"/>
      <c r="K1" s="2788"/>
      <c r="L1" s="2788"/>
      <c r="M1" s="2788"/>
      <c r="N1" s="2788"/>
      <c r="O1" s="2788"/>
      <c r="P1" s="2788"/>
    </row>
    <row r="2" spans="1:16" ht="15.6">
      <c r="A2" s="2145" t="s">
        <v>2072</v>
      </c>
      <c r="B2" s="2597">
        <f ca="1">SUMIF(B6:B13,"&lt;&gt;#ref!",B6:B13)</f>
        <v>0</v>
      </c>
      <c r="C2" s="2145" t="s">
        <v>2073</v>
      </c>
      <c r="D2" s="2145" t="s">
        <v>2074</v>
      </c>
      <c r="E2" s="2607">
        <f ca="1">SUMIF(E6:E13,"&lt;&gt;#ref!",E6:E13)</f>
        <v>1139.1299999999999</v>
      </c>
      <c r="F2" s="2788"/>
      <c r="G2" s="2788"/>
      <c r="H2" s="2788"/>
      <c r="I2" s="2788"/>
      <c r="J2" s="2788"/>
      <c r="K2" s="2788"/>
      <c r="L2" s="2788"/>
      <c r="M2" s="2788"/>
      <c r="N2" s="2788"/>
      <c r="O2" s="2788"/>
      <c r="P2" s="2788"/>
    </row>
    <row r="3" spans="1:16" ht="15.6">
      <c r="A3" s="2145" t="s">
        <v>2075</v>
      </c>
      <c r="B3" s="2597">
        <f ca="1">ROUND(B2*10000/E2,0)</f>
        <v>0</v>
      </c>
      <c r="C3" s="2145" t="s">
        <v>2081</v>
      </c>
      <c r="D3" s="2788"/>
      <c r="E3" s="2788"/>
      <c r="F3" s="2788"/>
      <c r="G3" s="2788"/>
      <c r="H3" s="2788"/>
      <c r="I3" s="2788"/>
      <c r="J3" s="2788"/>
      <c r="K3" s="2788"/>
      <c r="L3" s="2788"/>
      <c r="M3" s="2788"/>
      <c r="N3" s="2788"/>
      <c r="O3" s="2788"/>
      <c r="P3" s="2788"/>
    </row>
    <row r="4" spans="1:16" ht="15.6">
      <c r="A4" s="2789"/>
      <c r="B4" s="2788"/>
      <c r="C4" s="2788"/>
      <c r="D4" s="2788"/>
      <c r="E4" s="2788"/>
      <c r="F4" s="2788"/>
      <c r="G4" s="2788"/>
      <c r="H4" s="2788"/>
      <c r="I4" s="2788"/>
      <c r="J4" s="2788"/>
      <c r="K4" s="2788"/>
      <c r="L4" s="2788"/>
      <c r="M4" s="2788"/>
      <c r="N4" s="2788"/>
      <c r="O4" s="2788"/>
      <c r="P4" s="2788"/>
    </row>
    <row r="5" spans="1:16" ht="31.2">
      <c r="A5" s="2603" t="s">
        <v>2076</v>
      </c>
      <c r="B5" s="2605" t="s">
        <v>2077</v>
      </c>
      <c r="C5" s="2146"/>
      <c r="D5" s="2788"/>
      <c r="E5" s="2606" t="s">
        <v>2078</v>
      </c>
      <c r="F5" s="2788"/>
      <c r="G5" s="2788"/>
      <c r="H5" s="2788"/>
      <c r="I5" s="2788"/>
      <c r="J5" s="2788"/>
      <c r="K5" s="2788"/>
      <c r="L5" s="2788"/>
      <c r="M5" s="2788"/>
      <c r="N5" s="2788"/>
      <c r="O5" s="2788"/>
      <c r="P5" s="2788"/>
    </row>
    <row r="6" spans="1:16" ht="15.6">
      <c r="A6" s="2604" t="s">
        <v>2079</v>
      </c>
      <c r="B6" s="2597">
        <f ca="1">SUMIF(INDIRECT("'"&amp;A6&amp;"'"&amp;"!A:A"),"总价",INDIRECT("'"&amp;A6&amp;"'"&amp;"!B:B"))</f>
        <v>0</v>
      </c>
      <c r="C6" s="2145" t="s">
        <v>2073</v>
      </c>
      <c r="D6" s="2788"/>
      <c r="E6" s="2607">
        <f ca="1">SUMIF(INDIRECT("'"&amp;A6&amp;"'"&amp;"!C:C"),"建筑面积",INDIRECT("'"&amp;A6&amp;"'"&amp;"!D:D"))</f>
        <v>1139.1299999999999</v>
      </c>
      <c r="F6" s="2788"/>
      <c r="G6" s="2788"/>
      <c r="H6" s="2788"/>
      <c r="I6" s="2788"/>
      <c r="J6" s="2788"/>
      <c r="K6" s="2788"/>
      <c r="L6" s="2788"/>
      <c r="M6" s="2788"/>
      <c r="N6" s="2788"/>
      <c r="O6" s="2788"/>
      <c r="P6" s="2788"/>
    </row>
    <row r="7" spans="1:16" ht="15.6">
      <c r="A7" s="2604"/>
      <c r="B7" s="2597" t="e">
        <f ca="1">SUMIF(INDIRECT("'"&amp;A7&amp;"'"&amp;"!A:A"),"总价",INDIRECT("'"&amp;A7&amp;"'"&amp;"!B:B"))</f>
        <v>#REF!</v>
      </c>
      <c r="C7" s="2145" t="s">
        <v>2073</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6">
      <c r="A8" s="2604"/>
      <c r="B8" s="2597" t="e">
        <f t="shared" ref="B8:B13" ca="1" si="1">SUMIF(INDIRECT("'"&amp;A8&amp;"'"&amp;"!A:A"),"总价",INDIRECT("'"&amp;A8&amp;"'"&amp;"!B:B"))</f>
        <v>#REF!</v>
      </c>
      <c r="C8" s="2145" t="s">
        <v>2073</v>
      </c>
      <c r="D8" s="2788"/>
      <c r="E8" s="2607" t="e">
        <f t="shared" ca="1" si="0"/>
        <v>#REF!</v>
      </c>
      <c r="F8" s="2788"/>
      <c r="G8" s="2788"/>
      <c r="H8" s="2788"/>
      <c r="I8" s="2788"/>
      <c r="J8" s="2788"/>
      <c r="K8" s="2788"/>
      <c r="L8" s="2788"/>
      <c r="M8" s="2788"/>
      <c r="N8" s="2788"/>
      <c r="O8" s="2788"/>
      <c r="P8" s="2788"/>
    </row>
    <row r="9" spans="1:16" ht="15.6">
      <c r="A9" s="2604"/>
      <c r="B9" s="2597" t="e">
        <f t="shared" ca="1" si="1"/>
        <v>#REF!</v>
      </c>
      <c r="C9" s="2145" t="s">
        <v>2073</v>
      </c>
      <c r="D9" s="2788"/>
      <c r="E9" s="2607" t="e">
        <f t="shared" ca="1" si="0"/>
        <v>#REF!</v>
      </c>
      <c r="F9" s="2788"/>
      <c r="G9" s="2788"/>
      <c r="H9" s="2788"/>
      <c r="I9" s="2788"/>
      <c r="J9" s="2788"/>
      <c r="K9" s="2788"/>
      <c r="L9" s="2788"/>
      <c r="M9" s="2788"/>
      <c r="N9" s="2788"/>
      <c r="O9" s="2788"/>
      <c r="P9" s="2788"/>
    </row>
    <row r="10" spans="1:16" ht="15.6">
      <c r="A10" s="2604"/>
      <c r="B10" s="2597" t="e">
        <f t="shared" ca="1" si="1"/>
        <v>#REF!</v>
      </c>
      <c r="C10" s="2145" t="s">
        <v>2073</v>
      </c>
      <c r="D10" s="2788"/>
      <c r="E10" s="2607" t="e">
        <f t="shared" ca="1" si="0"/>
        <v>#REF!</v>
      </c>
      <c r="F10" s="2788"/>
      <c r="G10" s="2788"/>
      <c r="H10" s="2788"/>
      <c r="I10" s="2788"/>
      <c r="J10" s="2788"/>
      <c r="K10" s="2788"/>
      <c r="L10" s="2788"/>
      <c r="M10" s="2788"/>
      <c r="N10" s="2788"/>
      <c r="O10" s="2788"/>
      <c r="P10" s="2788"/>
    </row>
    <row r="11" spans="1:16" ht="15.6">
      <c r="A11" s="2604"/>
      <c r="B11" s="2597" t="e">
        <f t="shared" ca="1" si="1"/>
        <v>#REF!</v>
      </c>
      <c r="C11" s="2145" t="s">
        <v>2073</v>
      </c>
      <c r="D11" s="2788"/>
      <c r="E11" s="2607" t="e">
        <f t="shared" ca="1" si="0"/>
        <v>#REF!</v>
      </c>
      <c r="F11" s="2788"/>
      <c r="G11" s="2788"/>
      <c r="H11" s="2788"/>
      <c r="I11" s="2788"/>
      <c r="J11" s="2788"/>
      <c r="K11" s="2788"/>
      <c r="L11" s="2788"/>
      <c r="M11" s="2788"/>
      <c r="N11" s="2788"/>
      <c r="O11" s="2788"/>
      <c r="P11" s="2788"/>
    </row>
    <row r="12" spans="1:16" ht="15.6">
      <c r="A12" s="2604"/>
      <c r="B12" s="2597" t="e">
        <f t="shared" ca="1" si="1"/>
        <v>#REF!</v>
      </c>
      <c r="C12" s="2145" t="s">
        <v>2073</v>
      </c>
      <c r="D12" s="2788"/>
      <c r="E12" s="2607" t="e">
        <f t="shared" ca="1" si="0"/>
        <v>#REF!</v>
      </c>
      <c r="F12" s="2788"/>
      <c r="G12" s="2788"/>
      <c r="H12" s="2788"/>
      <c r="I12" s="2788"/>
      <c r="J12" s="2788"/>
      <c r="K12" s="2788"/>
      <c r="L12" s="2788"/>
      <c r="M12" s="2788"/>
      <c r="N12" s="2788"/>
      <c r="O12" s="2788"/>
      <c r="P12" s="2788"/>
    </row>
    <row r="13" spans="1:16" ht="15.6">
      <c r="A13" s="2604"/>
      <c r="B13" s="2597" t="e">
        <f t="shared" ca="1" si="1"/>
        <v>#REF!</v>
      </c>
      <c r="C13" s="2145" t="s">
        <v>2073</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9" customWidth="1"/>
    <col min="14" max="14" width="10" style="3069" customWidth="1"/>
    <col min="15" max="16" width="8.21875" style="3069"/>
    <col min="17" max="17" width="34.109375" style="3069" customWidth="1"/>
    <col min="18" max="18" width="8.21875" style="3069" customWidth="1"/>
    <col min="19" max="19" width="8.21875" style="3069"/>
    <col min="20" max="20" width="11.6640625" style="3069" customWidth="1"/>
    <col min="21" max="16384" width="8.21875" style="3069"/>
  </cols>
  <sheetData>
    <row r="1" spans="1:13" ht="19.5" customHeight="1" thickBot="1">
      <c r="A1" s="3066" t="s">
        <v>2590</v>
      </c>
      <c r="B1" s="3067" t="s">
        <v>2591</v>
      </c>
      <c r="C1" s="3067" t="s">
        <v>2592</v>
      </c>
      <c r="D1" s="3067" t="s">
        <v>2593</v>
      </c>
      <c r="E1" s="3067" t="s">
        <v>2594</v>
      </c>
      <c r="F1" s="3067" t="s">
        <v>2595</v>
      </c>
      <c r="G1" s="3067" t="s">
        <v>2596</v>
      </c>
      <c r="H1" s="3067" t="s">
        <v>2597</v>
      </c>
      <c r="I1" s="3067" t="s">
        <v>2598</v>
      </c>
      <c r="J1" s="3067" t="s">
        <v>2599</v>
      </c>
      <c r="K1" s="3067" t="s">
        <v>2600</v>
      </c>
      <c r="L1" s="3067" t="s">
        <v>2601</v>
      </c>
      <c r="M1" s="3068" t="s">
        <v>2602</v>
      </c>
    </row>
    <row r="2" spans="1:13" ht="19.5" customHeight="1">
      <c r="A2" s="3070" t="s">
        <v>2603</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2604</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2605</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2606</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2607</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2608</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2609</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2610</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2611</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2612</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2613</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2614</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2615</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2616</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2617</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2618</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2619</v>
      </c>
      <c r="B18" s="3092"/>
      <c r="C18" s="3093"/>
      <c r="D18" s="3093"/>
      <c r="E18" s="3092"/>
      <c r="F18" s="3093"/>
      <c r="G18" s="3093"/>
    </row>
    <row r="19" spans="1:13" ht="19.5" customHeight="1" thickBot="1">
      <c r="A19" s="3090" t="s">
        <v>2620</v>
      </c>
      <c r="B19" s="3095" t="s">
        <v>2621</v>
      </c>
      <c r="C19" s="3095" t="s">
        <v>2622</v>
      </c>
      <c r="D19" s="3096"/>
      <c r="E19" s="3090" t="s">
        <v>2623</v>
      </c>
      <c r="F19" s="3097"/>
      <c r="G19" s="3097"/>
    </row>
    <row r="20" spans="1:13" ht="19.5" customHeight="1">
      <c r="A20" s="3807" t="s">
        <v>2603</v>
      </c>
      <c r="B20" s="3802" t="s">
        <v>2624</v>
      </c>
      <c r="C20" s="3098" t="s">
        <v>2435</v>
      </c>
      <c r="D20" s="3099"/>
      <c r="E20" s="3100">
        <v>1</v>
      </c>
      <c r="F20" s="3101" t="s">
        <v>2436</v>
      </c>
      <c r="G20" s="3101"/>
    </row>
    <row r="21" spans="1:13" ht="19.5" customHeight="1">
      <c r="A21" s="3808"/>
      <c r="B21" s="3801"/>
      <c r="C21" s="3102" t="s">
        <v>2437</v>
      </c>
      <c r="D21" s="3103"/>
      <c r="E21" s="3104">
        <v>1</v>
      </c>
      <c r="F21" s="3101" t="s">
        <v>2438</v>
      </c>
      <c r="G21" s="3101"/>
    </row>
    <row r="22" spans="1:13" ht="19.5" customHeight="1">
      <c r="A22" s="3808"/>
      <c r="B22" s="3801"/>
      <c r="C22" s="3102" t="s">
        <v>2439</v>
      </c>
      <c r="D22" s="3103"/>
      <c r="E22" s="3104">
        <v>0.9</v>
      </c>
      <c r="F22" s="3101" t="s">
        <v>2440</v>
      </c>
      <c r="G22" s="3101"/>
    </row>
    <row r="23" spans="1:13" ht="19.5" customHeight="1">
      <c r="A23" s="3808"/>
      <c r="B23" s="3801"/>
      <c r="C23" s="3102" t="s">
        <v>2441</v>
      </c>
      <c r="D23" s="3103"/>
      <c r="E23" s="3104">
        <v>0.9</v>
      </c>
      <c r="F23" s="3101" t="s">
        <v>2442</v>
      </c>
      <c r="G23" s="3101"/>
    </row>
    <row r="24" spans="1:13" ht="19.5" customHeight="1">
      <c r="A24" s="3808"/>
      <c r="B24" s="3801"/>
      <c r="C24" s="3102" t="s">
        <v>2443</v>
      </c>
      <c r="D24" s="3103"/>
      <c r="E24" s="3104">
        <v>0.8</v>
      </c>
      <c r="F24" s="3101" t="s">
        <v>2444</v>
      </c>
      <c r="G24" s="3101"/>
    </row>
    <row r="25" spans="1:13" ht="19.5" customHeight="1" thickBot="1">
      <c r="A25" s="3809"/>
      <c r="B25" s="3803"/>
      <c r="C25" s="3105" t="s">
        <v>2445</v>
      </c>
      <c r="D25" s="3106"/>
      <c r="E25" s="3107">
        <v>0.8</v>
      </c>
      <c r="F25" s="3101" t="s">
        <v>2446</v>
      </c>
      <c r="G25" s="3101"/>
    </row>
    <row r="26" spans="1:13" ht="19.5" customHeight="1" thickBot="1">
      <c r="A26" s="3108" t="s">
        <v>2625</v>
      </c>
      <c r="B26" s="3109" t="s">
        <v>2624</v>
      </c>
      <c r="C26" s="3110" t="s">
        <v>2626</v>
      </c>
      <c r="D26" s="3111"/>
      <c r="E26" s="3112">
        <v>1</v>
      </c>
      <c r="F26" s="3101" t="s">
        <v>2447</v>
      </c>
      <c r="G26" s="3101"/>
    </row>
    <row r="27" spans="1:13" ht="19.5" customHeight="1">
      <c r="A27" s="3804" t="s">
        <v>2627</v>
      </c>
      <c r="B27" s="3802" t="s">
        <v>2608</v>
      </c>
      <c r="C27" s="3098" t="s">
        <v>2448</v>
      </c>
      <c r="D27" s="3099"/>
      <c r="E27" s="3100">
        <v>1</v>
      </c>
      <c r="F27" s="3101" t="s">
        <v>2449</v>
      </c>
      <c r="G27" s="3101"/>
    </row>
    <row r="28" spans="1:13" ht="19.5" customHeight="1">
      <c r="A28" s="3805"/>
      <c r="B28" s="3801"/>
      <c r="C28" s="3102" t="s">
        <v>2450</v>
      </c>
      <c r="D28" s="3103"/>
      <c r="E28" s="3104">
        <v>1</v>
      </c>
      <c r="F28" s="3101" t="s">
        <v>2451</v>
      </c>
      <c r="G28" s="3101"/>
    </row>
    <row r="29" spans="1:13" ht="19.5" customHeight="1">
      <c r="A29" s="3805"/>
      <c r="B29" s="3801"/>
      <c r="C29" s="3102" t="s">
        <v>2452</v>
      </c>
      <c r="D29" s="3103"/>
      <c r="E29" s="3104">
        <v>0.8</v>
      </c>
      <c r="F29" s="3101" t="s">
        <v>2453</v>
      </c>
      <c r="G29" s="3101"/>
    </row>
    <row r="30" spans="1:13" ht="19.5" customHeight="1">
      <c r="A30" s="3805"/>
      <c r="B30" s="3801"/>
      <c r="C30" s="3102" t="s">
        <v>2454</v>
      </c>
      <c r="D30" s="3103"/>
      <c r="E30" s="3104">
        <v>0.8</v>
      </c>
      <c r="F30" s="3101" t="s">
        <v>2455</v>
      </c>
      <c r="G30" s="3101"/>
    </row>
    <row r="31" spans="1:13" ht="19.5" customHeight="1">
      <c r="A31" s="3805"/>
      <c r="B31" s="3801"/>
      <c r="C31" s="3102" t="s">
        <v>2456</v>
      </c>
      <c r="D31" s="3103"/>
      <c r="E31" s="3104">
        <v>0.8</v>
      </c>
      <c r="F31" s="3101" t="s">
        <v>2457</v>
      </c>
      <c r="G31" s="3101"/>
    </row>
    <row r="32" spans="1:13" ht="19.5" customHeight="1">
      <c r="A32" s="3805"/>
      <c r="B32" s="3801"/>
      <c r="C32" s="3102" t="s">
        <v>2458</v>
      </c>
      <c r="D32" s="3103"/>
      <c r="E32" s="3104">
        <v>0.7</v>
      </c>
      <c r="F32" s="3101" t="s">
        <v>2459</v>
      </c>
      <c r="G32" s="3101"/>
    </row>
    <row r="33" spans="1:7" ht="19.5" customHeight="1">
      <c r="A33" s="3805"/>
      <c r="B33" s="3801"/>
      <c r="C33" s="3102" t="s">
        <v>2460</v>
      </c>
      <c r="D33" s="3103"/>
      <c r="E33" s="3104">
        <v>0.8</v>
      </c>
      <c r="F33" s="3101" t="s">
        <v>2461</v>
      </c>
      <c r="G33" s="3101"/>
    </row>
    <row r="34" spans="1:7" ht="19.5" customHeight="1">
      <c r="A34" s="3805"/>
      <c r="B34" s="3801"/>
      <c r="C34" s="3102" t="s">
        <v>2462</v>
      </c>
      <c r="D34" s="3103"/>
      <c r="E34" s="3104">
        <v>0.6</v>
      </c>
      <c r="F34" s="3101" t="s">
        <v>2463</v>
      </c>
      <c r="G34" s="3101"/>
    </row>
    <row r="35" spans="1:7" ht="19.5" customHeight="1">
      <c r="A35" s="3805"/>
      <c r="B35" s="3801"/>
      <c r="C35" s="3102" t="s">
        <v>2464</v>
      </c>
      <c r="D35" s="3103"/>
      <c r="E35" s="3104">
        <v>0.2</v>
      </c>
      <c r="F35" s="3101" t="s">
        <v>2465</v>
      </c>
      <c r="G35" s="3101"/>
    </row>
    <row r="36" spans="1:7" ht="19.5" customHeight="1">
      <c r="A36" s="3805"/>
      <c r="B36" s="3801"/>
      <c r="C36" s="3102" t="s">
        <v>2466</v>
      </c>
      <c r="D36" s="3103"/>
      <c r="E36" s="3104">
        <v>0.2</v>
      </c>
      <c r="F36" s="3101" t="s">
        <v>2467</v>
      </c>
      <c r="G36" s="3101"/>
    </row>
    <row r="37" spans="1:7" ht="19.5" customHeight="1">
      <c r="A37" s="3805"/>
      <c r="B37" s="3799" t="s">
        <v>2628</v>
      </c>
      <c r="C37" s="3102" t="s">
        <v>2468</v>
      </c>
      <c r="D37" s="3103"/>
      <c r="E37" s="3104">
        <v>0.6</v>
      </c>
      <c r="F37" s="3101" t="s">
        <v>2469</v>
      </c>
      <c r="G37" s="3101"/>
    </row>
    <row r="38" spans="1:7" ht="19.5" customHeight="1">
      <c r="A38" s="3805"/>
      <c r="B38" s="3801"/>
      <c r="C38" s="3102" t="s">
        <v>2470</v>
      </c>
      <c r="D38" s="3103"/>
      <c r="E38" s="3104">
        <v>0.6</v>
      </c>
      <c r="F38" s="3101" t="s">
        <v>2471</v>
      </c>
      <c r="G38" s="3101"/>
    </row>
    <row r="39" spans="1:7" ht="19.5" customHeight="1" thickBot="1">
      <c r="A39" s="3806"/>
      <c r="B39" s="3803"/>
      <c r="C39" s="3105" t="s">
        <v>2472</v>
      </c>
      <c r="D39" s="3106"/>
      <c r="E39" s="3107">
        <v>0.6</v>
      </c>
      <c r="F39" s="3101" t="s">
        <v>2473</v>
      </c>
      <c r="G39" s="3101"/>
    </row>
    <row r="40" spans="1:7" ht="19.5" customHeight="1" thickBot="1">
      <c r="A40" s="3108" t="s">
        <v>2605</v>
      </c>
      <c r="B40" s="3109" t="s">
        <v>2605</v>
      </c>
      <c r="C40" s="3110" t="s">
        <v>2629</v>
      </c>
      <c r="D40" s="3111"/>
      <c r="E40" s="3112">
        <v>1</v>
      </c>
      <c r="F40" s="3101" t="s">
        <v>2474</v>
      </c>
      <c r="G40" s="3101"/>
    </row>
    <row r="41" spans="1:7" ht="19.5" customHeight="1">
      <c r="A41" s="3807" t="s">
        <v>2606</v>
      </c>
      <c r="B41" s="3802" t="s">
        <v>2630</v>
      </c>
      <c r="C41" s="3098" t="s">
        <v>2475</v>
      </c>
      <c r="D41" s="3099"/>
      <c r="E41" s="3100">
        <v>1</v>
      </c>
      <c r="F41" s="3101" t="s">
        <v>2476</v>
      </c>
      <c r="G41" s="3101"/>
    </row>
    <row r="42" spans="1:7" ht="19.5" customHeight="1">
      <c r="A42" s="3808"/>
      <c r="B42" s="3801"/>
      <c r="C42" s="3102" t="s">
        <v>2477</v>
      </c>
      <c r="D42" s="3103"/>
      <c r="E42" s="3104">
        <v>1</v>
      </c>
      <c r="F42" s="3101" t="s">
        <v>2478</v>
      </c>
      <c r="G42" s="3101"/>
    </row>
    <row r="43" spans="1:7" ht="19.5" customHeight="1">
      <c r="A43" s="3808"/>
      <c r="B43" s="3800"/>
      <c r="C43" s="3102" t="s">
        <v>2479</v>
      </c>
      <c r="D43" s="3103"/>
      <c r="E43" s="3104">
        <v>1.5</v>
      </c>
      <c r="F43" s="3101" t="s">
        <v>2480</v>
      </c>
      <c r="G43" s="3101"/>
    </row>
    <row r="44" spans="1:7" ht="19.5" customHeight="1">
      <c r="A44" s="3808"/>
      <c r="B44" s="3113" t="s">
        <v>2631</v>
      </c>
      <c r="C44" s="3102" t="s">
        <v>2632</v>
      </c>
      <c r="D44" s="3103"/>
      <c r="E44" s="3104">
        <v>2</v>
      </c>
      <c r="F44" s="3101" t="s">
        <v>2481</v>
      </c>
      <c r="G44" s="3101"/>
    </row>
    <row r="45" spans="1:7" ht="19.5" customHeight="1">
      <c r="A45" s="3808"/>
      <c r="B45" s="3799" t="s">
        <v>2633</v>
      </c>
      <c r="C45" s="3102" t="s">
        <v>2482</v>
      </c>
      <c r="D45" s="3103"/>
      <c r="E45" s="3104">
        <v>1</v>
      </c>
      <c r="F45" s="3101" t="s">
        <v>2483</v>
      </c>
      <c r="G45" s="3101"/>
    </row>
    <row r="46" spans="1:7" ht="19.5" customHeight="1">
      <c r="A46" s="3808"/>
      <c r="B46" s="3801"/>
      <c r="C46" s="3102" t="s">
        <v>2484</v>
      </c>
      <c r="D46" s="3103"/>
      <c r="E46" s="3104">
        <v>1</v>
      </c>
      <c r="F46" s="3101" t="s">
        <v>2485</v>
      </c>
      <c r="G46" s="3101"/>
    </row>
    <row r="47" spans="1:7" ht="19.5" customHeight="1">
      <c r="A47" s="3808"/>
      <c r="B47" s="3801"/>
      <c r="C47" s="3102" t="s">
        <v>2486</v>
      </c>
      <c r="D47" s="3103"/>
      <c r="E47" s="3104">
        <v>1</v>
      </c>
      <c r="F47" s="3101" t="s">
        <v>2487</v>
      </c>
      <c r="G47" s="3101"/>
    </row>
    <row r="48" spans="1:7" ht="19.5" customHeight="1">
      <c r="A48" s="3808"/>
      <c r="B48" s="3801"/>
      <c r="C48" s="3102" t="s">
        <v>2488</v>
      </c>
      <c r="D48" s="3103"/>
      <c r="E48" s="3104">
        <v>1</v>
      </c>
      <c r="F48" s="3101" t="s">
        <v>2489</v>
      </c>
      <c r="G48" s="3101"/>
    </row>
    <row r="49" spans="1:7" ht="19.5" customHeight="1">
      <c r="A49" s="3808"/>
      <c r="B49" s="3801"/>
      <c r="C49" s="3102" t="s">
        <v>2490</v>
      </c>
      <c r="D49" s="3103"/>
      <c r="E49" s="3104">
        <v>1</v>
      </c>
      <c r="F49" s="3101" t="s">
        <v>2491</v>
      </c>
      <c r="G49" s="3101"/>
    </row>
    <row r="50" spans="1:7" ht="19.5" customHeight="1">
      <c r="A50" s="3808"/>
      <c r="B50" s="3801"/>
      <c r="C50" s="3102" t="s">
        <v>2492</v>
      </c>
      <c r="D50" s="3103"/>
      <c r="E50" s="3104">
        <v>1</v>
      </c>
      <c r="F50" s="3101" t="s">
        <v>2493</v>
      </c>
      <c r="G50" s="3101"/>
    </row>
    <row r="51" spans="1:7" ht="19.5" customHeight="1" thickBot="1">
      <c r="A51" s="3809"/>
      <c r="B51" s="3803"/>
      <c r="C51" s="3105" t="s">
        <v>2494</v>
      </c>
      <c r="D51" s="3106"/>
      <c r="E51" s="3107">
        <v>1</v>
      </c>
      <c r="F51" s="3101" t="s">
        <v>2495</v>
      </c>
      <c r="G51" s="3101"/>
    </row>
    <row r="52" spans="1:7" ht="19.5" customHeight="1">
      <c r="A52" s="3114"/>
      <c r="B52" s="3114"/>
      <c r="C52" s="3114"/>
      <c r="D52" s="3114"/>
      <c r="E52" s="3114"/>
      <c r="F52" s="3114"/>
      <c r="G52" s="3114"/>
    </row>
    <row r="54" spans="1:7" ht="19.5" customHeight="1">
      <c r="A54" s="3115"/>
      <c r="B54" s="3087" t="s">
        <v>2634</v>
      </c>
      <c r="C54" s="3087" t="s">
        <v>2634</v>
      </c>
      <c r="D54" s="3087" t="s">
        <v>2634</v>
      </c>
      <c r="E54" s="3090" t="s">
        <v>2634</v>
      </c>
      <c r="F54" s="3090" t="s">
        <v>2635</v>
      </c>
      <c r="G54" s="3090" t="s">
        <v>2636</v>
      </c>
    </row>
    <row r="55" spans="1:7" ht="19.5" customHeight="1">
      <c r="A55" s="3116"/>
      <c r="B55" s="3090" t="s">
        <v>2603</v>
      </c>
      <c r="C55" s="3090" t="s">
        <v>2603</v>
      </c>
      <c r="D55" s="3090" t="s">
        <v>2603</v>
      </c>
      <c r="E55" s="3087" t="s">
        <v>2604</v>
      </c>
      <c r="F55" s="3087" t="s">
        <v>2606</v>
      </c>
      <c r="G55" s="3087" t="s">
        <v>2637</v>
      </c>
    </row>
    <row r="56" spans="1:7" ht="19.5" customHeight="1">
      <c r="A56" s="3117"/>
      <c r="B56" s="3087">
        <v>1</v>
      </c>
      <c r="C56" s="3087">
        <v>2</v>
      </c>
      <c r="D56" s="3087">
        <v>3</v>
      </c>
      <c r="E56" s="3118" t="s">
        <v>2638</v>
      </c>
      <c r="F56" s="3118" t="s">
        <v>2638</v>
      </c>
      <c r="G56" s="3118" t="s">
        <v>2638</v>
      </c>
    </row>
    <row r="57" spans="1:7" ht="19.5" customHeight="1">
      <c r="A57" s="3119" t="s">
        <v>2591</v>
      </c>
      <c r="B57" s="3087">
        <v>0.7</v>
      </c>
      <c r="C57" s="3087">
        <v>0.4</v>
      </c>
      <c r="D57" s="3087">
        <v>0.3</v>
      </c>
      <c r="E57" s="3118">
        <v>0.3</v>
      </c>
      <c r="F57" s="3087">
        <v>0.3</v>
      </c>
      <c r="G57" s="3087">
        <v>0.2</v>
      </c>
    </row>
    <row r="58" spans="1:7" ht="19.5" customHeight="1">
      <c r="A58" s="3119" t="s">
        <v>2592</v>
      </c>
      <c r="B58" s="3087">
        <v>0.7</v>
      </c>
      <c r="C58" s="3087">
        <v>0.4</v>
      </c>
      <c r="D58" s="3087">
        <v>0.3</v>
      </c>
      <c r="E58" s="3087">
        <v>0.3</v>
      </c>
      <c r="F58" s="3087">
        <v>0.3</v>
      </c>
      <c r="G58" s="3087">
        <v>0.2</v>
      </c>
    </row>
    <row r="59" spans="1:7" ht="19.5" customHeight="1">
      <c r="A59" s="3119" t="s">
        <v>2593</v>
      </c>
      <c r="B59" s="3087">
        <v>0.6</v>
      </c>
      <c r="C59" s="3087">
        <v>0.3</v>
      </c>
      <c r="D59" s="3087">
        <v>0.25</v>
      </c>
      <c r="E59" s="3087">
        <v>0.25</v>
      </c>
      <c r="F59" s="3087">
        <v>0.25</v>
      </c>
      <c r="G59" s="3087">
        <v>0.15</v>
      </c>
    </row>
    <row r="60" spans="1:7" ht="19.5" customHeight="1">
      <c r="A60" s="3119" t="s">
        <v>2594</v>
      </c>
      <c r="B60" s="3087">
        <v>0.6</v>
      </c>
      <c r="C60" s="3087">
        <v>0.3</v>
      </c>
      <c r="D60" s="3087">
        <v>0.25</v>
      </c>
      <c r="E60" s="3087">
        <v>0.25</v>
      </c>
      <c r="F60" s="3087">
        <v>0.25</v>
      </c>
      <c r="G60" s="3087">
        <v>0.15</v>
      </c>
    </row>
    <row r="61" spans="1:7" ht="19.5" customHeight="1">
      <c r="A61" s="3119" t="s">
        <v>2595</v>
      </c>
      <c r="B61" s="3087">
        <v>0.6</v>
      </c>
      <c r="C61" s="3087">
        <v>0.3</v>
      </c>
      <c r="D61" s="3087">
        <v>0.25</v>
      </c>
      <c r="E61" s="3087">
        <v>0.25</v>
      </c>
      <c r="F61" s="3087">
        <v>0.25</v>
      </c>
      <c r="G61" s="3087">
        <v>0.15</v>
      </c>
    </row>
    <row r="62" spans="1:7" ht="19.5" customHeight="1">
      <c r="A62" s="3119" t="s">
        <v>2596</v>
      </c>
      <c r="B62" s="3087">
        <v>0.6</v>
      </c>
      <c r="C62" s="3087">
        <v>0.3</v>
      </c>
      <c r="D62" s="3087">
        <v>0.25</v>
      </c>
      <c r="E62" s="3087">
        <v>0.25</v>
      </c>
      <c r="F62" s="3087">
        <v>0.25</v>
      </c>
      <c r="G62" s="3087">
        <v>0.15</v>
      </c>
    </row>
    <row r="63" spans="1:7" ht="19.5" customHeight="1">
      <c r="A63" s="3119" t="s">
        <v>2597</v>
      </c>
      <c r="B63" s="3087">
        <v>0.6</v>
      </c>
      <c r="C63" s="3087">
        <v>0.3</v>
      </c>
      <c r="D63" s="3087">
        <v>0.25</v>
      </c>
      <c r="E63" s="3087">
        <v>0.25</v>
      </c>
      <c r="F63" s="3087">
        <v>0.25</v>
      </c>
      <c r="G63" s="3087">
        <v>0.15</v>
      </c>
    </row>
    <row r="64" spans="1:7" ht="19.5" customHeight="1">
      <c r="A64" s="3119" t="s">
        <v>2598</v>
      </c>
      <c r="B64" s="3087">
        <v>0.5</v>
      </c>
      <c r="C64" s="3087">
        <v>0.2</v>
      </c>
      <c r="D64" s="3087">
        <v>0.2</v>
      </c>
      <c r="E64" s="3087">
        <v>0.2</v>
      </c>
      <c r="F64" s="3087">
        <v>0.2</v>
      </c>
      <c r="G64" s="3087">
        <v>0.1</v>
      </c>
    </row>
    <row r="65" spans="1:7" ht="19.5" customHeight="1">
      <c r="A65" s="3119" t="s">
        <v>2599</v>
      </c>
      <c r="B65" s="3087">
        <v>0.5</v>
      </c>
      <c r="C65" s="3087">
        <v>0.2</v>
      </c>
      <c r="D65" s="3087">
        <v>0.2</v>
      </c>
      <c r="E65" s="3087">
        <v>0.2</v>
      </c>
      <c r="F65" s="3087">
        <v>0.2</v>
      </c>
      <c r="G65" s="3087">
        <v>0.1</v>
      </c>
    </row>
    <row r="66" spans="1:7" ht="19.5" customHeight="1">
      <c r="A66" s="3119" t="s">
        <v>2600</v>
      </c>
      <c r="B66" s="3087">
        <v>0.5</v>
      </c>
      <c r="C66" s="3087">
        <v>0.2</v>
      </c>
      <c r="D66" s="3087">
        <v>0.2</v>
      </c>
      <c r="E66" s="3087">
        <v>0.2</v>
      </c>
      <c r="F66" s="3087">
        <v>0.2</v>
      </c>
      <c r="G66" s="3087">
        <v>0.1</v>
      </c>
    </row>
    <row r="67" spans="1:7" ht="19.5" customHeight="1">
      <c r="A67" s="3119" t="s">
        <v>2601</v>
      </c>
      <c r="B67" s="3087">
        <v>0.5</v>
      </c>
      <c r="C67" s="3087">
        <v>0.2</v>
      </c>
      <c r="D67" s="3087">
        <v>0.2</v>
      </c>
      <c r="E67" s="3087">
        <v>0.2</v>
      </c>
      <c r="F67" s="3087">
        <v>0.2</v>
      </c>
      <c r="G67" s="3087">
        <v>0.1</v>
      </c>
    </row>
    <row r="68" spans="1:7" ht="19.5" customHeight="1">
      <c r="A68" s="3119" t="s">
        <v>2602</v>
      </c>
      <c r="B68" s="3087">
        <v>0.5</v>
      </c>
      <c r="C68" s="3087">
        <v>0.2</v>
      </c>
      <c r="D68" s="3087">
        <v>0.2</v>
      </c>
      <c r="E68" s="3087">
        <v>0.2</v>
      </c>
      <c r="F68" s="3087">
        <v>0.2</v>
      </c>
      <c r="G68" s="3087">
        <v>0.1</v>
      </c>
    </row>
    <row r="70" spans="1:7" ht="19.5" customHeight="1">
      <c r="A70" s="3120"/>
      <c r="B70" s="3121"/>
      <c r="C70" s="3121"/>
      <c r="D70" s="3121" t="s">
        <v>2639</v>
      </c>
      <c r="E70" s="3121"/>
      <c r="F70" s="3121"/>
    </row>
    <row r="71" spans="1:7" ht="19.5" customHeight="1">
      <c r="A71" s="3113" t="s">
        <v>2640</v>
      </c>
      <c r="B71" s="3113" t="s">
        <v>2641</v>
      </c>
      <c r="C71" s="3113" t="s">
        <v>2642</v>
      </c>
      <c r="D71" s="3113" t="s">
        <v>2643</v>
      </c>
      <c r="E71" s="3113" t="s">
        <v>2644</v>
      </c>
      <c r="F71" s="3113" t="s">
        <v>2645</v>
      </c>
    </row>
    <row r="72" spans="1:7" ht="14.4">
      <c r="A72" s="3113"/>
      <c r="B72" s="3113"/>
      <c r="C72" s="3113" t="s">
        <v>2646</v>
      </c>
      <c r="D72" s="3113"/>
      <c r="E72" s="3113" t="s">
        <v>2617</v>
      </c>
      <c r="F72" s="3113" t="s">
        <v>2617</v>
      </c>
    </row>
    <row r="73" spans="1:7" ht="14.4">
      <c r="A73" s="3113">
        <v>1</v>
      </c>
      <c r="B73" s="3799" t="s">
        <v>2647</v>
      </c>
      <c r="C73" s="3087" t="s">
        <v>2648</v>
      </c>
      <c r="D73" s="3087" t="s">
        <v>2649</v>
      </c>
      <c r="E73" s="3113">
        <v>0.2</v>
      </c>
      <c r="F73" s="3113">
        <v>25</v>
      </c>
    </row>
    <row r="74" spans="1:7" ht="24">
      <c r="A74" s="3113">
        <v>2</v>
      </c>
      <c r="B74" s="3801"/>
      <c r="C74" s="3087" t="s">
        <v>2650</v>
      </c>
      <c r="D74" s="3087" t="s">
        <v>2651</v>
      </c>
      <c r="E74" s="3113">
        <v>0.2</v>
      </c>
      <c r="F74" s="3113">
        <v>25</v>
      </c>
    </row>
    <row r="75" spans="1:7" ht="24">
      <c r="A75" s="3113">
        <v>3</v>
      </c>
      <c r="B75" s="3801"/>
      <c r="C75" s="3087" t="s">
        <v>2652</v>
      </c>
      <c r="D75" s="3087" t="s">
        <v>2653</v>
      </c>
      <c r="E75" s="3113">
        <v>0.2</v>
      </c>
      <c r="F75" s="3113">
        <v>25</v>
      </c>
    </row>
    <row r="76" spans="1:7" ht="14.4">
      <c r="A76" s="3113">
        <v>4</v>
      </c>
      <c r="B76" s="3801"/>
      <c r="C76" s="3087" t="s">
        <v>2654</v>
      </c>
      <c r="D76" s="3087" t="s">
        <v>2655</v>
      </c>
      <c r="E76" s="3113">
        <v>0.15</v>
      </c>
      <c r="F76" s="3113">
        <v>20</v>
      </c>
    </row>
    <row r="77" spans="1:7" ht="24">
      <c r="A77" s="3113">
        <v>5</v>
      </c>
      <c r="B77" s="3801"/>
      <c r="C77" s="3087" t="s">
        <v>2656</v>
      </c>
      <c r="D77" s="3087" t="s">
        <v>2657</v>
      </c>
      <c r="E77" s="3113">
        <v>0.15</v>
      </c>
      <c r="F77" s="3113">
        <v>20</v>
      </c>
    </row>
    <row r="78" spans="1:7" ht="24">
      <c r="A78" s="3113">
        <v>6</v>
      </c>
      <c r="B78" s="3801"/>
      <c r="C78" s="3087" t="s">
        <v>2658</v>
      </c>
      <c r="D78" s="3087" t="s">
        <v>2659</v>
      </c>
      <c r="E78" s="3113">
        <v>0.15</v>
      </c>
      <c r="F78" s="3113">
        <v>20</v>
      </c>
    </row>
    <row r="79" spans="1:7" ht="24">
      <c r="A79" s="3113">
        <v>7</v>
      </c>
      <c r="B79" s="3801"/>
      <c r="C79" s="3087" t="s">
        <v>2660</v>
      </c>
      <c r="D79" s="3087" t="s">
        <v>2661</v>
      </c>
      <c r="E79" s="3113">
        <v>0.15</v>
      </c>
      <c r="F79" s="3113">
        <v>20</v>
      </c>
    </row>
    <row r="80" spans="1:7" ht="24">
      <c r="A80" s="3113">
        <v>8</v>
      </c>
      <c r="B80" s="3801"/>
      <c r="C80" s="3087" t="s">
        <v>2662</v>
      </c>
      <c r="D80" s="3087" t="s">
        <v>2663</v>
      </c>
      <c r="E80" s="3113">
        <v>0.1</v>
      </c>
      <c r="F80" s="3113">
        <v>15</v>
      </c>
    </row>
    <row r="81" spans="1:6" ht="24">
      <c r="A81" s="3113">
        <v>9</v>
      </c>
      <c r="B81" s="3801"/>
      <c r="C81" s="3087" t="s">
        <v>2664</v>
      </c>
      <c r="D81" s="3087" t="s">
        <v>2665</v>
      </c>
      <c r="E81" s="3113">
        <v>0.1</v>
      </c>
      <c r="F81" s="3113">
        <v>15</v>
      </c>
    </row>
    <row r="82" spans="1:6" ht="24">
      <c r="A82" s="3113">
        <v>10</v>
      </c>
      <c r="B82" s="3801"/>
      <c r="C82" s="3087" t="s">
        <v>2666</v>
      </c>
      <c r="D82" s="3087" t="s">
        <v>2667</v>
      </c>
      <c r="E82" s="3113">
        <v>0.1</v>
      </c>
      <c r="F82" s="3113">
        <v>15</v>
      </c>
    </row>
    <row r="83" spans="1:6" ht="24">
      <c r="A83" s="3113">
        <v>11</v>
      </c>
      <c r="B83" s="3801"/>
      <c r="C83" s="3087" t="s">
        <v>2668</v>
      </c>
      <c r="D83" s="3087" t="s">
        <v>2669</v>
      </c>
      <c r="E83" s="3113">
        <v>0.1</v>
      </c>
      <c r="F83" s="3113">
        <v>15</v>
      </c>
    </row>
    <row r="84" spans="1:6" ht="24">
      <c r="A84" s="3113">
        <v>12</v>
      </c>
      <c r="B84" s="3801"/>
      <c r="C84" s="3087" t="s">
        <v>2670</v>
      </c>
      <c r="D84" s="3087" t="s">
        <v>2671</v>
      </c>
      <c r="E84" s="3113">
        <v>0.1</v>
      </c>
      <c r="F84" s="3113">
        <v>15</v>
      </c>
    </row>
    <row r="85" spans="1:6" ht="24">
      <c r="A85" s="3113">
        <v>13</v>
      </c>
      <c r="B85" s="3801"/>
      <c r="C85" s="3087" t="s">
        <v>2672</v>
      </c>
      <c r="D85" s="3087" t="s">
        <v>2673</v>
      </c>
      <c r="E85" s="3113">
        <v>0.1</v>
      </c>
      <c r="F85" s="3113">
        <v>15</v>
      </c>
    </row>
    <row r="86" spans="1:6" ht="24">
      <c r="A86" s="3113">
        <v>14</v>
      </c>
      <c r="B86" s="3801"/>
      <c r="C86" s="3087" t="s">
        <v>2674</v>
      </c>
      <c r="D86" s="3087" t="s">
        <v>2675</v>
      </c>
      <c r="E86" s="3113">
        <v>0.1</v>
      </c>
      <c r="F86" s="3113">
        <v>15</v>
      </c>
    </row>
    <row r="87" spans="1:6" ht="24">
      <c r="A87" s="3113">
        <v>15</v>
      </c>
      <c r="B87" s="3801"/>
      <c r="C87" s="3087" t="s">
        <v>2676</v>
      </c>
      <c r="D87" s="3087" t="s">
        <v>2677</v>
      </c>
      <c r="E87" s="3113">
        <v>0.1</v>
      </c>
      <c r="F87" s="3113">
        <v>15</v>
      </c>
    </row>
    <row r="88" spans="1:6" ht="24">
      <c r="A88" s="3113">
        <v>16</v>
      </c>
      <c r="B88" s="3801"/>
      <c r="C88" s="3087" t="s">
        <v>2678</v>
      </c>
      <c r="D88" s="3087" t="s">
        <v>2679</v>
      </c>
      <c r="E88" s="3113">
        <v>0.1</v>
      </c>
      <c r="F88" s="3113">
        <v>15</v>
      </c>
    </row>
    <row r="89" spans="1:6" ht="24">
      <c r="A89" s="3113">
        <v>17</v>
      </c>
      <c r="B89" s="3800"/>
      <c r="C89" s="3087" t="s">
        <v>2680</v>
      </c>
      <c r="D89" s="3087" t="s">
        <v>2681</v>
      </c>
      <c r="E89" s="3113">
        <v>0.1</v>
      </c>
      <c r="F89" s="3113">
        <v>15</v>
      </c>
    </row>
    <row r="90" spans="1:6" ht="14.4">
      <c r="A90" s="3113">
        <v>18</v>
      </c>
      <c r="B90" s="3799" t="s">
        <v>2682</v>
      </c>
      <c r="C90" s="3087" t="s">
        <v>2683</v>
      </c>
      <c r="D90" s="3087" t="s">
        <v>2684</v>
      </c>
      <c r="E90" s="3113">
        <v>0.2</v>
      </c>
      <c r="F90" s="3113">
        <v>25</v>
      </c>
    </row>
    <row r="91" spans="1:6" ht="24">
      <c r="A91" s="3113">
        <v>19</v>
      </c>
      <c r="B91" s="3801"/>
      <c r="C91" s="3087" t="s">
        <v>2685</v>
      </c>
      <c r="D91" s="3087" t="s">
        <v>2686</v>
      </c>
      <c r="E91" s="3113">
        <v>0.2</v>
      </c>
      <c r="F91" s="3113">
        <v>25</v>
      </c>
    </row>
    <row r="92" spans="1:6" ht="14.4">
      <c r="A92" s="3113">
        <v>20</v>
      </c>
      <c r="B92" s="3801"/>
      <c r="C92" s="3087" t="s">
        <v>2687</v>
      </c>
      <c r="D92" s="3087" t="s">
        <v>2688</v>
      </c>
      <c r="E92" s="3113">
        <v>0.15</v>
      </c>
      <c r="F92" s="3113">
        <v>20</v>
      </c>
    </row>
    <row r="93" spans="1:6" ht="24">
      <c r="A93" s="3113">
        <v>21</v>
      </c>
      <c r="B93" s="3801"/>
      <c r="C93" s="3087" t="s">
        <v>2689</v>
      </c>
      <c r="D93" s="3087" t="s">
        <v>2690</v>
      </c>
      <c r="E93" s="3113">
        <v>0.15</v>
      </c>
      <c r="F93" s="3113">
        <v>20</v>
      </c>
    </row>
    <row r="94" spans="1:6" ht="24">
      <c r="A94" s="3113">
        <v>22</v>
      </c>
      <c r="B94" s="3801"/>
      <c r="C94" s="3087" t="s">
        <v>2691</v>
      </c>
      <c r="D94" s="3087" t="s">
        <v>2692</v>
      </c>
      <c r="E94" s="3113">
        <v>0.15</v>
      </c>
      <c r="F94" s="3113">
        <v>20</v>
      </c>
    </row>
    <row r="95" spans="1:6" ht="36">
      <c r="A95" s="3113">
        <v>23</v>
      </c>
      <c r="B95" s="3801"/>
      <c r="C95" s="3087" t="s">
        <v>2693</v>
      </c>
      <c r="D95" s="3087" t="s">
        <v>2694</v>
      </c>
      <c r="E95" s="3113">
        <v>0.15</v>
      </c>
      <c r="F95" s="3113">
        <v>20</v>
      </c>
    </row>
    <row r="96" spans="1:6" ht="24">
      <c r="A96" s="3113">
        <v>24</v>
      </c>
      <c r="B96" s="3801"/>
      <c r="C96" s="3087" t="s">
        <v>2695</v>
      </c>
      <c r="D96" s="3087" t="s">
        <v>2696</v>
      </c>
      <c r="E96" s="3113">
        <v>0.1</v>
      </c>
      <c r="F96" s="3113">
        <v>15</v>
      </c>
    </row>
    <row r="97" spans="1:6" ht="24">
      <c r="A97" s="3113">
        <v>25</v>
      </c>
      <c r="B97" s="3801"/>
      <c r="C97" s="3087" t="s">
        <v>2697</v>
      </c>
      <c r="D97" s="3087" t="s">
        <v>2698</v>
      </c>
      <c r="E97" s="3113">
        <v>0.1</v>
      </c>
      <c r="F97" s="3113">
        <v>15</v>
      </c>
    </row>
    <row r="98" spans="1:6" ht="24">
      <c r="A98" s="3113">
        <v>26</v>
      </c>
      <c r="B98" s="3801"/>
      <c r="C98" s="3087" t="s">
        <v>2699</v>
      </c>
      <c r="D98" s="3087" t="s">
        <v>2700</v>
      </c>
      <c r="E98" s="3113">
        <v>0.1</v>
      </c>
      <c r="F98" s="3113">
        <v>15</v>
      </c>
    </row>
    <row r="99" spans="1:6" ht="24">
      <c r="A99" s="3113">
        <v>27</v>
      </c>
      <c r="B99" s="3801"/>
      <c r="C99" s="3087" t="s">
        <v>2701</v>
      </c>
      <c r="D99" s="3087" t="s">
        <v>2702</v>
      </c>
      <c r="E99" s="3113">
        <v>0.1</v>
      </c>
      <c r="F99" s="3113">
        <v>15</v>
      </c>
    </row>
    <row r="100" spans="1:6" ht="24">
      <c r="A100" s="3113">
        <v>28</v>
      </c>
      <c r="B100" s="3801"/>
      <c r="C100" s="3087" t="s">
        <v>2703</v>
      </c>
      <c r="D100" s="3087" t="s">
        <v>2704</v>
      </c>
      <c r="E100" s="3113">
        <v>0.1</v>
      </c>
      <c r="F100" s="3113">
        <v>15</v>
      </c>
    </row>
    <row r="101" spans="1:6" ht="24">
      <c r="A101" s="3113">
        <v>29</v>
      </c>
      <c r="B101" s="3801"/>
      <c r="C101" s="3087" t="s">
        <v>2705</v>
      </c>
      <c r="D101" s="3087" t="s">
        <v>2706</v>
      </c>
      <c r="E101" s="3113">
        <v>0.1</v>
      </c>
      <c r="F101" s="3113">
        <v>15</v>
      </c>
    </row>
    <row r="102" spans="1:6" ht="24">
      <c r="A102" s="3113">
        <v>30</v>
      </c>
      <c r="B102" s="3801"/>
      <c r="C102" s="3087" t="s">
        <v>2707</v>
      </c>
      <c r="D102" s="3087" t="s">
        <v>2708</v>
      </c>
      <c r="E102" s="3113">
        <v>0.1</v>
      </c>
      <c r="F102" s="3113">
        <v>15</v>
      </c>
    </row>
    <row r="103" spans="1:6" ht="24">
      <c r="A103" s="3113">
        <v>31</v>
      </c>
      <c r="B103" s="3801"/>
      <c r="C103" s="3087" t="s">
        <v>2709</v>
      </c>
      <c r="D103" s="3087" t="s">
        <v>2710</v>
      </c>
      <c r="E103" s="3113">
        <v>0.1</v>
      </c>
      <c r="F103" s="3113">
        <v>15</v>
      </c>
    </row>
    <row r="104" spans="1:6" ht="24">
      <c r="A104" s="3113">
        <v>32</v>
      </c>
      <c r="B104" s="3801"/>
      <c r="C104" s="3087" t="s">
        <v>2711</v>
      </c>
      <c r="D104" s="3087" t="s">
        <v>2712</v>
      </c>
      <c r="E104" s="3113">
        <v>0.1</v>
      </c>
      <c r="F104" s="3113">
        <v>15</v>
      </c>
    </row>
    <row r="105" spans="1:6" ht="24">
      <c r="A105" s="3113">
        <v>33</v>
      </c>
      <c r="B105" s="3801"/>
      <c r="C105" s="3087" t="s">
        <v>2713</v>
      </c>
      <c r="D105" s="3087" t="s">
        <v>2714</v>
      </c>
      <c r="E105" s="3113">
        <v>0.1</v>
      </c>
      <c r="F105" s="3113">
        <v>15</v>
      </c>
    </row>
    <row r="106" spans="1:6" ht="24">
      <c r="A106" s="3113">
        <v>34</v>
      </c>
      <c r="B106" s="3800"/>
      <c r="C106" s="3087" t="s">
        <v>2715</v>
      </c>
      <c r="D106" s="3087" t="s">
        <v>2716</v>
      </c>
      <c r="E106" s="3113">
        <v>0.1</v>
      </c>
      <c r="F106" s="3113">
        <v>15</v>
      </c>
    </row>
    <row r="107" spans="1:6" ht="36">
      <c r="A107" s="3113">
        <v>35</v>
      </c>
      <c r="B107" s="3799" t="s">
        <v>2717</v>
      </c>
      <c r="C107" s="3113" t="s">
        <v>2718</v>
      </c>
      <c r="D107" s="3087" t="s">
        <v>2719</v>
      </c>
      <c r="E107" s="3113">
        <v>0.15</v>
      </c>
      <c r="F107" s="3113">
        <v>20</v>
      </c>
    </row>
    <row r="108" spans="1:6" ht="24">
      <c r="A108" s="3113">
        <v>36</v>
      </c>
      <c r="B108" s="3801"/>
      <c r="C108" s="3113" t="s">
        <v>2720</v>
      </c>
      <c r="D108" s="3087" t="s">
        <v>2721</v>
      </c>
      <c r="E108" s="3113">
        <v>0.15</v>
      </c>
      <c r="F108" s="3113">
        <v>20</v>
      </c>
    </row>
    <row r="109" spans="1:6" ht="24">
      <c r="A109" s="3113">
        <v>37</v>
      </c>
      <c r="B109" s="3801"/>
      <c r="C109" s="3113" t="s">
        <v>2722</v>
      </c>
      <c r="D109" s="3087" t="s">
        <v>2723</v>
      </c>
      <c r="E109" s="3113">
        <v>0.15</v>
      </c>
      <c r="F109" s="3113">
        <v>20</v>
      </c>
    </row>
    <row r="110" spans="1:6" ht="24">
      <c r="A110" s="3113">
        <v>38</v>
      </c>
      <c r="B110" s="3801"/>
      <c r="C110" s="3113" t="s">
        <v>2724</v>
      </c>
      <c r="D110" s="3087" t="s">
        <v>2725</v>
      </c>
      <c r="E110" s="3113">
        <v>0.1</v>
      </c>
      <c r="F110" s="3113">
        <v>15</v>
      </c>
    </row>
    <row r="111" spans="1:6" ht="24">
      <c r="A111" s="3113">
        <v>39</v>
      </c>
      <c r="B111" s="3801"/>
      <c r="C111" s="3113" t="s">
        <v>2726</v>
      </c>
      <c r="D111" s="3087" t="s">
        <v>2727</v>
      </c>
      <c r="E111" s="3113">
        <v>0.1</v>
      </c>
      <c r="F111" s="3113">
        <v>15</v>
      </c>
    </row>
    <row r="112" spans="1:6" ht="24">
      <c r="A112" s="3113">
        <v>40</v>
      </c>
      <c r="B112" s="3800"/>
      <c r="C112" s="3113" t="s">
        <v>2728</v>
      </c>
      <c r="D112" s="3087" t="s">
        <v>2729</v>
      </c>
      <c r="E112" s="3113">
        <v>0.1</v>
      </c>
      <c r="F112" s="3113">
        <v>15</v>
      </c>
    </row>
    <row r="113" spans="1:6" ht="24">
      <c r="A113" s="3113">
        <v>41</v>
      </c>
      <c r="B113" s="3798" t="s">
        <v>2730</v>
      </c>
      <c r="C113" s="3113" t="s">
        <v>2731</v>
      </c>
      <c r="D113" s="3087" t="s">
        <v>2732</v>
      </c>
      <c r="E113" s="3113">
        <v>0.1</v>
      </c>
      <c r="F113" s="3113">
        <v>15</v>
      </c>
    </row>
    <row r="114" spans="1:6" ht="24">
      <c r="A114" s="3113">
        <v>42</v>
      </c>
      <c r="B114" s="3798"/>
      <c r="C114" s="3113" t="s">
        <v>2733</v>
      </c>
      <c r="D114" s="3087" t="s">
        <v>2734</v>
      </c>
      <c r="E114" s="3113">
        <v>0.1</v>
      </c>
      <c r="F114" s="3113">
        <v>15</v>
      </c>
    </row>
    <row r="115" spans="1:6" ht="24">
      <c r="A115" s="3113">
        <v>43</v>
      </c>
      <c r="B115" s="3798"/>
      <c r="C115" s="3113" t="s">
        <v>2735</v>
      </c>
      <c r="D115" s="3087" t="s">
        <v>2736</v>
      </c>
      <c r="E115" s="3113">
        <v>0.1</v>
      </c>
      <c r="F115" s="3113">
        <v>15</v>
      </c>
    </row>
    <row r="116" spans="1:6" ht="24">
      <c r="A116" s="3113">
        <v>44</v>
      </c>
      <c r="B116" s="3799" t="s">
        <v>2737</v>
      </c>
      <c r="C116" s="3113" t="s">
        <v>2738</v>
      </c>
      <c r="D116" s="3087" t="s">
        <v>2739</v>
      </c>
      <c r="E116" s="3113">
        <v>0.1</v>
      </c>
      <c r="F116" s="3113">
        <v>15</v>
      </c>
    </row>
    <row r="117" spans="1:6" ht="24">
      <c r="A117" s="3113">
        <v>45</v>
      </c>
      <c r="B117" s="3800"/>
      <c r="C117" s="3087" t="s">
        <v>2740</v>
      </c>
      <c r="D117" s="3087" t="s">
        <v>2741</v>
      </c>
      <c r="E117" s="3113">
        <v>0.1</v>
      </c>
      <c r="F117" s="3113">
        <v>15</v>
      </c>
    </row>
    <row r="118" spans="1:6" ht="24">
      <c r="A118" s="3113">
        <v>46</v>
      </c>
      <c r="B118" s="3799" t="s">
        <v>2742</v>
      </c>
      <c r="C118" s="3113" t="s">
        <v>2743</v>
      </c>
      <c r="D118" s="3087" t="s">
        <v>2744</v>
      </c>
      <c r="E118" s="3113">
        <v>0.1</v>
      </c>
      <c r="F118" s="3113">
        <v>15</v>
      </c>
    </row>
    <row r="119" spans="1:6" ht="24">
      <c r="A119" s="3113">
        <v>47</v>
      </c>
      <c r="B119" s="3800"/>
      <c r="C119" s="3113" t="s">
        <v>2745</v>
      </c>
      <c r="D119" s="3087" t="s">
        <v>2746</v>
      </c>
      <c r="E119" s="3113">
        <v>0.1</v>
      </c>
      <c r="F119" s="3113">
        <v>15</v>
      </c>
    </row>
    <row r="120" spans="1:6" ht="24">
      <c r="A120" s="3113">
        <v>48</v>
      </c>
      <c r="B120" s="3799" t="s">
        <v>2747</v>
      </c>
      <c r="C120" s="3113" t="s">
        <v>2748</v>
      </c>
      <c r="D120" s="3087" t="s">
        <v>2749</v>
      </c>
      <c r="E120" s="3113">
        <v>0.1</v>
      </c>
      <c r="F120" s="3113">
        <v>15</v>
      </c>
    </row>
    <row r="121" spans="1:6" ht="24">
      <c r="A121" s="3113">
        <v>49</v>
      </c>
      <c r="B121" s="3800"/>
      <c r="C121" s="3113" t="s">
        <v>2750</v>
      </c>
      <c r="D121" s="3087" t="s">
        <v>2751</v>
      </c>
      <c r="E121" s="3113">
        <v>0.1</v>
      </c>
      <c r="F121" s="3113">
        <v>15</v>
      </c>
    </row>
    <row r="122" spans="1:6" ht="24">
      <c r="A122" s="3113">
        <v>50</v>
      </c>
      <c r="B122" s="3798" t="s">
        <v>2752</v>
      </c>
      <c r="C122" s="3113" t="s">
        <v>2753</v>
      </c>
      <c r="D122" s="3087" t="s">
        <v>2754</v>
      </c>
      <c r="E122" s="3113">
        <v>0.1</v>
      </c>
      <c r="F122" s="3113">
        <v>15</v>
      </c>
    </row>
    <row r="123" spans="1:6" ht="24">
      <c r="A123" s="3113">
        <v>51</v>
      </c>
      <c r="B123" s="3798"/>
      <c r="C123" s="3113" t="s">
        <v>2755</v>
      </c>
      <c r="D123" s="3087" t="s">
        <v>2756</v>
      </c>
      <c r="E123" s="3113">
        <v>0.1</v>
      </c>
      <c r="F123" s="3113">
        <v>15</v>
      </c>
    </row>
    <row r="124" spans="1:6" ht="24">
      <c r="A124" s="3113">
        <v>52</v>
      </c>
      <c r="B124" s="3798" t="s">
        <v>2757</v>
      </c>
      <c r="C124" s="3113" t="s">
        <v>2758</v>
      </c>
      <c r="D124" s="3087" t="s">
        <v>2759</v>
      </c>
      <c r="E124" s="3113">
        <v>0.1</v>
      </c>
      <c r="F124" s="3113">
        <v>15</v>
      </c>
    </row>
    <row r="125" spans="1:6" ht="24">
      <c r="A125" s="3113">
        <v>53</v>
      </c>
      <c r="B125" s="3798"/>
      <c r="C125" s="3113" t="s">
        <v>2760</v>
      </c>
      <c r="D125" s="3087" t="s">
        <v>2761</v>
      </c>
      <c r="E125" s="3113">
        <v>0.1</v>
      </c>
      <c r="F125" s="3113">
        <v>15</v>
      </c>
    </row>
    <row r="126" spans="1:6" ht="24">
      <c r="A126" s="3113">
        <v>54</v>
      </c>
      <c r="B126" s="3113" t="s">
        <v>2762</v>
      </c>
      <c r="C126" s="3113" t="s">
        <v>2763</v>
      </c>
      <c r="D126" s="3087" t="s">
        <v>2764</v>
      </c>
      <c r="E126" s="3113">
        <v>0.1</v>
      </c>
      <c r="F126" s="3113">
        <v>15</v>
      </c>
    </row>
    <row r="127" spans="1:6" ht="24">
      <c r="A127" s="3113">
        <v>55</v>
      </c>
      <c r="B127" s="3798" t="s">
        <v>2765</v>
      </c>
      <c r="C127" s="3113" t="s">
        <v>2766</v>
      </c>
      <c r="D127" s="3087" t="s">
        <v>2767</v>
      </c>
      <c r="E127" s="3113">
        <v>0.1</v>
      </c>
      <c r="F127" s="3113">
        <v>15</v>
      </c>
    </row>
    <row r="128" spans="1:6" ht="24">
      <c r="A128" s="3113">
        <v>56</v>
      </c>
      <c r="B128" s="3798"/>
      <c r="C128" s="3113" t="s">
        <v>2768</v>
      </c>
      <c r="D128" s="3087" t="s">
        <v>2769</v>
      </c>
      <c r="E128" s="3113">
        <v>0.1</v>
      </c>
      <c r="F128" s="3113">
        <v>15</v>
      </c>
    </row>
    <row r="129" spans="1:6" ht="24">
      <c r="A129" s="3113">
        <v>57</v>
      </c>
      <c r="B129" s="3798"/>
      <c r="C129" s="3113" t="s">
        <v>2770</v>
      </c>
      <c r="D129" s="3087" t="s">
        <v>2771</v>
      </c>
      <c r="E129" s="3113">
        <v>0.1</v>
      </c>
      <c r="F129" s="3113">
        <v>15</v>
      </c>
    </row>
    <row r="130" spans="1:6" ht="24">
      <c r="A130" s="3113">
        <v>58</v>
      </c>
      <c r="B130" s="3798" t="s">
        <v>2772</v>
      </c>
      <c r="C130" s="3113" t="s">
        <v>2773</v>
      </c>
      <c r="D130" s="3087" t="s">
        <v>2774</v>
      </c>
      <c r="E130" s="3113">
        <v>0.1</v>
      </c>
      <c r="F130" s="3113">
        <v>15</v>
      </c>
    </row>
    <row r="131" spans="1:6" ht="24">
      <c r="A131" s="3113">
        <v>59</v>
      </c>
      <c r="B131" s="3798"/>
      <c r="C131" s="3113" t="s">
        <v>2775</v>
      </c>
      <c r="D131" s="3087" t="s">
        <v>2776</v>
      </c>
      <c r="E131" s="3113">
        <v>0.1</v>
      </c>
      <c r="F131" s="3113">
        <v>15</v>
      </c>
    </row>
    <row r="132" spans="1:6" ht="24">
      <c r="A132" s="3113">
        <v>60</v>
      </c>
      <c r="B132" s="3799" t="s">
        <v>2777</v>
      </c>
      <c r="C132" s="3113" t="s">
        <v>2778</v>
      </c>
      <c r="D132" s="3087" t="s">
        <v>2779</v>
      </c>
      <c r="E132" s="3113">
        <v>0.1</v>
      </c>
      <c r="F132" s="3113">
        <v>15</v>
      </c>
    </row>
    <row r="133" spans="1:6" ht="24">
      <c r="A133" s="3113">
        <v>61</v>
      </c>
      <c r="B133" s="3800"/>
      <c r="C133" s="3113" t="s">
        <v>2780</v>
      </c>
      <c r="D133" s="3087" t="s">
        <v>2781</v>
      </c>
      <c r="E133" s="3113">
        <v>0.1</v>
      </c>
      <c r="F133" s="3113">
        <v>15</v>
      </c>
    </row>
    <row r="134" spans="1:6" ht="24">
      <c r="A134" s="3113">
        <v>62</v>
      </c>
      <c r="B134" s="3113" t="s">
        <v>2782</v>
      </c>
      <c r="C134" s="3113" t="s">
        <v>2783</v>
      </c>
      <c r="D134" s="3087" t="s">
        <v>2784</v>
      </c>
      <c r="E134" s="3113">
        <v>0.1</v>
      </c>
      <c r="F134" s="3113">
        <v>15</v>
      </c>
    </row>
    <row r="135" spans="1:6" ht="24">
      <c r="A135" s="3113">
        <v>63</v>
      </c>
      <c r="B135" s="3798" t="s">
        <v>2785</v>
      </c>
      <c r="C135" s="3113" t="s">
        <v>2786</v>
      </c>
      <c r="D135" s="3087" t="s">
        <v>2787</v>
      </c>
      <c r="E135" s="3113">
        <v>0.1</v>
      </c>
      <c r="F135" s="3113">
        <v>15</v>
      </c>
    </row>
    <row r="136" spans="1:6" ht="24">
      <c r="A136" s="3113">
        <v>64</v>
      </c>
      <c r="B136" s="3798"/>
      <c r="C136" s="3113" t="s">
        <v>2788</v>
      </c>
      <c r="D136" s="3087" t="s">
        <v>2789</v>
      </c>
      <c r="E136" s="3113">
        <v>0.1</v>
      </c>
      <c r="F136" s="3113">
        <v>15</v>
      </c>
    </row>
    <row r="137" spans="1:6" ht="24">
      <c r="A137" s="3113">
        <v>65</v>
      </c>
      <c r="B137" s="3113" t="s">
        <v>2790</v>
      </c>
      <c r="C137" s="3113" t="s">
        <v>2791</v>
      </c>
      <c r="D137" s="3087" t="s">
        <v>2792</v>
      </c>
      <c r="E137" s="3113">
        <v>0.1</v>
      </c>
      <c r="F137" s="3113">
        <v>15</v>
      </c>
    </row>
    <row r="138" spans="1:6" ht="14.4">
      <c r="A138" s="3113"/>
      <c r="B138" s="3113"/>
      <c r="C138" s="3113"/>
      <c r="D138" s="3113"/>
      <c r="E138" s="3113" t="s">
        <v>2793</v>
      </c>
      <c r="F138" s="311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7.399999999999999">
      <c r="A3" s="3496" t="str">
        <f>IF(项目基本情况!B9="房地产市场价值","估价结果一览表（市场价值不需“结果表-1”）","估价结果一览表")</f>
        <v>估价结果一览表</v>
      </c>
      <c r="B3" s="3496"/>
      <c r="C3" s="3496"/>
      <c r="D3" s="3496"/>
      <c r="E3" s="3496"/>
    </row>
    <row r="4" spans="1:5" ht="18" thickBot="1">
      <c r="A4" s="1493"/>
      <c r="B4" s="3494" t="s">
        <v>917</v>
      </c>
      <c r="C4" s="3494"/>
      <c r="D4" s="3494"/>
      <c r="E4" s="1493"/>
    </row>
    <row r="5" spans="1:5" ht="16.2" thickTop="1">
      <c r="A5" s="1491"/>
      <c r="B5" s="3492" t="s">
        <v>909</v>
      </c>
      <c r="C5" s="1494" t="s">
        <v>910</v>
      </c>
      <c r="D5" s="850">
        <f ca="1">结果表!H101</f>
        <v>7894</v>
      </c>
      <c r="E5" s="1491"/>
    </row>
    <row r="6" spans="1:5" ht="15.6">
      <c r="A6" s="1491"/>
      <c r="B6" s="3492"/>
      <c r="C6" s="1494" t="s">
        <v>911</v>
      </c>
      <c r="D6" s="850" t="str">
        <f ca="1">NUMBERSTRING(INT(D5*10000),2)&amp;"元整"</f>
        <v>柒仟捌佰玖拾肆万元整</v>
      </c>
      <c r="E6" s="1491"/>
    </row>
    <row r="7" spans="1:5" ht="15.6">
      <c r="A7" s="1491"/>
      <c r="B7" s="3497"/>
      <c r="C7" s="1495" t="s">
        <v>912</v>
      </c>
      <c r="D7" s="851">
        <f ca="1">结果表!H102</f>
        <v>69298</v>
      </c>
      <c r="E7" s="1491"/>
    </row>
    <row r="8" spans="1:5" ht="15.6">
      <c r="A8" s="1491"/>
      <c r="B8" s="3498" t="str">
        <f>结果表!E103</f>
        <v>2.估价师知悉的法定优先受偿款</v>
      </c>
      <c r="C8" s="1496" t="s">
        <v>913</v>
      </c>
      <c r="D8" s="851">
        <f>结果表!H103</f>
        <v>0</v>
      </c>
      <c r="E8" s="1491"/>
    </row>
    <row r="9" spans="1:5" ht="15.6">
      <c r="A9" s="1491"/>
      <c r="B9" s="350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91" t="str">
        <f>结果表!E107</f>
        <v>3.房地产抵押价值</v>
      </c>
      <c r="C13" s="1499" t="s">
        <v>910</v>
      </c>
      <c r="D13" s="853">
        <f ca="1">结果表!H107</f>
        <v>7894</v>
      </c>
      <c r="E13" s="1491"/>
    </row>
    <row r="14" spans="1:5" ht="15.6">
      <c r="A14" s="1491"/>
      <c r="B14" s="3492"/>
      <c r="C14" s="1494" t="s">
        <v>911</v>
      </c>
      <c r="D14" s="850" t="str">
        <f ca="1">NUMBERSTRING(INT(D13*10000),2)&amp;"元整"</f>
        <v>柒仟捌佰玖拾肆万元整</v>
      </c>
      <c r="E14" s="1491"/>
    </row>
    <row r="15" spans="1:5" ht="15.6">
      <c r="A15" s="1491"/>
      <c r="B15" s="3497"/>
      <c r="C15" s="1495" t="s">
        <v>921</v>
      </c>
      <c r="D15" s="859">
        <f ca="1">结果表!H108</f>
        <v>69298</v>
      </c>
      <c r="E15" s="1491"/>
    </row>
    <row r="16" spans="1:5" ht="15.6">
      <c r="A16" s="1491"/>
      <c r="B16" s="3498" t="str">
        <f>结果表!E109</f>
        <v>——</v>
      </c>
      <c r="C16" s="1499" t="s">
        <v>922</v>
      </c>
      <c r="D16" s="1500" t="str">
        <f>结果表!H109</f>
        <v>——</v>
      </c>
      <c r="E16" s="1491"/>
    </row>
    <row r="17" spans="1:5" ht="15.6">
      <c r="A17" s="1491"/>
      <c r="B17" s="3499"/>
      <c r="C17" s="1494" t="s">
        <v>923</v>
      </c>
      <c r="D17" s="850" t="e">
        <f>NUMBERSTRING(INT(D16*10000),2)&amp;"元整"</f>
        <v>#VALUE!</v>
      </c>
      <c r="E17" s="1491"/>
    </row>
    <row r="18" spans="1:5" ht="15.6">
      <c r="A18" s="1491"/>
      <c r="B18" s="3500"/>
      <c r="C18" s="1495" t="s">
        <v>912</v>
      </c>
      <c r="D18" s="859" t="str">
        <f>结果表!H110</f>
        <v>——</v>
      </c>
      <c r="E18" s="1491"/>
    </row>
    <row r="19" spans="1:5" ht="15.6">
      <c r="A19" s="1491"/>
      <c r="B19" s="3491" t="str">
        <f>结果表!E111</f>
        <v>——</v>
      </c>
      <c r="C19" s="1499" t="s">
        <v>910</v>
      </c>
      <c r="D19" s="851" t="str">
        <f>结果表!H111</f>
        <v>——</v>
      </c>
      <c r="E19" s="1491"/>
    </row>
    <row r="20" spans="1:5" ht="15.6">
      <c r="A20" s="1491"/>
      <c r="B20" s="3492"/>
      <c r="C20" s="1494" t="s">
        <v>923</v>
      </c>
      <c r="D20" s="850" t="e">
        <f>NUMBERSTRING(INT(D19*10000),2)&amp;"元整"</f>
        <v>#VALUE!</v>
      </c>
      <c r="E20" s="1491"/>
    </row>
    <row r="21" spans="1:5" ht="16.2" thickBot="1">
      <c r="A21" s="1491"/>
      <c r="B21" s="349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6"/>
    <col min="14" max="16384" width="9" style="750"/>
  </cols>
  <sheetData>
    <row r="1" spans="1:20" ht="16.2" thickBot="1">
      <c r="A1" s="3122" t="s">
        <v>2794</v>
      </c>
      <c r="B1" s="3122"/>
      <c r="C1" s="3122"/>
      <c r="D1" s="3122"/>
      <c r="E1" s="3122"/>
      <c r="F1" s="3122"/>
      <c r="G1" s="3122"/>
      <c r="H1" s="3122"/>
      <c r="I1" s="3122"/>
      <c r="J1" s="3122"/>
      <c r="K1" s="3122"/>
      <c r="L1" s="3122"/>
      <c r="M1" s="3122"/>
      <c r="N1" s="749"/>
    </row>
    <row r="2" spans="1:20">
      <c r="A2" s="3123" t="s">
        <v>2795</v>
      </c>
      <c r="B2" s="3124" t="s">
        <v>2591</v>
      </c>
      <c r="C2" s="3124" t="s">
        <v>2592</v>
      </c>
      <c r="D2" s="3124" t="s">
        <v>2593</v>
      </c>
      <c r="E2" s="3124" t="s">
        <v>2594</v>
      </c>
      <c r="F2" s="3124" t="s">
        <v>2595</v>
      </c>
      <c r="G2" s="3124" t="s">
        <v>2596</v>
      </c>
      <c r="H2" s="3125" t="s">
        <v>2597</v>
      </c>
      <c r="I2" s="3125" t="s">
        <v>2598</v>
      </c>
      <c r="J2" s="3126" t="s">
        <v>2599</v>
      </c>
      <c r="K2" s="3126" t="s">
        <v>2600</v>
      </c>
      <c r="L2" s="3126" t="s">
        <v>2601</v>
      </c>
      <c r="M2" s="3127" t="s">
        <v>2602</v>
      </c>
      <c r="Q2" s="3137" t="s">
        <v>2800</v>
      </c>
      <c r="R2" s="3137" t="s">
        <v>2801</v>
      </c>
      <c r="S2" s="3137" t="s">
        <v>2802</v>
      </c>
      <c r="T2" s="3137" t="s">
        <v>2803</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6.2" thickBot="1">
      <c r="A93" s="3122" t="s">
        <v>2796</v>
      </c>
      <c r="B93" s="3122"/>
      <c r="C93" s="3122"/>
      <c r="D93" s="3122"/>
      <c r="E93" s="3122"/>
      <c r="F93" s="3122"/>
      <c r="G93" s="3122"/>
      <c r="H93" s="3122"/>
      <c r="I93" s="3122"/>
      <c r="J93" s="3122"/>
      <c r="K93" s="3122"/>
      <c r="L93" s="3122"/>
      <c r="M93" s="3122"/>
    </row>
    <row r="94" spans="1:20">
      <c r="A94" s="3123" t="s">
        <v>2795</v>
      </c>
      <c r="B94" s="3124" t="s">
        <v>2591</v>
      </c>
      <c r="C94" s="3124" t="s">
        <v>2592</v>
      </c>
      <c r="D94" s="3124" t="s">
        <v>2593</v>
      </c>
      <c r="E94" s="3124" t="s">
        <v>2594</v>
      </c>
      <c r="F94" s="3124" t="s">
        <v>2595</v>
      </c>
      <c r="G94" s="3124" t="s">
        <v>2596</v>
      </c>
      <c r="H94" s="3125" t="s">
        <v>2597</v>
      </c>
      <c r="I94" s="3125" t="s">
        <v>2598</v>
      </c>
      <c r="J94" s="3126" t="s">
        <v>2599</v>
      </c>
      <c r="K94" s="3126" t="s">
        <v>2600</v>
      </c>
      <c r="L94" s="3126" t="s">
        <v>2601</v>
      </c>
      <c r="M94" s="3127" t="s">
        <v>2602</v>
      </c>
      <c r="N94" s="750">
        <f>SUMPRODUCT((A95:A184=ROUNDDOWN(基准地价修正!G3,1))*(B94:M94=基准地价修正!G2)*(B95:M184))</f>
        <v>0.98380000000000001</v>
      </c>
      <c r="Q94" s="3137" t="s">
        <v>2800</v>
      </c>
      <c r="R94" s="3137" t="s">
        <v>2801</v>
      </c>
      <c r="S94" s="3137" t="s">
        <v>2802</v>
      </c>
      <c r="T94" s="3137" t="s">
        <v>2803</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5.6">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5.6">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6.2" thickBot="1">
      <c r="A185" s="3122" t="s">
        <v>2797</v>
      </c>
      <c r="B185" s="3122"/>
      <c r="C185" s="3122"/>
      <c r="D185" s="3122"/>
      <c r="E185" s="3122"/>
      <c r="F185" s="3122"/>
      <c r="G185" s="3122"/>
      <c r="H185" s="3122"/>
      <c r="I185" s="3122"/>
      <c r="J185" s="3122"/>
      <c r="K185" s="3122"/>
      <c r="L185" s="3122"/>
      <c r="M185" s="3122"/>
    </row>
    <row r="186" spans="1:20">
      <c r="A186" s="3123" t="s">
        <v>2795</v>
      </c>
      <c r="B186" s="3124" t="s">
        <v>2591</v>
      </c>
      <c r="C186" s="3124" t="s">
        <v>2592</v>
      </c>
      <c r="D186" s="3124" t="s">
        <v>2593</v>
      </c>
      <c r="E186" s="3124" t="s">
        <v>2594</v>
      </c>
      <c r="F186" s="3124" t="s">
        <v>2595</v>
      </c>
      <c r="G186" s="3124" t="s">
        <v>2596</v>
      </c>
      <c r="H186" s="3125" t="s">
        <v>2597</v>
      </c>
      <c r="I186" s="3125" t="s">
        <v>2598</v>
      </c>
      <c r="J186" s="3126" t="s">
        <v>2599</v>
      </c>
      <c r="K186" s="3126" t="s">
        <v>2600</v>
      </c>
      <c r="L186" s="3126" t="s">
        <v>2601</v>
      </c>
      <c r="M186" s="3127" t="s">
        <v>2602</v>
      </c>
      <c r="Q186" s="3137" t="s">
        <v>2800</v>
      </c>
      <c r="R186" s="3137" t="s">
        <v>2801</v>
      </c>
      <c r="S186" s="3137" t="s">
        <v>2802</v>
      </c>
      <c r="T186" s="3137" t="s">
        <v>2803</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6.2" thickBot="1">
      <c r="A277" s="3122" t="s">
        <v>2798</v>
      </c>
      <c r="B277" s="3122"/>
      <c r="C277" s="3122"/>
      <c r="D277" s="3122"/>
      <c r="E277" s="3122"/>
      <c r="F277" s="3122"/>
      <c r="G277" s="3122"/>
      <c r="H277" s="3122"/>
      <c r="I277" s="3122"/>
      <c r="J277" s="3122"/>
      <c r="K277" s="3122"/>
      <c r="L277" s="3122"/>
      <c r="M277" s="3122"/>
    </row>
    <row r="278" spans="1:21">
      <c r="A278" s="3123" t="s">
        <v>2795</v>
      </c>
      <c r="B278" s="3124" t="s">
        <v>2591</v>
      </c>
      <c r="C278" s="3124" t="s">
        <v>2592</v>
      </c>
      <c r="D278" s="3124" t="s">
        <v>2593</v>
      </c>
      <c r="E278" s="3124" t="s">
        <v>2594</v>
      </c>
      <c r="F278" s="3124" t="s">
        <v>2595</v>
      </c>
      <c r="G278" s="3124" t="s">
        <v>2596</v>
      </c>
      <c r="H278" s="3125" t="s">
        <v>2597</v>
      </c>
      <c r="I278" s="3125" t="s">
        <v>2598</v>
      </c>
      <c r="J278" s="3126" t="s">
        <v>2599</v>
      </c>
      <c r="K278" s="3126" t="s">
        <v>2600</v>
      </c>
      <c r="L278" s="3126" t="s">
        <v>2601</v>
      </c>
      <c r="M278" s="3127" t="s">
        <v>2602</v>
      </c>
      <c r="Q278" s="3137" t="s">
        <v>2800</v>
      </c>
      <c r="R278" s="3137" t="s">
        <v>2801</v>
      </c>
      <c r="S278" s="3137" t="s">
        <v>2804</v>
      </c>
      <c r="T278" s="3137" t="s">
        <v>2805</v>
      </c>
      <c r="U278" s="3137" t="s">
        <v>2803</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6.2" thickBot="1">
      <c r="A369" s="3122" t="s">
        <v>2799</v>
      </c>
      <c r="B369" s="3135"/>
      <c r="C369" s="3135"/>
      <c r="D369" s="3135"/>
      <c r="E369" s="3135"/>
      <c r="F369" s="3135"/>
      <c r="G369" s="3135"/>
      <c r="H369" s="3135"/>
      <c r="I369" s="3135"/>
      <c r="J369" s="3135"/>
      <c r="K369" s="3135"/>
      <c r="L369" s="3135"/>
      <c r="M369" s="3135"/>
    </row>
    <row r="370" spans="1:20">
      <c r="A370" s="3123" t="s">
        <v>2795</v>
      </c>
      <c r="B370" s="3124" t="s">
        <v>2591</v>
      </c>
      <c r="C370" s="3124" t="s">
        <v>2592</v>
      </c>
      <c r="D370" s="3124" t="s">
        <v>2593</v>
      </c>
      <c r="E370" s="3124" t="s">
        <v>2594</v>
      </c>
      <c r="F370" s="3124" t="s">
        <v>2595</v>
      </c>
      <c r="G370" s="3124" t="s">
        <v>2596</v>
      </c>
      <c r="H370" s="3125" t="s">
        <v>2597</v>
      </c>
      <c r="I370" s="3125" t="s">
        <v>2598</v>
      </c>
      <c r="J370" s="3126" t="s">
        <v>2599</v>
      </c>
      <c r="K370" s="3126" t="s">
        <v>2600</v>
      </c>
      <c r="L370" s="3126" t="s">
        <v>2601</v>
      </c>
      <c r="M370" s="3127" t="s">
        <v>2602</v>
      </c>
      <c r="N370" s="750">
        <f>SUMPRODUCT((A371:A460=ROUNDDOWN(基准地价修正!G3,1))*(B370:M370=基准地价修正!G2)*(B371:M460))</f>
        <v>0.93179999999999996</v>
      </c>
      <c r="Q370" s="3137" t="s">
        <v>2800</v>
      </c>
      <c r="R370" s="3137" t="s">
        <v>2801</v>
      </c>
      <c r="S370" s="3137" t="s">
        <v>2802</v>
      </c>
      <c r="T370" s="3137" t="s">
        <v>2803</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30025</v>
      </c>
      <c r="C2" s="2" t="s">
        <v>106</v>
      </c>
      <c r="D2" s="199"/>
      <c r="E2" s="199"/>
      <c r="F2" s="199"/>
      <c r="G2" s="199"/>
    </row>
    <row r="3" spans="1:7" s="200" customFormat="1" ht="18" customHeight="1" thickBot="1">
      <c r="A3" s="203" t="s">
        <v>58</v>
      </c>
      <c r="B3" s="204">
        <f ca="1">ROUND(B2*10000/'数据-汇总表'!E3,0)</f>
        <v>263578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v>
      </c>
      <c r="D10" s="845">
        <f>'数据-汇总表'!E6</f>
        <v>1139.1300000000001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1139.1300000000001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29310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565</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1139.1300000000001</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25</v>
      </c>
      <c r="D42" s="238"/>
      <c r="E42" s="238"/>
      <c r="F42" s="239"/>
      <c r="G42" s="3727" t="s">
        <v>94</v>
      </c>
    </row>
    <row r="43" spans="1:7" ht="13.5" customHeight="1">
      <c r="A43" s="780" t="s">
        <v>347</v>
      </c>
      <c r="B43" s="215" t="s">
        <v>426</v>
      </c>
      <c r="C43" s="238">
        <f ca="1">ROUND(IF('数据-取费表'!B22&lt;=1,C39*F22*'数据-取费表'!B21/2,C39*(POWER((1+F22),'数据-取费表'!B21/2)-1)),0)</f>
        <v>0</v>
      </c>
      <c r="D43" s="238"/>
      <c r="E43" s="238"/>
      <c r="F43" s="239"/>
      <c r="G43" s="3728"/>
    </row>
    <row r="44" spans="1:7" ht="13.5" customHeight="1">
      <c r="A44" s="780" t="s">
        <v>348</v>
      </c>
      <c r="B44" s="215" t="s">
        <v>428</v>
      </c>
      <c r="C44" s="238">
        <f ca="1">ROUND(IF('数据-取费表'!B22&lt;=1,C40*F22*'数据-取费表'!B21/2,C40*(POWER((1+F22),'数据-取费表'!B21/2)-1)),4)</f>
        <v>8.0000000000000004E-4</v>
      </c>
      <c r="D44" s="238"/>
      <c r="E44" s="238"/>
      <c r="F44" s="239"/>
      <c r="G44" s="3729"/>
    </row>
    <row r="45" spans="1:7" s="214" customFormat="1" ht="13.5" customHeight="1">
      <c r="A45" s="777" t="s">
        <v>341</v>
      </c>
      <c r="B45" s="244" t="s">
        <v>85</v>
      </c>
      <c r="C45" s="245">
        <f>C46</f>
        <v>125</v>
      </c>
      <c r="D45" s="235">
        <f>C47</f>
        <v>4.0000000000000001E-3</v>
      </c>
      <c r="E45" s="236" t="s">
        <v>102</v>
      </c>
      <c r="F45" s="246"/>
      <c r="G45" s="247" t="s">
        <v>434</v>
      </c>
    </row>
    <row r="46" spans="1:7" s="214" customFormat="1" ht="13.5" customHeight="1">
      <c r="A46" s="780" t="s">
        <v>349</v>
      </c>
      <c r="B46" s="248" t="s">
        <v>427</v>
      </c>
      <c r="C46" s="249">
        <f>ROUND((C33+C39)*F27,0)</f>
        <v>125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841</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715</v>
      </c>
      <c r="D51" s="232"/>
      <c r="E51" s="232"/>
      <c r="F51" s="264"/>
      <c r="G51" s="234" t="s">
        <v>37</v>
      </c>
    </row>
    <row r="52" spans="1:7" s="208" customFormat="1" ht="16.8" thickBot="1">
      <c r="A52" s="265" t="s">
        <v>38</v>
      </c>
      <c r="B52" s="266"/>
      <c r="C52" s="267">
        <f ca="1">C31+C51</f>
        <v>30025</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1" customWidth="1"/>
    <col min="2" max="2" width="18.6640625" style="3221" customWidth="1"/>
    <col min="3" max="6" width="10.21875" style="3221" customWidth="1"/>
    <col min="7" max="7" width="10.44140625" style="3221" bestFit="1" customWidth="1"/>
    <col min="8" max="8" width="8.88671875" style="3217"/>
    <col min="9" max="9" width="13.33203125" style="3217" customWidth="1"/>
    <col min="10" max="13" width="13.33203125" style="3221" customWidth="1"/>
    <col min="14" max="14" width="18.21875" style="3221" customWidth="1"/>
    <col min="15" max="17" width="15.109375" style="3221" customWidth="1"/>
    <col min="18" max="20" width="11.44140625" style="3221" customWidth="1"/>
    <col min="21" max="16384" width="8.88671875" style="3221"/>
  </cols>
  <sheetData>
    <row r="1" spans="1:20" ht="11.4" thickBot="1">
      <c r="A1" s="3812" t="s">
        <v>2839</v>
      </c>
      <c r="B1" s="3812"/>
      <c r="C1" s="3812"/>
      <c r="D1" s="3812"/>
      <c r="E1" s="3812"/>
      <c r="F1" s="3812"/>
      <c r="G1" s="3813"/>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1.4"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810" t="s">
        <v>2866</v>
      </c>
      <c r="B3" s="3225"/>
      <c r="C3" s="3226" t="s">
        <v>2807</v>
      </c>
      <c r="D3" s="3226" t="s">
        <v>2867</v>
      </c>
      <c r="E3" s="3226" t="s">
        <v>2809</v>
      </c>
      <c r="F3" s="3226" t="s">
        <v>2868</v>
      </c>
      <c r="G3" s="3226" t="s">
        <v>2627</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1.4" thickBot="1">
      <c r="A4" s="3811"/>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1.4"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1.4"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1.4"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1.4"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1.4"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1.4"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4" customWidth="1"/>
    <col min="2" max="2" width="20" style="3284" customWidth="1"/>
    <col min="3" max="7" width="8.88671875" style="3248"/>
    <col min="8" max="16384" width="8.88671875" style="3249"/>
  </cols>
  <sheetData>
    <row r="1" spans="1:7">
      <c r="A1" s="3814" t="s">
        <v>3181</v>
      </c>
      <c r="B1" s="3814"/>
    </row>
    <row r="2" spans="1:7" ht="15" thickBot="1">
      <c r="A2" s="3250"/>
      <c r="B2" s="3250"/>
    </row>
    <row r="3" spans="1:7" ht="15" thickBot="1">
      <c r="A3" s="3250"/>
      <c r="B3" s="3250"/>
      <c r="C3" s="3251" t="s">
        <v>2807</v>
      </c>
      <c r="D3" s="3251" t="s">
        <v>2867</v>
      </c>
      <c r="E3" s="3251" t="s">
        <v>2809</v>
      </c>
      <c r="F3" s="3251" t="s">
        <v>2868</v>
      </c>
      <c r="G3" s="3251" t="s">
        <v>2627</v>
      </c>
    </row>
    <row r="4" spans="1:7" ht="1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5"/>
  </cols>
  <sheetData>
    <row r="1" spans="1:6">
      <c r="A1" s="3815" t="s">
        <v>3232</v>
      </c>
      <c r="B1" s="3815"/>
      <c r="C1" s="3815"/>
      <c r="D1" s="3815"/>
      <c r="E1" s="3815"/>
      <c r="F1" s="3816"/>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6">
        <f>基准地价修正!G23</f>
        <v>44965</v>
      </c>
      <c r="B1" s="3205" t="s">
        <v>2838</v>
      </c>
      <c r="C1" s="3206"/>
      <c r="D1" s="3206"/>
      <c r="E1" s="3206"/>
      <c r="F1" s="3206"/>
      <c r="G1" s="3206"/>
      <c r="H1" s="3206"/>
      <c r="I1" s="3206"/>
      <c r="J1" s="3160"/>
      <c r="K1" s="3206" t="s">
        <v>454</v>
      </c>
      <c r="L1" s="3206"/>
      <c r="M1" s="3206"/>
      <c r="N1" s="3206"/>
      <c r="O1" s="3206"/>
      <c r="P1" s="3206"/>
      <c r="Q1" s="3160"/>
      <c r="R1" s="3817" t="s">
        <v>456</v>
      </c>
      <c r="S1" s="3818"/>
      <c r="T1" s="3818"/>
      <c r="U1" s="3818"/>
      <c r="V1" s="3818"/>
      <c r="W1" s="3818"/>
      <c r="X1" s="3160"/>
      <c r="Y1" s="3817" t="s">
        <v>457</v>
      </c>
      <c r="Z1" s="3818"/>
      <c r="AA1" s="3818"/>
      <c r="AB1" s="3818"/>
      <c r="AC1" s="3818"/>
      <c r="AD1" s="3818"/>
    </row>
    <row r="2" spans="1:30" s="3138" customFormat="1" ht="15" thickBot="1">
      <c r="B2" s="3139"/>
      <c r="C2" s="3140"/>
      <c r="D2" s="3141" t="s">
        <v>2806</v>
      </c>
      <c r="E2" s="3142" t="s">
        <v>2807</v>
      </c>
      <c r="F2" s="3142" t="s">
        <v>2808</v>
      </c>
      <c r="G2" s="3142" t="s">
        <v>2809</v>
      </c>
      <c r="H2" s="3142" t="s">
        <v>2810</v>
      </c>
      <c r="I2" s="3142" t="s">
        <v>2627</v>
      </c>
      <c r="J2" s="3143"/>
      <c r="K2" s="3141" t="s">
        <v>2806</v>
      </c>
      <c r="L2" s="3142" t="s">
        <v>2807</v>
      </c>
      <c r="M2" s="3142" t="s">
        <v>2808</v>
      </c>
      <c r="N2" s="3142" t="s">
        <v>2809</v>
      </c>
      <c r="O2" s="3142" t="s">
        <v>2811</v>
      </c>
      <c r="P2" s="3142" t="s">
        <v>2627</v>
      </c>
      <c r="Q2" s="3143"/>
      <c r="R2" s="3141" t="s">
        <v>2806</v>
      </c>
      <c r="S2" s="3142" t="s">
        <v>2807</v>
      </c>
      <c r="T2" s="3142" t="s">
        <v>2808</v>
      </c>
      <c r="U2" s="3142" t="s">
        <v>2812</v>
      </c>
      <c r="V2" s="3142" t="s">
        <v>2813</v>
      </c>
      <c r="W2" s="3142" t="s">
        <v>2627</v>
      </c>
      <c r="X2" s="3143"/>
      <c r="Y2" s="3141" t="s">
        <v>2806</v>
      </c>
      <c r="Z2" s="3142" t="s">
        <v>2807</v>
      </c>
      <c r="AA2" s="3142" t="s">
        <v>2808</v>
      </c>
      <c r="AB2" s="3142" t="s">
        <v>2814</v>
      </c>
      <c r="AC2" s="3142" t="s">
        <v>2813</v>
      </c>
      <c r="AD2" s="3142" t="s">
        <v>2627</v>
      </c>
    </row>
    <row r="3" spans="1:30" s="3156" customFormat="1" ht="13.2">
      <c r="A3" s="3144" t="s">
        <v>2815</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3.2">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3.2">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3.2">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3.2">
      <c r="A7" s="3171" t="s">
        <v>3368</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3.2">
      <c r="A8" s="3171" t="s">
        <v>2816</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3.2">
      <c r="A9" s="3181" t="s">
        <v>2817</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3.2">
      <c r="A10" s="3171" t="s">
        <v>3363</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3.2">
      <c r="A11" s="3171" t="s">
        <v>3354</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3.2">
      <c r="A12" s="3171" t="s">
        <v>2818</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3.2">
      <c r="A13" s="3171" t="s">
        <v>2819</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3.2">
      <c r="A14" s="3171" t="s">
        <v>2820</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3.2">
      <c r="A15" s="3171" t="s">
        <v>2821</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ht="13.8" thickBot="1">
      <c r="A16" s="3192" t="s">
        <v>2822</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5" thickTop="1"/>
    <row r="18" spans="1:30" s="3004" customFormat="1">
      <c r="A18" s="3443" t="s">
        <v>3366</v>
      </c>
    </row>
    <row r="19" spans="1:30" s="3004" customFormat="1">
      <c r="I19" s="3203" t="s">
        <v>2823</v>
      </c>
    </row>
    <row r="20" spans="1:30" s="3004" customFormat="1"/>
    <row r="21" spans="1:30" s="3204" customFormat="1" ht="13.2">
      <c r="B21" s="3205" t="s">
        <v>2824</v>
      </c>
      <c r="C21" s="3206"/>
      <c r="D21" s="3206"/>
      <c r="E21" s="3206"/>
      <c r="F21" s="3206"/>
      <c r="G21" s="3206"/>
      <c r="H21" s="3206"/>
      <c r="I21" s="3206"/>
      <c r="J21" s="3160"/>
      <c r="K21" s="3206" t="s">
        <v>2825</v>
      </c>
      <c r="L21" s="3206"/>
      <c r="M21" s="3206"/>
      <c r="N21" s="3206"/>
      <c r="O21" s="3206"/>
      <c r="P21" s="3206"/>
      <c r="Q21" s="3160"/>
      <c r="R21" s="3817" t="s">
        <v>2826</v>
      </c>
      <c r="S21" s="3818"/>
      <c r="T21" s="3818"/>
      <c r="U21" s="3818"/>
      <c r="V21" s="3818"/>
      <c r="W21" s="3818"/>
      <c r="X21" s="3160"/>
      <c r="Y21" s="3817" t="s">
        <v>2827</v>
      </c>
      <c r="Z21" s="3818"/>
      <c r="AA21" s="3818"/>
      <c r="AB21" s="3818"/>
      <c r="AC21" s="3818"/>
      <c r="AD21" s="3818"/>
    </row>
    <row r="22" spans="1:30" s="3138" customFormat="1" ht="15" thickBot="1">
      <c r="B22" s="3139"/>
      <c r="C22" s="3140"/>
      <c r="D22" s="3141" t="s">
        <v>2828</v>
      </c>
      <c r="E22" s="3142" t="s">
        <v>2829</v>
      </c>
      <c r="F22" s="3142" t="s">
        <v>2830</v>
      </c>
      <c r="G22" s="3142" t="s">
        <v>2831</v>
      </c>
      <c r="H22" s="3142"/>
      <c r="I22" s="3142" t="s">
        <v>2832</v>
      </c>
      <c r="J22" s="3143"/>
      <c r="K22" s="3141" t="s">
        <v>2828</v>
      </c>
      <c r="L22" s="3142" t="s">
        <v>2829</v>
      </c>
      <c r="M22" s="3142" t="s">
        <v>2830</v>
      </c>
      <c r="N22" s="3142" t="s">
        <v>2831</v>
      </c>
      <c r="O22" s="3142"/>
      <c r="P22" s="3142" t="s">
        <v>2832</v>
      </c>
      <c r="Q22" s="3143"/>
      <c r="R22" s="3141" t="s">
        <v>2828</v>
      </c>
      <c r="S22" s="3142" t="s">
        <v>2829</v>
      </c>
      <c r="T22" s="3142" t="s">
        <v>2830</v>
      </c>
      <c r="U22" s="3142" t="s">
        <v>2831</v>
      </c>
      <c r="V22" s="3142"/>
      <c r="W22" s="3142" t="s">
        <v>2832</v>
      </c>
      <c r="X22" s="3143"/>
      <c r="Y22" s="3141" t="s">
        <v>2828</v>
      </c>
      <c r="Z22" s="3142" t="s">
        <v>2829</v>
      </c>
      <c r="AA22" s="3142" t="s">
        <v>2830</v>
      </c>
      <c r="AB22" s="3142" t="s">
        <v>2831</v>
      </c>
      <c r="AC22" s="3142"/>
      <c r="AD22" s="3142" t="s">
        <v>2832</v>
      </c>
    </row>
    <row r="23" spans="1:30" s="3156" customFormat="1" ht="13.2">
      <c r="A23" s="3144" t="s">
        <v>2833</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3.2">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3.2">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3.2">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3.2">
      <c r="A27" s="3171" t="s">
        <v>3368</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3.2">
      <c r="A28" s="3171" t="s">
        <v>2816</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3.2">
      <c r="A29" s="3181" t="s">
        <v>3364</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3.2">
      <c r="A30" s="3171" t="s">
        <v>3365</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3.2">
      <c r="A31" s="3171" t="s">
        <v>3354</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3.2">
      <c r="A32" s="3171" t="s">
        <v>2834</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3.2">
      <c r="A33" s="3171" t="s">
        <v>2835</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3.2">
      <c r="A34" s="3171" t="s">
        <v>2836</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3.2">
      <c r="A35" s="3171" t="s">
        <v>2837</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ht="13.8" thickBot="1">
      <c r="A36" s="3192" t="s">
        <v>2822</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5" thickTop="1"/>
    <row r="38" spans="1:30">
      <c r="A38" s="3443"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4" t="s">
        <v>452</v>
      </c>
      <c r="C1" s="3824"/>
      <c r="D1" s="3824"/>
      <c r="E1" s="3824"/>
      <c r="F1" s="3824"/>
      <c r="G1" s="3823" t="s">
        <v>453</v>
      </c>
      <c r="H1" s="3823"/>
      <c r="I1" s="3823"/>
      <c r="J1" s="3823"/>
      <c r="K1" s="3823"/>
      <c r="L1" s="3823"/>
      <c r="N1" s="3823" t="s">
        <v>454</v>
      </c>
      <c r="O1" s="3823"/>
      <c r="P1" s="3823"/>
      <c r="Q1" s="3823"/>
      <c r="S1" s="3823" t="s">
        <v>455</v>
      </c>
      <c r="T1" s="3823"/>
      <c r="U1" s="3823"/>
      <c r="V1" s="3823"/>
      <c r="X1" s="3822" t="s">
        <v>456</v>
      </c>
      <c r="Y1" s="3823"/>
      <c r="Z1" s="3823"/>
      <c r="AA1" s="3823"/>
      <c r="AB1" s="3823"/>
      <c r="AD1" s="3822" t="s">
        <v>457</v>
      </c>
      <c r="AE1" s="3823"/>
      <c r="AF1" s="3823"/>
      <c r="AG1" s="3823"/>
      <c r="AH1" s="382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2432</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2309</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2308</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2307</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6">
        <v>44795</v>
      </c>
      <c r="D13" s="2817">
        <v>3.65</v>
      </c>
      <c r="E13" s="2817">
        <f>D13</f>
        <v>3.65</v>
      </c>
      <c r="F13" s="2817">
        <f>D13</f>
        <v>3.65</v>
      </c>
      <c r="G13" s="2817">
        <f>D13</f>
        <v>3.65</v>
      </c>
      <c r="H13" s="281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1"/>
      <c r="C14" s="2813">
        <v>44701</v>
      </c>
      <c r="D14" s="2812">
        <v>3.7</v>
      </c>
      <c r="E14" s="2812">
        <f>D14</f>
        <v>3.7</v>
      </c>
      <c r="F14" s="2812">
        <f>D14</f>
        <v>3.7</v>
      </c>
      <c r="G14" s="2812">
        <f>D14</f>
        <v>3.7</v>
      </c>
      <c r="H14" s="2812">
        <v>4.45</v>
      </c>
      <c r="I14" s="2817"/>
      <c r="J14" s="281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1"/>
      <c r="C15" s="2813">
        <v>44581</v>
      </c>
      <c r="D15" s="2812">
        <v>3.7</v>
      </c>
      <c r="E15" s="2812">
        <f>D15</f>
        <v>3.7</v>
      </c>
      <c r="F15" s="2812">
        <f>D15</f>
        <v>3.7</v>
      </c>
      <c r="G15" s="2812">
        <f>D15</f>
        <v>3.7</v>
      </c>
      <c r="H15" s="2812">
        <v>4.5999999999999996</v>
      </c>
      <c r="I15" s="2817"/>
      <c r="J15" s="281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2"/>
      <c r="C16" s="2813">
        <v>44550</v>
      </c>
      <c r="D16" s="2812">
        <v>3.8</v>
      </c>
      <c r="E16" s="2812">
        <f>D16</f>
        <v>3.8</v>
      </c>
      <c r="F16" s="2812">
        <f>D16</f>
        <v>3.8</v>
      </c>
      <c r="G16" s="2812">
        <f>D16</f>
        <v>3.8</v>
      </c>
      <c r="H16" s="2812">
        <v>4.6500000000000004</v>
      </c>
      <c r="I16" s="2812"/>
      <c r="J16" s="281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2"/>
      <c r="C17" s="2813">
        <v>43941</v>
      </c>
      <c r="D17" s="2812">
        <v>3.85</v>
      </c>
      <c r="E17" s="2812">
        <v>3.85</v>
      </c>
      <c r="F17" s="2812">
        <v>3.85</v>
      </c>
      <c r="G17" s="2812">
        <v>3.85</v>
      </c>
      <c r="H17" s="2812">
        <v>4.6500000000000004</v>
      </c>
      <c r="I17" s="2812"/>
      <c r="J17" s="281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5.6">
      <c r="A19" s="1284"/>
      <c r="B19" s="2812"/>
      <c r="C19" s="2813">
        <v>43789</v>
      </c>
      <c r="D19" s="2812">
        <v>4.1500000000000004</v>
      </c>
      <c r="E19" s="2812">
        <v>4.1500000000000004</v>
      </c>
      <c r="F19" s="2812">
        <v>4.1500000000000004</v>
      </c>
      <c r="G19" s="2812">
        <v>4.1500000000000004</v>
      </c>
      <c r="H19" s="2812">
        <v>4.8</v>
      </c>
      <c r="I19" s="2812"/>
      <c r="J19" s="281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2"/>
      <c r="C20" s="2813">
        <v>43728</v>
      </c>
      <c r="D20" s="2812">
        <v>4.2</v>
      </c>
      <c r="E20" s="2812">
        <v>4.2</v>
      </c>
      <c r="F20" s="2812">
        <v>4.2</v>
      </c>
      <c r="G20" s="2812">
        <v>4.2</v>
      </c>
      <c r="H20" s="2812">
        <v>4.8499999999999996</v>
      </c>
      <c r="I20" s="2812"/>
      <c r="J20" s="281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1" t="s">
        <v>2306</v>
      </c>
      <c r="C21" s="2814">
        <v>43697</v>
      </c>
      <c r="D21" s="2815">
        <v>4.25</v>
      </c>
      <c r="E21" s="2815">
        <v>4.25</v>
      </c>
      <c r="F21" s="2815">
        <v>4.25</v>
      </c>
      <c r="G21" s="2815">
        <v>4.25</v>
      </c>
      <c r="H21" s="2815">
        <v>4.8499999999999996</v>
      </c>
      <c r="I21" s="2815"/>
      <c r="J21" s="281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18"/>
      <c r="B22" s="2819"/>
      <c r="C22" s="2820">
        <v>42301</v>
      </c>
      <c r="D22" s="2821">
        <v>4.3499999999999996</v>
      </c>
      <c r="E22" s="2821">
        <v>4.3499999999999996</v>
      </c>
      <c r="F22" s="2821">
        <v>4.75</v>
      </c>
      <c r="G22" s="2821">
        <v>4.75</v>
      </c>
      <c r="H22" s="2821">
        <v>4.9000000000000004</v>
      </c>
      <c r="I22" s="2821"/>
      <c r="J22" s="282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workbookViewId="0">
      <selection activeCell="G58" sqref="G58"/>
    </sheetView>
  </sheetViews>
  <sheetFormatPr defaultRowHeight="14.4"/>
  <sheetData>
    <row r="1" spans="1:7">
      <c r="A1" s="3457" t="s">
        <v>3421</v>
      </c>
      <c r="B1" s="3457" t="s">
        <v>3424</v>
      </c>
      <c r="C1" s="3457" t="s">
        <v>3425</v>
      </c>
      <c r="D1" s="3457" t="s">
        <v>3426</v>
      </c>
      <c r="E1" s="3457" t="s">
        <v>3481</v>
      </c>
      <c r="F1" s="3457" t="s">
        <v>3483</v>
      </c>
    </row>
    <row r="2" spans="1:7">
      <c r="A2" s="3457" t="s">
        <v>3422</v>
      </c>
      <c r="B2">
        <v>99991</v>
      </c>
      <c r="C2">
        <v>102.01</v>
      </c>
      <c r="D2" s="3457" t="s">
        <v>3427</v>
      </c>
      <c r="E2">
        <v>2003</v>
      </c>
      <c r="F2">
        <f>2023-E2</f>
        <v>20</v>
      </c>
      <c r="G2">
        <f>40-F2-2</f>
        <v>18</v>
      </c>
    </row>
    <row r="3" spans="1:7">
      <c r="A3" s="3457" t="s">
        <v>3423</v>
      </c>
      <c r="B3">
        <v>103407</v>
      </c>
      <c r="C3">
        <v>348.14</v>
      </c>
      <c r="D3" s="3457" t="s">
        <v>3427</v>
      </c>
      <c r="E3">
        <v>2007</v>
      </c>
      <c r="F3">
        <f>2023-E3</f>
        <v>16</v>
      </c>
      <c r="G3">
        <f>40-F3-2</f>
        <v>22</v>
      </c>
    </row>
    <row r="4" spans="1:7">
      <c r="A4" s="3457" t="s">
        <v>3482</v>
      </c>
      <c r="B4">
        <v>108204</v>
      </c>
      <c r="C4">
        <v>79.48</v>
      </c>
      <c r="D4" s="3457" t="s">
        <v>3427</v>
      </c>
      <c r="E4">
        <v>2005</v>
      </c>
      <c r="F4">
        <f>2023-E4</f>
        <v>18</v>
      </c>
      <c r="G4">
        <f>40-F4-2</f>
        <v>20</v>
      </c>
    </row>
    <row r="36" spans="2:20">
      <c r="B36" s="3457" t="s">
        <v>3420</v>
      </c>
      <c r="C36" s="3457" t="s">
        <v>3420</v>
      </c>
    </row>
    <row r="37" spans="2:20">
      <c r="B37" s="3457" t="s">
        <v>3420</v>
      </c>
    </row>
    <row r="44" spans="2:20">
      <c r="S44">
        <v>55</v>
      </c>
      <c r="T44">
        <f>S44*10000/200/365</f>
        <v>7.5342465753424657</v>
      </c>
    </row>
    <row r="45" spans="2:20">
      <c r="R45">
        <v>102</v>
      </c>
    </row>
    <row r="46" spans="2:20">
      <c r="R46">
        <v>98</v>
      </c>
    </row>
    <row r="58" spans="1:5">
      <c r="A58" s="3457" t="s">
        <v>3502</v>
      </c>
      <c r="B58" s="3457" t="s">
        <v>3503</v>
      </c>
      <c r="C58" s="3457" t="s">
        <v>3504</v>
      </c>
      <c r="D58">
        <v>1200</v>
      </c>
      <c r="E58">
        <f>D58*10000/200</f>
        <v>60000</v>
      </c>
    </row>
    <row r="59" spans="1:5">
      <c r="C59" s="3457" t="s">
        <v>3505</v>
      </c>
    </row>
    <row r="60" spans="1:5">
      <c r="A60" s="3457" t="s">
        <v>3506</v>
      </c>
      <c r="B60">
        <v>55</v>
      </c>
      <c r="C60">
        <f>B60*10000/365/200</f>
        <v>7.5342465753424657</v>
      </c>
    </row>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F35" sqref="F35"/>
    </sheetView>
  </sheetViews>
  <sheetFormatPr defaultRowHeight="14.4"/>
  <cols>
    <col min="4" max="5" width="10.44140625" bestFit="1" customWidth="1"/>
    <col min="7" max="7" width="10.44140625" bestFit="1" customWidth="1"/>
    <col min="8" max="8" width="12.6640625" customWidth="1"/>
    <col min="9" max="9" width="15.109375" customWidth="1"/>
  </cols>
  <sheetData>
    <row r="1" spans="1:9">
      <c r="B1" s="3457" t="s">
        <v>2823</v>
      </c>
    </row>
    <row r="2" spans="1:9">
      <c r="B2" s="3457" t="s">
        <v>3402</v>
      </c>
      <c r="C2" s="3457" t="s">
        <v>3403</v>
      </c>
      <c r="D2" s="3457" t="s">
        <v>3404</v>
      </c>
      <c r="E2" s="3457" t="s">
        <v>3405</v>
      </c>
      <c r="F2" s="3457" t="s">
        <v>3406</v>
      </c>
      <c r="G2" s="3457" t="s">
        <v>3408</v>
      </c>
      <c r="H2" s="3457" t="s">
        <v>3508</v>
      </c>
      <c r="I2" s="3457" t="s">
        <v>3507</v>
      </c>
    </row>
    <row r="3" spans="1:9">
      <c r="A3" s="3457" t="s">
        <v>3401</v>
      </c>
      <c r="B3" s="3457">
        <v>770</v>
      </c>
      <c r="C3">
        <v>10</v>
      </c>
      <c r="D3" s="3458">
        <v>43617</v>
      </c>
      <c r="E3" s="3458">
        <v>47269</v>
      </c>
      <c r="F3" s="3457" t="s">
        <v>3407</v>
      </c>
      <c r="G3" s="3457">
        <v>4000000</v>
      </c>
      <c r="H3" s="3457">
        <f>ROUND(G3/365/'数据-汇总表'!H37,1)</f>
        <v>10.199999999999999</v>
      </c>
      <c r="I3">
        <f>G3/B3/365</f>
        <v>14.232342999466288</v>
      </c>
    </row>
    <row r="4" spans="1:9">
      <c r="A4" s="3457" t="s">
        <v>3409</v>
      </c>
      <c r="B4">
        <v>32</v>
      </c>
      <c r="C4">
        <v>1</v>
      </c>
      <c r="D4" s="3458">
        <v>44814</v>
      </c>
      <c r="E4" s="3458">
        <v>45178</v>
      </c>
      <c r="F4">
        <v>20000</v>
      </c>
      <c r="G4">
        <v>192000</v>
      </c>
      <c r="H4">
        <f>ROUND(G4/365/'数据-汇总表'!H38,1)</f>
        <v>11.7</v>
      </c>
      <c r="I4">
        <f>G4/B4/365</f>
        <v>16.438356164383563</v>
      </c>
    </row>
    <row r="5" spans="1:9">
      <c r="A5" s="3457" t="s">
        <v>3410</v>
      </c>
      <c r="B5">
        <v>12</v>
      </c>
      <c r="C5">
        <v>2</v>
      </c>
      <c r="D5" s="3458">
        <v>44440</v>
      </c>
      <c r="E5" s="3458">
        <v>45169</v>
      </c>
      <c r="F5" s="3457">
        <v>20000</v>
      </c>
      <c r="G5" s="3457">
        <v>60000</v>
      </c>
      <c r="H5">
        <f>ROUND(G5/'数据-汇总表'!H39/365,1)</f>
        <v>9.8000000000000007</v>
      </c>
      <c r="I5">
        <f>G5/B5/365</f>
        <v>13.698630136986301</v>
      </c>
    </row>
    <row r="6" spans="1:9">
      <c r="B6">
        <f>SUM(B3:B5)</f>
        <v>814</v>
      </c>
      <c r="G6">
        <f>SUM(G3:G5)</f>
        <v>4252000</v>
      </c>
    </row>
    <row r="7" spans="1:9">
      <c r="G7">
        <f>ROUND(G6/'数据-汇总表'!E3/365,1)</f>
        <v>10.199999999999999</v>
      </c>
    </row>
    <row r="13" spans="1:9">
      <c r="G13">
        <v>10</v>
      </c>
      <c r="H13" s="3487">
        <v>0.05</v>
      </c>
    </row>
    <row r="14" spans="1:9">
      <c r="H14" s="3487">
        <v>0.06</v>
      </c>
    </row>
    <row r="15" spans="1:9">
      <c r="G15">
        <f>G13*85%*365/H13</f>
        <v>62050</v>
      </c>
    </row>
    <row r="16" spans="1:9">
      <c r="G16">
        <f>G13*85%*365/H14</f>
        <v>51708.333333333336</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928</v>
      </c>
      <c r="B2" s="3509" t="s">
        <v>929</v>
      </c>
      <c r="C2" s="3509" t="s">
        <v>930</v>
      </c>
      <c r="D2" s="3509" t="str">
        <f>结果表!D116</f>
        <v>出让国有建设用地使用权价值</v>
      </c>
      <c r="E2" s="3509"/>
      <c r="F2" s="3509" t="str">
        <f>结果表!F116</f>
        <v>在建建筑物价值</v>
      </c>
      <c r="G2" s="3509"/>
      <c r="H2" s="3509" t="str">
        <f>IF(项目基本情况!B9="房地产市场价值","房地产市场价值","房地产价值")</f>
        <v>房地产价值</v>
      </c>
      <c r="I2" s="3509"/>
    </row>
    <row r="3" spans="1:9" ht="15.6">
      <c r="A3" s="3504"/>
      <c r="B3" s="3504"/>
      <c r="C3" s="3504"/>
      <c r="D3" s="854" t="s">
        <v>925</v>
      </c>
      <c r="E3" s="854" t="s">
        <v>931</v>
      </c>
      <c r="F3" s="854" t="s">
        <v>925</v>
      </c>
      <c r="G3" s="854" t="s">
        <v>926</v>
      </c>
      <c r="H3" s="854" t="s">
        <v>925</v>
      </c>
      <c r="I3" s="854" t="s">
        <v>926</v>
      </c>
    </row>
    <row r="4" spans="1:9" ht="30">
      <c r="A4" s="1505" t="str">
        <f>项目基本情况!S2</f>
        <v>北京市崇文区珠市口东大街14号1-C房地产</v>
      </c>
      <c r="B4" s="854">
        <f>项目基本情况!C17</f>
        <v>1139.1300000000001</v>
      </c>
      <c r="C4" s="854">
        <f>项目基本情况!C18</f>
        <v>278.54000000000002</v>
      </c>
      <c r="D4" s="854" t="e">
        <f ca="1">结果表!D118</f>
        <v>#REF!</v>
      </c>
      <c r="E4" s="854" t="e">
        <f ca="1">结果表!E118</f>
        <v>#REF!</v>
      </c>
      <c r="F4" s="854" t="e">
        <f ca="1">结果表!F118</f>
        <v>#REF!</v>
      </c>
      <c r="G4" s="854" t="e">
        <f ca="1">结果表!G118</f>
        <v>#REF!</v>
      </c>
      <c r="H4" s="854">
        <f ca="1">结果表!H118</f>
        <v>7894</v>
      </c>
      <c r="I4" s="854">
        <f ca="1">结果表!I118</f>
        <v>69298</v>
      </c>
    </row>
    <row r="5" spans="1:9" ht="30" customHeight="1">
      <c r="A5" s="3504" t="s">
        <v>927</v>
      </c>
      <c r="B5" s="3504"/>
      <c r="C5" s="3504"/>
      <c r="D5" s="3504" t="e">
        <f ca="1">结果表!D119</f>
        <v>#REF!</v>
      </c>
      <c r="E5" s="3504"/>
      <c r="F5" s="3504" t="e">
        <f ca="1">结果表!F119</f>
        <v>#REF!</v>
      </c>
      <c r="G5" s="3504"/>
      <c r="H5" s="3504" t="str">
        <f ca="1">结果表!H119</f>
        <v>柒仟捌佰玖拾肆万元整</v>
      </c>
      <c r="I5" s="3504"/>
    </row>
    <row r="6" spans="1:9" ht="15.6">
      <c r="A6" s="3503" t="str">
        <f>结果表!A120</f>
        <v>估价师知悉的法定优先受偿款</v>
      </c>
      <c r="B6" s="3503"/>
      <c r="C6" s="3503"/>
      <c r="D6" s="3503">
        <f>结果表!D120</f>
        <v>0</v>
      </c>
      <c r="E6" s="3503"/>
      <c r="F6" s="3503"/>
      <c r="G6" s="3503"/>
      <c r="H6" s="3503"/>
      <c r="I6" s="3503"/>
    </row>
    <row r="7" spans="1:9" ht="15">
      <c r="A7" s="3504" t="s">
        <v>927</v>
      </c>
      <c r="B7" s="3504"/>
      <c r="C7" s="3504"/>
      <c r="D7" s="3505" t="str">
        <f>结果表!D121</f>
        <v>零元整</v>
      </c>
      <c r="E7" s="3506"/>
      <c r="F7" s="3506"/>
      <c r="G7" s="3506"/>
      <c r="H7" s="3506"/>
      <c r="I7" s="3507"/>
    </row>
    <row r="8" spans="1:9" ht="15.6">
      <c r="A8" s="3503" t="str">
        <f>结果表!A122</f>
        <v>房地产抵押价值</v>
      </c>
      <c r="B8" s="3503"/>
      <c r="C8" s="3503"/>
      <c r="D8" s="3503">
        <f ca="1">结果表!D122</f>
        <v>7894</v>
      </c>
      <c r="E8" s="3503"/>
      <c r="F8" s="3503"/>
      <c r="G8" s="3503"/>
      <c r="H8" s="3503"/>
      <c r="I8" s="3503"/>
    </row>
    <row r="9" spans="1:9" ht="15">
      <c r="A9" s="3504" t="s">
        <v>927</v>
      </c>
      <c r="B9" s="3504"/>
      <c r="C9" s="3504"/>
      <c r="D9" s="3504" t="str">
        <f ca="1">结果表!D123</f>
        <v>柒仟捌佰玖拾肆万元整</v>
      </c>
      <c r="E9" s="3504"/>
      <c r="F9" s="3504"/>
      <c r="G9" s="3504"/>
      <c r="H9" s="3504"/>
      <c r="I9" s="3504"/>
    </row>
    <row r="10" spans="1:9" ht="15.6">
      <c r="A10" s="3503" t="str">
        <f>结果表!A124</f>
        <v/>
      </c>
      <c r="B10" s="3503"/>
      <c r="C10" s="3503"/>
      <c r="D10" s="3503" t="str">
        <f>结果表!D124</f>
        <v>——</v>
      </c>
      <c r="E10" s="3503"/>
      <c r="F10" s="3503"/>
      <c r="G10" s="3503"/>
      <c r="H10" s="3503"/>
      <c r="I10" s="3503"/>
    </row>
    <row r="11" spans="1:9" ht="15">
      <c r="A11" s="3504" t="s">
        <v>927</v>
      </c>
      <c r="B11" s="3504"/>
      <c r="C11" s="3504"/>
      <c r="D11" s="3504" t="e">
        <f>结果表!D125</f>
        <v>#VALUE!</v>
      </c>
      <c r="E11" s="3504"/>
      <c r="F11" s="3504"/>
      <c r="G11" s="3504"/>
      <c r="H11" s="3504"/>
      <c r="I11" s="3504"/>
    </row>
    <row r="12" spans="1:9" ht="15.6">
      <c r="A12" s="3503" t="str">
        <f>结果表!A126</f>
        <v/>
      </c>
      <c r="B12" s="3503"/>
      <c r="C12" s="3503"/>
      <c r="D12" s="3503" t="str">
        <f>结果表!D126</f>
        <v>——</v>
      </c>
      <c r="E12" s="3503"/>
      <c r="F12" s="3503"/>
      <c r="G12" s="3503"/>
      <c r="H12" s="3503"/>
      <c r="I12" s="3503"/>
    </row>
    <row r="13" spans="1:9" ht="15.6" thickBot="1">
      <c r="A13" s="3501" t="s">
        <v>927</v>
      </c>
      <c r="B13" s="3501"/>
      <c r="C13" s="3501"/>
      <c r="D13" s="3501" t="e">
        <f>结果表!D127</f>
        <v>#VALUE!</v>
      </c>
      <c r="E13" s="3501"/>
      <c r="F13" s="3501"/>
      <c r="G13" s="3501"/>
      <c r="H13" s="3501"/>
      <c r="I13" s="3501"/>
    </row>
    <row r="14" spans="1:9" ht="14.4" thickTop="1">
      <c r="A14" s="3502" t="s">
        <v>932</v>
      </c>
      <c r="B14" s="3502"/>
      <c r="C14" s="3502"/>
      <c r="D14" s="3502"/>
      <c r="E14" s="3502"/>
      <c r="F14" s="3502"/>
      <c r="G14" s="3502"/>
      <c r="H14" s="3502"/>
      <c r="I14" s="350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16" t="s">
        <v>949</v>
      </c>
      <c r="B1" s="3516"/>
      <c r="C1" s="3516"/>
      <c r="D1" s="3516"/>
    </row>
    <row r="2" spans="1:4" ht="17.399999999999999">
      <c r="A2" s="3517" t="s">
        <v>933</v>
      </c>
      <c r="B2" s="3517"/>
      <c r="C2" s="3517"/>
      <c r="D2" s="3517"/>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517" t="s">
        <v>939</v>
      </c>
      <c r="B6" s="3517"/>
      <c r="C6" s="3517"/>
      <c r="D6" s="351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18" t="s">
        <v>942</v>
      </c>
      <c r="B11" s="3510"/>
      <c r="C11" s="3510"/>
      <c r="D11" s="3510"/>
    </row>
    <row r="12" spans="1:4" ht="15.6">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（1）根据估价对象《房屋所有权证》原件、《国有土地使用权》原件，截至价值时点，估价对象抵押权未见登记。</v>
      </c>
      <c r="B15" s="3510"/>
      <c r="C15" s="3510"/>
      <c r="D15" s="3510"/>
    </row>
    <row r="16" spans="1:4" ht="30" customHeight="1">
      <c r="A16" s="3512" t="s">
        <v>943</v>
      </c>
      <c r="B16" s="3512"/>
      <c r="C16" s="3512"/>
      <c r="D16" s="3512"/>
    </row>
    <row r="17" spans="1:4" ht="144" customHeight="1">
      <c r="A17" s="3512" t="s">
        <v>944</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945</v>
      </c>
      <c r="B22" s="3514"/>
      <c r="C22" s="3514"/>
      <c r="D22" s="351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24" t="s">
        <v>956</v>
      </c>
      <c r="B15" s="3519" t="s">
        <v>109</v>
      </c>
      <c r="C15" s="3520"/>
    </row>
    <row r="16" spans="1:7" ht="14.4">
      <c r="A16" s="3525"/>
      <c r="B16" s="3519" t="s">
        <v>42</v>
      </c>
      <c r="C16" s="3520"/>
    </row>
    <row r="17" spans="1:3" ht="14.4">
      <c r="A17" s="3525"/>
      <c r="B17" s="3522" t="s">
        <v>957</v>
      </c>
      <c r="C17" s="1532" t="s">
        <v>956</v>
      </c>
    </row>
    <row r="18" spans="1:3" ht="14.4">
      <c r="A18" s="3525"/>
      <c r="B18" s="3522"/>
      <c r="C18" s="1532" t="s">
        <v>958</v>
      </c>
    </row>
    <row r="19" spans="1:3" ht="14.4">
      <c r="A19" s="3525"/>
      <c r="B19" s="3522"/>
      <c r="C19" s="1532" t="s">
        <v>959</v>
      </c>
    </row>
    <row r="20" spans="1:3" ht="14.4">
      <c r="A20" s="3526"/>
      <c r="B20" s="3521" t="s">
        <v>960</v>
      </c>
      <c r="C20" s="3520"/>
    </row>
    <row r="21" spans="1:3" ht="14.4">
      <c r="A21" s="1533" t="s">
        <v>961</v>
      </c>
      <c r="B21" s="1534"/>
      <c r="C21" s="1535"/>
    </row>
    <row r="22" spans="1:3" ht="14.4">
      <c r="A22" s="3523" t="s">
        <v>962</v>
      </c>
      <c r="B22" s="3521" t="s">
        <v>963</v>
      </c>
      <c r="C22" s="3520"/>
    </row>
    <row r="23" spans="1:3" ht="14.4">
      <c r="A23" s="3523"/>
      <c r="B23" s="3521" t="s">
        <v>964</v>
      </c>
      <c r="C23" s="3520"/>
    </row>
    <row r="24" spans="1:3" ht="14.4">
      <c r="A24" s="3523"/>
      <c r="B24" s="3521" t="s">
        <v>965</v>
      </c>
      <c r="C24" s="3520"/>
    </row>
    <row r="25" spans="1:3" ht="14.4">
      <c r="A25" s="3523"/>
      <c r="B25" s="3522" t="s">
        <v>966</v>
      </c>
      <c r="C25" s="1532" t="s">
        <v>967</v>
      </c>
    </row>
    <row r="26" spans="1:3" ht="14.4">
      <c r="A26" s="3523"/>
      <c r="B26" s="3522"/>
      <c r="C26" s="1532" t="s">
        <v>968</v>
      </c>
    </row>
    <row r="27" spans="1:3" ht="14.4">
      <c r="A27" s="3523"/>
      <c r="B27" s="3522"/>
      <c r="C27" s="1532" t="s">
        <v>969</v>
      </c>
    </row>
    <row r="28" spans="1:3" ht="14.4">
      <c r="A28" s="3523"/>
      <c r="B28" s="3522"/>
      <c r="C28" s="1532" t="s">
        <v>970</v>
      </c>
    </row>
    <row r="29" spans="1:3" ht="14.4">
      <c r="A29" s="3523"/>
      <c r="B29" s="3522"/>
      <c r="C29" s="1532" t="s">
        <v>971</v>
      </c>
    </row>
    <row r="30" spans="1:3" ht="14.4">
      <c r="A30" s="3523"/>
      <c r="B30" s="3522"/>
      <c r="C30" s="1532" t="s">
        <v>972</v>
      </c>
    </row>
    <row r="31" spans="1:3" ht="14.4">
      <c r="A31" s="3523"/>
      <c r="B31" s="3522"/>
      <c r="C31" s="1532" t="s">
        <v>973</v>
      </c>
    </row>
    <row r="32" spans="1:3" ht="14.4">
      <c r="A32" s="3523"/>
      <c r="B32" s="3522"/>
      <c r="C32" s="1532" t="s">
        <v>974</v>
      </c>
    </row>
    <row r="33" spans="1:3" ht="14.4">
      <c r="A33" s="3523"/>
      <c r="B33" s="352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44971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2433</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2434</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收益法（汇总）</vt:lpstr>
      <vt:lpstr>收益法-北京银行（万元）</vt:lpstr>
      <vt:lpstr>收益法-其他（万元）</vt:lpstr>
      <vt:lpstr>收益法-北京银行</vt:lpstr>
      <vt:lpstr>收益法-其他</vt:lpstr>
      <vt:lpstr>成本法</vt:lpstr>
      <vt:lpstr>基准地价修正</vt:lpstr>
      <vt:lpstr>成本法 (元)</vt:lpstr>
      <vt:lpstr>假设开发法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'收益法（汇总）'!Print_Area</vt:lpstr>
      <vt:lpstr>'收益法-北京银行'!Print_Area</vt:lpstr>
      <vt:lpstr>'收益法-北京银行（万元）'!Print_Area</vt:lpstr>
      <vt:lpstr>'收益法-其他'!Print_Area</vt:lpstr>
      <vt:lpstr>'收益法-其他（万元）'!Print_Area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2023-02-14T06:41:21Z</dcterms:modified>
</cp:coreProperties>
</file>