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
    </mc:Choice>
  </mc:AlternateContent>
  <xr:revisionPtr revIDLastSave="0" documentId="13_ncr:1_{AE070B28-E9E3-4FFA-A126-9DA8213158D5}" xr6:coauthVersionLast="45" xr6:coauthVersionMax="45" xr10:uidLastSave="{00000000-0000-0000-0000-000000000000}"/>
  <bookViews>
    <workbookView xWindow="0" yWindow="0" windowWidth="21600" windowHeight="129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G48" i="34" l="1"/>
  <c r="I34" i="34"/>
  <c r="G34" i="34"/>
  <c r="E34" i="34"/>
  <c r="I37" i="34"/>
  <c r="E37" i="34"/>
  <c r="C37" i="34"/>
  <c r="G37" i="34" s="1"/>
  <c r="I7" i="34"/>
  <c r="G7" i="34"/>
  <c r="E7" i="34"/>
  <c r="P54" i="80"/>
  <c r="P55" i="80"/>
  <c r="I48" i="34" s="1"/>
  <c r="P53" i="80"/>
  <c r="E48" i="34" s="1"/>
  <c r="F19" i="6"/>
  <c r="C34" i="34" s="1"/>
  <c r="D14" i="9" l="1"/>
  <c r="Y6" i="1"/>
  <c r="M19" i="1"/>
  <c r="D33" i="43"/>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C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Y39" i="71" s="1"/>
  <c r="Z39" i="71" s="1"/>
  <c r="N39" i="7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N34" i="71"/>
  <c r="Q33" i="71"/>
  <c r="F34" i="71" s="1"/>
  <c r="F35" i="71" s="1"/>
  <c r="P33" i="71"/>
  <c r="O33" i="71"/>
  <c r="N33" i="71"/>
  <c r="D33" i="71"/>
  <c r="Q32" i="71"/>
  <c r="P32" i="71"/>
  <c r="O32" i="71"/>
  <c r="N32" i="71"/>
  <c r="Q31" i="71"/>
  <c r="P31" i="71"/>
  <c r="AA31" i="71" s="1"/>
  <c r="O31" i="71"/>
  <c r="N31" i="71"/>
  <c r="X31" i="71" s="1"/>
  <c r="Q30" i="71"/>
  <c r="P30" i="71"/>
  <c r="AA30" i="71" s="1"/>
  <c r="O30" i="71"/>
  <c r="Y30" i="71"/>
  <c r="Z30" i="71" s="1"/>
  <c r="N30" i="71"/>
  <c r="Q29" i="71"/>
  <c r="P29" i="71"/>
  <c r="E30" i="71" s="1"/>
  <c r="O29" i="71"/>
  <c r="N29" i="71"/>
  <c r="D29" i="71"/>
  <c r="O28" i="71"/>
  <c r="N28" i="71"/>
  <c r="B30" i="71"/>
  <c r="B31" i="71" s="1"/>
  <c r="X29" i="71"/>
  <c r="B34" i="71"/>
  <c r="B35" i="71" s="1"/>
  <c r="X33" i="71"/>
  <c r="B38" i="71"/>
  <c r="B39" i="71"/>
  <c r="B40" i="71" s="1"/>
  <c r="S40" i="71" s="1"/>
  <c r="E38" i="71"/>
  <c r="E39" i="71" s="1"/>
  <c r="E40" i="71" s="1"/>
  <c r="U40" i="71" s="1"/>
  <c r="N68" i="71"/>
  <c r="E34" i="71"/>
  <c r="AA33" i="71"/>
  <c r="X30" i="71"/>
  <c r="X32" i="71"/>
  <c r="C34" i="71"/>
  <c r="C35" i="71" s="1"/>
  <c r="Y33" i="71"/>
  <c r="Z33" i="71" s="1"/>
  <c r="AB33" i="71"/>
  <c r="AA34" i="71"/>
  <c r="AA35" i="71"/>
  <c r="AA36" i="71"/>
  <c r="Y37" i="71"/>
  <c r="Z37" i="71" s="1"/>
  <c r="AB37" i="71"/>
  <c r="AA38" i="71"/>
  <c r="F51" i="71"/>
  <c r="F52" i="71" s="1"/>
  <c r="V52" i="71" s="1"/>
  <c r="C28" i="71"/>
  <c r="C27" i="71" s="1"/>
  <c r="C26" i="71" s="1"/>
  <c r="D26" i="71" s="1"/>
  <c r="Y26" i="71"/>
  <c r="Z26" i="71" s="1"/>
  <c r="Y28" i="71"/>
  <c r="Z28" i="71" s="1"/>
  <c r="X25" i="71"/>
  <c r="X27" i="71"/>
  <c r="D34" i="71"/>
  <c r="C43" i="71"/>
  <c r="C44" i="71" s="1"/>
  <c r="C47" i="71"/>
  <c r="D47" i="71" s="1"/>
  <c r="C51" i="71"/>
  <c r="C52" i="71" s="1"/>
  <c r="P28" i="71"/>
  <c r="E59" i="71"/>
  <c r="E60" i="71" s="1"/>
  <c r="U60" i="71" s="1"/>
  <c r="E63" i="71"/>
  <c r="E64" i="71" s="1"/>
  <c r="U64" i="71" s="1"/>
  <c r="U68" i="71"/>
  <c r="Q28" i="71"/>
  <c r="D54" i="71"/>
  <c r="D58" i="71"/>
  <c r="D62" i="71"/>
  <c r="T68" i="71"/>
  <c r="D68" i="71"/>
  <c r="Q68" i="71"/>
  <c r="C71" i="71"/>
  <c r="E71" i="71"/>
  <c r="E70" i="71" s="1"/>
  <c r="D72" i="71"/>
  <c r="C75" i="71"/>
  <c r="D76" i="71"/>
  <c r="C79" i="71"/>
  <c r="E79" i="71"/>
  <c r="E78" i="71" s="1"/>
  <c r="D80" i="71"/>
  <c r="C83" i="71"/>
  <c r="C82" i="71" s="1"/>
  <c r="D82" i="71" s="1"/>
  <c r="C87" i="71"/>
  <c r="C86" i="71" s="1"/>
  <c r="D86" i="71" s="1"/>
  <c r="T28" i="71"/>
  <c r="F28" i="71"/>
  <c r="F27" i="71" s="1"/>
  <c r="F26" i="71" s="1"/>
  <c r="AB28" i="71"/>
  <c r="AA25" i="71"/>
  <c r="AA27" i="71"/>
  <c r="D28" i="71"/>
  <c r="U28" i="71" s="1"/>
  <c r="C64" i="71"/>
  <c r="D64" i="71" s="1"/>
  <c r="D63" i="71"/>
  <c r="D83" i="71"/>
  <c r="D75" i="71"/>
  <c r="C74" i="71"/>
  <c r="D74" i="71" s="1"/>
  <c r="D87" i="71"/>
  <c r="D79" i="71"/>
  <c r="C78" i="71"/>
  <c r="D78" i="71" s="1"/>
  <c r="D71" i="71"/>
  <c r="C70" i="71"/>
  <c r="D70" i="71"/>
  <c r="C60" i="71"/>
  <c r="D59" i="71"/>
  <c r="C56" i="71"/>
  <c r="D55" i="71"/>
  <c r="D51" i="71"/>
  <c r="D43" i="71"/>
  <c r="C36" i="71"/>
  <c r="D35" i="71"/>
  <c r="T36" i="71"/>
  <c r="D3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H1" i="69"/>
  <c r="W25" i="40"/>
  <c r="U25" i="40"/>
  <c r="U29" i="39"/>
  <c r="W29" i="39"/>
  <c r="W18" i="36"/>
  <c r="AB21" i="37"/>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AC21" i="34"/>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S42" i="34" s="1"/>
  <c r="J38" i="34"/>
  <c r="W38" i="34" s="1"/>
  <c r="D114" i="34"/>
  <c r="E114" i="34" s="1"/>
  <c r="F38" i="34"/>
  <c r="S38" i="34"/>
  <c r="D112" i="34"/>
  <c r="E112" i="34"/>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B110" i="37"/>
  <c r="B108" i="37"/>
  <c r="H38" i="37" s="1"/>
  <c r="AB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AC27" i="34" s="1"/>
  <c r="D88" i="34"/>
  <c r="E88" i="34"/>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H30" i="21" s="1"/>
  <c r="B94" i="21"/>
  <c r="J29" i="21" s="1"/>
  <c r="B92" i="21"/>
  <c r="F28" i="21" s="1"/>
  <c r="B90" i="21"/>
  <c r="J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44" i="39"/>
  <c r="AC44" i="39"/>
  <c r="J35" i="39"/>
  <c r="AC35" i="39"/>
  <c r="F35" i="39"/>
  <c r="AA35" i="39"/>
  <c r="U9" i="39"/>
  <c r="W40" i="39"/>
  <c r="U30" i="37"/>
  <c r="W31" i="37"/>
  <c r="E103" i="37"/>
  <c r="F103" i="37" s="1"/>
  <c r="G103" i="37" s="1"/>
  <c r="H103" i="37" s="1"/>
  <c r="I103" i="37" s="1"/>
  <c r="J103" i="37" s="1"/>
  <c r="K103" i="37" s="1"/>
  <c r="L103" i="37" s="1"/>
  <c r="M103" i="37" s="1"/>
  <c r="U14" i="37"/>
  <c r="F29" i="36"/>
  <c r="AA29" i="36" s="1"/>
  <c r="F16" i="36"/>
  <c r="AA16" i="36" s="1"/>
  <c r="U31" i="36"/>
  <c r="J33" i="36"/>
  <c r="AC33" i="36" s="1"/>
  <c r="H22" i="35"/>
  <c r="AB22" i="35" s="1"/>
  <c r="W28" i="35"/>
  <c r="W22" i="35"/>
  <c r="S31" i="35"/>
  <c r="F36" i="34"/>
  <c r="S36" i="34" s="1"/>
  <c r="J35" i="34"/>
  <c r="W35" i="34" s="1"/>
  <c r="H39" i="33"/>
  <c r="AB39" i="33" s="1"/>
  <c r="F26" i="33"/>
  <c r="AA26" i="33" s="1"/>
  <c r="U33" i="33"/>
  <c r="S40" i="33"/>
  <c r="W39" i="33"/>
  <c r="S27" i="35"/>
  <c r="F11" i="40"/>
  <c r="AA11" i="40"/>
  <c r="H11" i="40"/>
  <c r="AB11" i="40"/>
  <c r="AC40" i="40"/>
  <c r="AA9" i="40"/>
  <c r="AC9" i="40"/>
  <c r="U9" i="40"/>
  <c r="S34" i="40"/>
  <c r="U38" i="40"/>
  <c r="S40" i="40"/>
  <c r="W31"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B12" i="36"/>
  <c r="F37" i="39"/>
  <c r="AA37" i="39" s="1"/>
  <c r="J34" i="36"/>
  <c r="W34" i="36" s="1"/>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H36" i="34"/>
  <c r="U36" i="34" s="1"/>
  <c r="S35" i="34"/>
  <c r="F27" i="34"/>
  <c r="AA27" i="34" s="1"/>
  <c r="F25" i="34"/>
  <c r="S25" i="34" s="1"/>
  <c r="H23" i="34"/>
  <c r="U23" i="34" s="1"/>
  <c r="J23" i="34"/>
  <c r="F19" i="34"/>
  <c r="H17" i="34"/>
  <c r="U17" i="34" s="1"/>
  <c r="F15" i="34"/>
  <c r="S15" i="34" s="1"/>
  <c r="J15" i="34"/>
  <c r="H15" i="34"/>
  <c r="AB15"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A12" i="36"/>
  <c r="AB30" i="36"/>
  <c r="U33" i="35"/>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42" i="34"/>
  <c r="AC38" i="34"/>
  <c r="AA38" i="34"/>
  <c r="J37" i="34"/>
  <c r="AC37" i="34" s="1"/>
  <c r="J11" i="33"/>
  <c r="W11" i="33" s="1"/>
  <c r="U23" i="40"/>
  <c r="J42" i="21"/>
  <c r="AC42" i="21"/>
  <c r="H42" i="21"/>
  <c r="U42" i="21"/>
  <c r="J44" i="34"/>
  <c r="W44" i="34" s="1"/>
  <c r="F44" i="34"/>
  <c r="AA44" i="34" s="1"/>
  <c r="J10" i="35"/>
  <c r="AC10" i="35" s="1"/>
  <c r="BL587" i="3"/>
  <c r="F14" i="21"/>
  <c r="S14" i="21"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H28" i="37"/>
  <c r="U28" i="37" s="1"/>
  <c r="J38" i="37"/>
  <c r="AC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G105" i="37"/>
  <c r="J10" i="36"/>
  <c r="AC10" i="36" s="1"/>
  <c r="AB26" i="33"/>
  <c r="W31" i="34"/>
  <c r="W13" i="36"/>
  <c r="AB46" i="34"/>
  <c r="AA14" i="34"/>
  <c r="AB45" i="33"/>
  <c r="U31" i="33"/>
  <c r="AC28" i="21"/>
  <c r="BA585"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AB28" i="37"/>
  <c r="W47" i="34"/>
  <c r="AB13" i="34"/>
  <c r="AC31" i="33"/>
  <c r="W44"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4" i="40"/>
  <c r="AC13" i="40"/>
  <c r="W23" i="39"/>
  <c r="AC43" i="39"/>
  <c r="W43" i="39"/>
  <c r="AB44" i="39"/>
  <c r="U44"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AZ195" i="3" s="1"/>
  <c r="BL196" i="3"/>
  <c r="AZ196" i="3" s="1"/>
  <c r="G197" i="3"/>
  <c r="BA199" i="3"/>
  <c r="AZ199" i="3" s="1"/>
  <c r="BL200" i="3"/>
  <c r="G201" i="3"/>
  <c r="BA203" i="3"/>
  <c r="AZ203" i="3" s="1"/>
  <c r="BL204" i="3"/>
  <c r="AZ51" i="3"/>
  <c r="AZ55" i="3"/>
  <c r="AZ67" i="3"/>
  <c r="AZ71" i="3"/>
  <c r="AZ75" i="3"/>
  <c r="AZ79" i="3"/>
  <c r="AZ152" i="3"/>
  <c r="AZ176" i="3"/>
  <c r="AZ200" i="3"/>
  <c r="AZ89" i="3"/>
  <c r="AZ97" i="3"/>
  <c r="AZ105"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BA390" i="3"/>
  <c r="BL390" i="3"/>
  <c r="G391" i="3"/>
  <c r="G394" i="3"/>
  <c r="AZ138" i="3"/>
  <c r="AZ146" i="3"/>
  <c r="AZ158" i="3"/>
  <c r="AZ170" i="3"/>
  <c r="AZ186" i="3"/>
  <c r="AZ194" i="3"/>
  <c r="AZ198" i="3"/>
  <c r="BA16" i="3"/>
  <c r="AZ16" i="3" s="1"/>
  <c r="BL303" i="3"/>
  <c r="G304" i="3"/>
  <c r="BA306" i="3"/>
  <c r="AZ306" i="3"/>
  <c r="BL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49" i="3"/>
  <c r="AZ253" i="3"/>
  <c r="AZ257" i="3"/>
  <c r="AZ261" i="3"/>
  <c r="AZ265" i="3"/>
  <c r="BA379" i="3"/>
  <c r="AZ379" i="3" s="1"/>
  <c r="BL380" i="3"/>
  <c r="G381" i="3"/>
  <c r="BA383" i="3"/>
  <c r="AZ383" i="3" s="1"/>
  <c r="BL384" i="3"/>
  <c r="AZ384" i="3" s="1"/>
  <c r="G385" i="3"/>
  <c r="BA387" i="3"/>
  <c r="AZ387" i="3" s="1"/>
  <c r="BL388" i="3"/>
  <c r="G389" i="3"/>
  <c r="BA391" i="3"/>
  <c r="BL392" i="3"/>
  <c r="AZ392" i="3" s="1"/>
  <c r="G393" i="3"/>
  <c r="AZ263" i="3"/>
  <c r="AZ279" i="3"/>
  <c r="AZ283" i="3"/>
  <c r="AZ291" i="3"/>
  <c r="BO5" i="3"/>
  <c r="BJ5" i="3"/>
  <c r="AZ325" i="3"/>
  <c r="AZ333" i="3"/>
  <c r="AZ341" i="3"/>
  <c r="AZ549" i="3"/>
  <c r="AZ496" i="3"/>
  <c r="G548" i="3"/>
  <c r="G538" i="3"/>
  <c r="G520" i="3"/>
  <c r="G502" i="3"/>
  <c r="BS5" i="3"/>
  <c r="BP5" i="3"/>
  <c r="BN5" i="3"/>
  <c r="BK5" i="3"/>
  <c r="BI5" i="3"/>
  <c r="BG5" i="3"/>
  <c r="BE5" i="3"/>
  <c r="BC5" i="3"/>
  <c r="G17" i="3"/>
  <c r="BA17" i="3"/>
  <c r="BT5" i="3"/>
  <c r="AZ350" i="3"/>
  <c r="AZ364" i="3"/>
  <c r="AZ368" i="3"/>
  <c r="BB5" i="3"/>
  <c r="BR5" i="3"/>
  <c r="AZ388" i="3"/>
  <c r="AZ509" i="3"/>
  <c r="G509" i="3"/>
  <c r="BL493" i="3"/>
  <c r="AZ390" i="3"/>
  <c r="U36" i="40"/>
  <c r="F83" i="43"/>
  <c r="H85" i="43" s="1"/>
  <c r="F50" i="43"/>
  <c r="H54" i="43" s="1"/>
  <c r="F72" i="43"/>
  <c r="H75" i="43" s="1"/>
  <c r="U17" i="39"/>
  <c r="S14" i="35"/>
  <c r="U43" i="21"/>
  <c r="U35" i="21"/>
  <c r="AC35" i="21"/>
  <c r="G8" i="1"/>
  <c r="G10" i="1"/>
  <c r="AC11" i="39"/>
  <c r="AZ563" i="3"/>
  <c r="W37" i="37"/>
  <c r="AC44" i="34"/>
  <c r="S15" i="37"/>
  <c r="U12" i="40"/>
  <c r="J37" i="33"/>
  <c r="F106" i="33"/>
  <c r="G106" i="33" s="1"/>
  <c r="H106" i="33" s="1"/>
  <c r="I106" i="33" s="1"/>
  <c r="J106" i="33" s="1"/>
  <c r="K106" i="33" s="1"/>
  <c r="L106" i="33" s="1"/>
  <c r="M106" i="33" s="1"/>
  <c r="J34" i="33"/>
  <c r="W34" i="33" s="1"/>
  <c r="F33" i="34"/>
  <c r="W12" i="36"/>
  <c r="AC12" i="36"/>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C40" i="11"/>
  <c r="AZ215" i="3"/>
  <c r="AZ227" i="3"/>
  <c r="AZ240" i="3"/>
  <c r="AZ243" i="3"/>
  <c r="AZ248" i="3"/>
  <c r="AZ251" i="3"/>
  <c r="AZ256" i="3"/>
  <c r="AZ259" i="3"/>
  <c r="AZ268" i="3"/>
  <c r="AZ296" i="3"/>
  <c r="AZ114" i="3"/>
  <c r="AZ130" i="3"/>
  <c r="AZ133" i="3"/>
  <c r="AZ21" i="3"/>
  <c r="AZ50" i="3"/>
  <c r="AZ53" i="3"/>
  <c r="AZ66" i="3"/>
  <c r="AZ69" i="3"/>
  <c r="AZ72" i="3"/>
  <c r="AZ77"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26" i="33"/>
  <c r="W26" i="33"/>
  <c r="W27" i="34"/>
  <c r="AB34" i="36"/>
  <c r="U34" i="36"/>
  <c r="AB33" i="36"/>
  <c r="U33" i="36"/>
  <c r="AC12" i="39"/>
  <c r="W12" i="39"/>
  <c r="AZ401" i="3"/>
  <c r="AZ417" i="3"/>
  <c r="AZ433" i="3"/>
  <c r="AZ465" i="3"/>
  <c r="W12" i="33"/>
  <c r="AC12" i="33"/>
  <c r="AA32" i="36"/>
  <c r="S32" i="36"/>
  <c r="AZ408" i="3"/>
  <c r="AZ457" i="3"/>
  <c r="AZ473" i="3"/>
  <c r="AA39" i="34"/>
  <c r="BL14" i="3"/>
  <c r="AZ266" i="3"/>
  <c r="U30" i="33"/>
  <c r="AA47" i="34"/>
  <c r="S19" i="39"/>
  <c r="F12" i="33"/>
  <c r="H12" i="39"/>
  <c r="AB12" i="39" s="1"/>
  <c r="F39" i="40"/>
  <c r="BA14" i="3"/>
  <c r="AZ14" i="3" s="1"/>
  <c r="AZ213" i="3"/>
  <c r="AZ224" i="3"/>
  <c r="AZ238" i="3"/>
  <c r="AZ250" i="3"/>
  <c r="AZ281" i="3"/>
  <c r="AZ157" i="3"/>
  <c r="AZ165" i="3"/>
  <c r="AZ181" i="3"/>
  <c r="AZ19" i="3"/>
  <c r="AZ26" i="3"/>
  <c r="B12" i="1"/>
  <c r="E12" i="1" s="1"/>
  <c r="B10" i="1"/>
  <c r="E10" i="1" s="1"/>
  <c r="K12" i="1"/>
  <c r="M12" i="1" s="1"/>
  <c r="S13" i="1"/>
  <c r="AR13" i="1" s="1"/>
  <c r="R13" i="1"/>
  <c r="C42" i="1"/>
  <c r="AC34" i="33"/>
  <c r="AA34" i="33"/>
  <c r="B41" i="1"/>
  <c r="AB37" i="40"/>
  <c r="S35" i="40"/>
  <c r="U35" i="40"/>
  <c r="AC36" i="40"/>
  <c r="AA32" i="40"/>
  <c r="S17" i="40"/>
  <c r="S23" i="40"/>
  <c r="AC17" i="40"/>
  <c r="AC15" i="40"/>
  <c r="S28"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C26" i="36"/>
  <c r="AA22" i="36"/>
  <c r="AB14" i="36"/>
  <c r="U22" i="36"/>
  <c r="S16"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U32" i="37"/>
  <c r="AC35" i="37"/>
  <c r="S30" i="37"/>
  <c r="S37" i="37"/>
  <c r="AC15" i="37"/>
  <c r="J17" i="37"/>
  <c r="W17" i="37" s="1"/>
  <c r="G73" i="37"/>
  <c r="F17" i="37"/>
  <c r="AA17" i="37"/>
  <c r="AB17" i="37"/>
  <c r="F75" i="37"/>
  <c r="G75" i="37" s="1"/>
  <c r="F19" i="37"/>
  <c r="F79" i="37"/>
  <c r="G79" i="37" s="1"/>
  <c r="F23" i="37"/>
  <c r="S23" i="37"/>
  <c r="U23" i="37"/>
  <c r="U15" i="37"/>
  <c r="AC13" i="37"/>
  <c r="AA13" i="37"/>
  <c r="H10" i="37"/>
  <c r="AB10" i="37" s="1"/>
  <c r="F63" i="37"/>
  <c r="G63" i="37" s="1"/>
  <c r="H63" i="37" s="1"/>
  <c r="F11" i="37"/>
  <c r="S11" i="37" s="1"/>
  <c r="S27" i="34"/>
  <c r="W25" i="34"/>
  <c r="AB8" i="34"/>
  <c r="U44" i="34"/>
  <c r="U43" i="34"/>
  <c r="AC39" i="34"/>
  <c r="W41" i="34"/>
  <c r="AC42" i="34"/>
  <c r="U39" i="34"/>
  <c r="AB41"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J35" i="33"/>
  <c r="AC35" i="33" s="1"/>
  <c r="S37" i="33"/>
  <c r="AA37" i="33"/>
  <c r="S39" i="33"/>
  <c r="F101" i="33"/>
  <c r="G101" i="33" s="1"/>
  <c r="H101" i="33" s="1"/>
  <c r="I101" i="33" s="1"/>
  <c r="J101" i="33" s="1"/>
  <c r="K101" i="33" s="1"/>
  <c r="L101" i="33" s="1"/>
  <c r="M101" i="33" s="1"/>
  <c r="J32" i="33"/>
  <c r="S46" i="33"/>
  <c r="S43" i="33"/>
  <c r="F91" i="33"/>
  <c r="H27" i="33"/>
  <c r="AB27" i="33" s="1"/>
  <c r="F87" i="33"/>
  <c r="H25" i="33"/>
  <c r="AB25" i="33" s="1"/>
  <c r="F25" i="33"/>
  <c r="J23" i="33"/>
  <c r="AC23" i="33" s="1"/>
  <c r="F85" i="33"/>
  <c r="H23" i="33"/>
  <c r="AB23" i="33" s="1"/>
  <c r="F81" i="33"/>
  <c r="F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U38" i="34"/>
  <c r="AC40" i="34"/>
  <c r="W40" i="34"/>
  <c r="AA19" i="34"/>
  <c r="S1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46" i="21"/>
  <c r="U40" i="21"/>
  <c r="AB31" i="21"/>
  <c r="U31" i="21"/>
  <c r="S35" i="21"/>
  <c r="J37" i="21"/>
  <c r="W37" i="21" s="1"/>
  <c r="H15" i="21"/>
  <c r="U15" i="21" s="1"/>
  <c r="J17" i="21"/>
  <c r="AC17" i="21" s="1"/>
  <c r="AC19" i="21"/>
  <c r="W39" i="21"/>
  <c r="S46" i="21"/>
  <c r="H45" i="21"/>
  <c r="F29" i="21"/>
  <c r="S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A32" i="39"/>
  <c r="S32" i="39"/>
  <c r="AB21" i="39"/>
  <c r="U21" i="39"/>
  <c r="AA21" i="39"/>
  <c r="S21" i="39"/>
  <c r="AC17" i="37"/>
  <c r="S17" i="37"/>
  <c r="J19" i="37"/>
  <c r="S19" i="37"/>
  <c r="AA19" i="37"/>
  <c r="AA23" i="37"/>
  <c r="J23" i="37"/>
  <c r="W23" i="37" s="1"/>
  <c r="J10" i="37"/>
  <c r="W10" i="37" s="1"/>
  <c r="H11" i="37"/>
  <c r="AB11" i="37" s="1"/>
  <c r="G70" i="34"/>
  <c r="H11" i="34"/>
  <c r="U11" i="34" s="1"/>
  <c r="J10" i="34"/>
  <c r="AC10" i="34" s="1"/>
  <c r="AB41" i="33"/>
  <c r="U41"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U23" i="33"/>
  <c r="F23" i="33"/>
  <c r="G85" i="33"/>
  <c r="W23" i="33"/>
  <c r="H19" i="33"/>
  <c r="U19" i="33" s="1"/>
  <c r="G81" i="33"/>
  <c r="G79" i="33"/>
  <c r="H17" i="33"/>
  <c r="F17" i="33"/>
  <c r="W17" i="33"/>
  <c r="AC17" i="33"/>
  <c r="S37" i="21"/>
  <c r="AA23" i="21"/>
  <c r="AB15" i="21"/>
  <c r="J23" i="21"/>
  <c r="W23" i="21" s="1"/>
  <c r="F85" i="21"/>
  <c r="G85" i="21"/>
  <c r="H23" i="21"/>
  <c r="S13" i="21"/>
  <c r="D6" i="52"/>
  <c r="AP7" i="1"/>
  <c r="AA32" i="21"/>
  <c r="S32" i="21"/>
  <c r="W9" i="21"/>
  <c r="AC9" i="21"/>
  <c r="AB32" i="21"/>
  <c r="U32" i="21"/>
  <c r="A18" i="62"/>
  <c r="B64" i="72" s="1"/>
  <c r="AC32" i="39"/>
  <c r="W32" i="39"/>
  <c r="W19" i="37"/>
  <c r="AC19" i="37"/>
  <c r="AC23" i="37"/>
  <c r="I63" i="37"/>
  <c r="J63" i="37" s="1"/>
  <c r="K63" i="37" s="1"/>
  <c r="L63" i="37" s="1"/>
  <c r="M63" i="37" s="1"/>
  <c r="J11" i="37"/>
  <c r="AC11" i="37" s="1"/>
  <c r="H70" i="34"/>
  <c r="I70" i="34" s="1"/>
  <c r="J70" i="34" s="1"/>
  <c r="K70" i="34" s="1"/>
  <c r="L70" i="34" s="1"/>
  <c r="M70" i="34" s="1"/>
  <c r="J11" i="34"/>
  <c r="W11" i="34" s="1"/>
  <c r="AB36" i="33"/>
  <c r="W27" i="33"/>
  <c r="W25" i="33"/>
  <c r="AA23" i="33"/>
  <c r="S23" i="33"/>
  <c r="U17" i="33"/>
  <c r="AB17" i="33"/>
  <c r="U23" i="21"/>
  <c r="AB23" i="21"/>
  <c r="H109" i="9"/>
  <c r="H112" i="9"/>
  <c r="D21" i="53" s="1"/>
  <c r="B39" i="72" s="1"/>
  <c r="H111" i="9"/>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7" i="15"/>
  <c r="F4" i="73"/>
  <c r="L47" i="15"/>
  <c r="M8" i="15"/>
  <c r="B12" i="76"/>
  <c r="B9" i="76"/>
  <c r="M8" i="67"/>
  <c r="M26" i="67"/>
  <c r="M22" i="15"/>
  <c r="F6" i="67"/>
  <c r="AO13" i="1"/>
  <c r="B7" i="76"/>
  <c r="F37" i="15"/>
  <c r="F43" i="67"/>
  <c r="F3" i="73"/>
  <c r="F8" i="15"/>
  <c r="E13" i="76"/>
  <c r="E8" i="76"/>
  <c r="F40" i="67"/>
  <c r="M24" i="15"/>
  <c r="F40" i="15"/>
  <c r="E12" i="76"/>
  <c r="M22" i="67"/>
  <c r="M9" i="67"/>
  <c r="B11" i="76"/>
  <c r="B10" i="76"/>
  <c r="M9" i="15"/>
  <c r="F36" i="67"/>
  <c r="F7" i="73"/>
  <c r="F36" i="15"/>
  <c r="F8" i="67"/>
  <c r="F16" i="15"/>
  <c r="F13" i="67"/>
  <c r="M23" i="67"/>
  <c r="M29" i="15"/>
  <c r="E2" i="68"/>
  <c r="D7" i="73"/>
  <c r="B8" i="76"/>
  <c r="F16" i="67"/>
  <c r="D6" i="73"/>
  <c r="J15" i="67"/>
  <c r="F9" i="67"/>
  <c r="F42" i="67"/>
  <c r="F42" i="15"/>
  <c r="F26" i="67"/>
  <c r="M23" i="15"/>
  <c r="C76" i="67"/>
  <c r="L47" i="67"/>
  <c r="F38" i="15"/>
  <c r="D34" i="9"/>
  <c r="F5" i="73"/>
  <c r="E7" i="76"/>
  <c r="M29" i="67"/>
  <c r="M28" i="67"/>
  <c r="F6" i="15"/>
  <c r="F20" i="31"/>
  <c r="L48" i="15"/>
  <c r="F6" i="73"/>
  <c r="M6" i="15"/>
  <c r="M24" i="67"/>
  <c r="E9" i="76"/>
  <c r="C76" i="15"/>
  <c r="M26" i="15"/>
  <c r="D5" i="73"/>
  <c r="D4" i="73"/>
  <c r="L48" i="67"/>
  <c r="E2" i="69"/>
  <c r="F37" i="67"/>
  <c r="M6" i="67"/>
  <c r="F7" i="67"/>
  <c r="D35" i="9"/>
  <c r="F38" i="67"/>
  <c r="M28" i="15"/>
  <c r="F43" i="15"/>
  <c r="F26" i="15"/>
  <c r="F9" i="15"/>
  <c r="B13" i="76"/>
  <c r="E11" i="76"/>
  <c r="D3" i="73"/>
  <c r="E10" i="76"/>
  <c r="J15" i="15"/>
  <c r="F13" i="15"/>
  <c r="S17" i="33" l="1"/>
  <c r="AA17" i="33"/>
  <c r="AA36" i="33"/>
  <c r="S36" i="33"/>
  <c r="AB37" i="39"/>
  <c r="U37" i="39"/>
  <c r="AZ493" i="3"/>
  <c r="AB26" i="37"/>
  <c r="U26" i="37"/>
  <c r="AC28" i="37"/>
  <c r="W28" i="37"/>
  <c r="U27" i="40"/>
  <c r="AB27" i="40"/>
  <c r="U20" i="35"/>
  <c r="AB20" i="35"/>
  <c r="S33" i="34"/>
  <c r="AA33" i="34"/>
  <c r="AA15" i="39"/>
  <c r="S15" i="39"/>
  <c r="H50" i="43"/>
  <c r="AB9" i="21"/>
  <c r="W35" i="33"/>
  <c r="AB32" i="39"/>
  <c r="U32" i="39"/>
  <c r="U45" i="21"/>
  <c r="AB45" i="21"/>
  <c r="S19" i="33"/>
  <c r="AA19" i="33"/>
  <c r="S25" i="37"/>
  <c r="S30" i="40"/>
  <c r="F48" i="9"/>
  <c r="O52" i="9" s="1"/>
  <c r="F30" i="11"/>
  <c r="C48" i="11" s="1"/>
  <c r="F31" i="12"/>
  <c r="M18" i="67"/>
  <c r="F30" i="69"/>
  <c r="F48" i="69" s="1"/>
  <c r="M18" i="15"/>
  <c r="D68" i="9"/>
  <c r="W37" i="33"/>
  <c r="AC37" i="33"/>
  <c r="AZ389" i="3"/>
  <c r="AZ347" i="3"/>
  <c r="AZ378" i="3"/>
  <c r="AB25" i="39"/>
  <c r="U25" i="39"/>
  <c r="S19" i="40"/>
  <c r="AA19" i="40"/>
  <c r="W14" i="21"/>
  <c r="AC14" i="21"/>
  <c r="AA28" i="21"/>
  <c r="S28" i="21"/>
  <c r="U30" i="21"/>
  <c r="AB30" i="21"/>
  <c r="W43" i="33"/>
  <c r="S42" i="33"/>
  <c r="AA45" i="34"/>
  <c r="W38" i="37"/>
  <c r="AA25" i="35"/>
  <c r="AA25" i="36"/>
  <c r="W14" i="36"/>
  <c r="AA26" i="36"/>
  <c r="AC13" i="34"/>
  <c r="AC17" i="34"/>
  <c r="AA12" i="40"/>
  <c r="U13" i="37"/>
  <c r="G29" i="6"/>
  <c r="AC5" i="3"/>
  <c r="AZ391" i="3"/>
  <c r="AZ322" i="3"/>
  <c r="AZ311" i="3"/>
  <c r="AZ372" i="3"/>
  <c r="AZ337" i="3"/>
  <c r="AZ320" i="3"/>
  <c r="AZ305" i="3"/>
  <c r="AZ376" i="3"/>
  <c r="AZ362" i="3"/>
  <c r="AZ360" i="3"/>
  <c r="AZ343" i="3"/>
  <c r="AB33" i="40"/>
  <c r="W40" i="37"/>
  <c r="AC46" i="21"/>
  <c r="W44" i="21"/>
  <c r="U11" i="33"/>
  <c r="AC45" i="33"/>
  <c r="AA13" i="33"/>
  <c r="U33" i="37"/>
  <c r="W14" i="37"/>
  <c r="AZ511" i="3"/>
  <c r="AZ519" i="3"/>
  <c r="AZ569" i="3"/>
  <c r="AZ577" i="3"/>
  <c r="AZ495" i="3"/>
  <c r="AZ513" i="3"/>
  <c r="AZ517" i="3"/>
  <c r="AZ567" i="3"/>
  <c r="AZ571" i="3"/>
  <c r="AZ575" i="3"/>
  <c r="AZ579" i="3"/>
  <c r="AZ568" i="3"/>
  <c r="AZ576" i="3"/>
  <c r="W29" i="33"/>
  <c r="S45" i="33"/>
  <c r="AC30" i="34"/>
  <c r="S11" i="36"/>
  <c r="AA14" i="37"/>
  <c r="U31" i="34"/>
  <c r="F38" i="37"/>
  <c r="J30" i="21"/>
  <c r="H14" i="21"/>
  <c r="AA29" i="35"/>
  <c r="H37" i="34"/>
  <c r="U37" i="34" s="1"/>
  <c r="AC11" i="40"/>
  <c r="J28" i="34"/>
  <c r="W28" i="34" s="1"/>
  <c r="F37" i="34"/>
  <c r="S44" i="39"/>
  <c r="B101" i="43"/>
  <c r="C25" i="39"/>
  <c r="AC33" i="33"/>
  <c r="W33" i="33"/>
  <c r="J23" i="35"/>
  <c r="H12" i="35"/>
  <c r="J12" i="35"/>
  <c r="W27" i="35"/>
  <c r="AC27" i="35"/>
  <c r="AC28" i="36"/>
  <c r="W28" i="36"/>
  <c r="H9" i="36"/>
  <c r="J9" i="36"/>
  <c r="J24" i="36"/>
  <c r="H24" i="36"/>
  <c r="F24" i="36"/>
  <c r="J39" i="37"/>
  <c r="F39" i="37"/>
  <c r="H39" i="37"/>
  <c r="AC8" i="40"/>
  <c r="W8" i="40"/>
  <c r="AB34" i="40"/>
  <c r="U34" i="40"/>
  <c r="AB40" i="40"/>
  <c r="U40" i="40"/>
  <c r="AC32" i="40"/>
  <c r="W32" i="40"/>
  <c r="F38" i="40"/>
  <c r="J38" i="40"/>
  <c r="AB31" i="35"/>
  <c r="U31" i="35"/>
  <c r="F36" i="39"/>
  <c r="H36" i="39"/>
  <c r="J36" i="39"/>
  <c r="BA551" i="3"/>
  <c r="AZ551" i="3" s="1"/>
  <c r="BL550" i="3"/>
  <c r="BA550" i="3"/>
  <c r="AZ581" i="3"/>
  <c r="F12" i="21"/>
  <c r="H12" i="21"/>
  <c r="AB35" i="33"/>
  <c r="U35" i="33"/>
  <c r="J26" i="37"/>
  <c r="F26" i="37"/>
  <c r="H25" i="37"/>
  <c r="J25" i="37"/>
  <c r="U8" i="39"/>
  <c r="AB8" i="39"/>
  <c r="AA40" i="39"/>
  <c r="S40" i="39"/>
  <c r="H45" i="39"/>
  <c r="F45" i="39"/>
  <c r="J45" i="39"/>
  <c r="J39" i="40"/>
  <c r="H39" i="40"/>
  <c r="BL586" i="3"/>
  <c r="AZ586" i="3" s="1"/>
  <c r="BL585" i="3"/>
  <c r="AZ585" i="3" s="1"/>
  <c r="G574" i="3"/>
  <c r="G558" i="3"/>
  <c r="G542" i="3"/>
  <c r="BF5" i="3"/>
  <c r="BA15" i="3"/>
  <c r="BQ5" i="3"/>
  <c r="F28" i="6" s="1"/>
  <c r="AZ418" i="3"/>
  <c r="AZ422" i="3"/>
  <c r="AZ434" i="3"/>
  <c r="AZ450" i="3"/>
  <c r="AZ454" i="3"/>
  <c r="AZ459" i="3"/>
  <c r="AZ477" i="3"/>
  <c r="AZ226" i="3"/>
  <c r="AZ267" i="3"/>
  <c r="AZ284" i="3"/>
  <c r="AZ302" i="3"/>
  <c r="G134" i="3"/>
  <c r="BL134" i="3"/>
  <c r="BA136" i="3"/>
  <c r="AZ136" i="3" s="1"/>
  <c r="BL137" i="3"/>
  <c r="G140" i="3"/>
  <c r="BL142" i="3"/>
  <c r="AZ142"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G248" i="3"/>
  <c r="G249" i="3"/>
  <c r="G250" i="3"/>
  <c r="G251" i="3"/>
  <c r="G252" i="3"/>
  <c r="BL252" i="3"/>
  <c r="BL254" i="3"/>
  <c r="AZ254" i="3" s="1"/>
  <c r="G256" i="3"/>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AZ169" i="3"/>
  <c r="AZ27" i="3"/>
  <c r="D52" i="71"/>
  <c r="T52" i="71"/>
  <c r="D44" i="71"/>
  <c r="T44" i="71"/>
  <c r="BA144" i="3"/>
  <c r="AZ144" i="3" s="1"/>
  <c r="BL145" i="3"/>
  <c r="G148" i="3"/>
  <c r="BA149" i="3"/>
  <c r="AZ149" i="3" s="1"/>
  <c r="BA150" i="3"/>
  <c r="AZ150" i="3" s="1"/>
  <c r="BL151" i="3"/>
  <c r="AZ151" i="3" s="1"/>
  <c r="BA153" i="3"/>
  <c r="AZ153" i="3" s="1"/>
  <c r="BA154" i="3"/>
  <c r="AZ154" i="3" s="1"/>
  <c r="BL155" i="3"/>
  <c r="AZ155" i="3" s="1"/>
  <c r="G159" i="3"/>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BL206" i="3"/>
  <c r="AZ206" i="3" s="1"/>
  <c r="BA207" i="3"/>
  <c r="AZ207" i="3" s="1"/>
  <c r="BA18" i="3"/>
  <c r="AZ18" i="3" s="1"/>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J51" i="67"/>
  <c r="B28" i="71"/>
  <c r="B27" i="71" s="1"/>
  <c r="B26" i="71" s="1"/>
  <c r="X26" i="71"/>
  <c r="X28" i="71"/>
  <c r="C30" i="71"/>
  <c r="Y25" i="71"/>
  <c r="Z25" i="71" s="1"/>
  <c r="Y27" i="71"/>
  <c r="Z27" i="71" s="1"/>
  <c r="F30" i="71"/>
  <c r="F31" i="71" s="1"/>
  <c r="F32" i="71" s="1"/>
  <c r="V32" i="71" s="1"/>
  <c r="AB29" i="71"/>
  <c r="D38" i="71"/>
  <c r="C39" i="71"/>
  <c r="X37" i="71"/>
  <c r="X36" i="71"/>
  <c r="X38" i="71"/>
  <c r="F66" i="71"/>
  <c r="Q67" i="71"/>
  <c r="O68" i="71"/>
  <c r="C67" i="71"/>
  <c r="AZ98" i="3"/>
  <c r="AZ104" i="3"/>
  <c r="AC21" i="37"/>
  <c r="U21" i="34"/>
  <c r="AB25" i="71"/>
  <c r="AB26" i="71"/>
  <c r="E28" i="71"/>
  <c r="AA3" i="71"/>
  <c r="AA26" i="71"/>
  <c r="AA28" i="71"/>
  <c r="Y29" i="71"/>
  <c r="Z29" i="71" s="1"/>
  <c r="AB31" i="71"/>
  <c r="Y32" i="71"/>
  <c r="Z32" i="71" s="1"/>
  <c r="AA32" i="71"/>
  <c r="F36" i="71"/>
  <c r="V36" i="71" s="1"/>
  <c r="Y34" i="71"/>
  <c r="Z34" i="71" s="1"/>
  <c r="X34" i="71"/>
  <c r="X35" i="71"/>
  <c r="P68" i="71"/>
  <c r="E67" i="71"/>
  <c r="E75" i="71"/>
  <c r="E74" i="71" s="1"/>
  <c r="E35" i="71"/>
  <c r="E36" i="71" s="1"/>
  <c r="U36" i="71" s="1"/>
  <c r="B36" i="71"/>
  <c r="S36" i="71" s="1"/>
  <c r="B32" i="71"/>
  <c r="S32" i="71" s="1"/>
  <c r="E31" i="71"/>
  <c r="E32" i="71" s="1"/>
  <c r="U32" i="71" s="1"/>
  <c r="AB30" i="71"/>
  <c r="Y31" i="71"/>
  <c r="Z31" i="71" s="1"/>
  <c r="AB32" i="71"/>
  <c r="AB34" i="71"/>
  <c r="Y35" i="71"/>
  <c r="Z35" i="71" s="1"/>
  <c r="AB36" i="71"/>
  <c r="V24" i="71"/>
  <c r="S44" i="34"/>
  <c r="S43" i="34"/>
  <c r="AA36" i="34"/>
  <c r="AB36" i="34"/>
  <c r="AB33" i="34"/>
  <c r="W33" i="34"/>
  <c r="S28" i="34"/>
  <c r="AC28" i="34"/>
  <c r="AC36" i="34"/>
  <c r="AB35" i="34"/>
  <c r="U34" i="34"/>
  <c r="U27" i="34"/>
  <c r="AB9" i="34"/>
  <c r="U9" i="34"/>
  <c r="AA8" i="34"/>
  <c r="W8" i="34"/>
  <c r="BH5" i="3"/>
  <c r="BD5" i="3"/>
  <c r="BL15" i="3"/>
  <c r="AZ15" i="3" s="1"/>
  <c r="BM5" i="3"/>
  <c r="C24" i="12"/>
  <c r="C21" i="68"/>
  <c r="G6" i="1"/>
  <c r="G16" i="1" s="1"/>
  <c r="F10" i="39" s="1"/>
  <c r="I24" i="43"/>
  <c r="M49" i="9"/>
  <c r="D16" i="53"/>
  <c r="B34" i="72" s="1"/>
  <c r="V20" i="71"/>
  <c r="AC23" i="21"/>
  <c r="AB19" i="33"/>
  <c r="S12" i="21"/>
  <c r="AA12" i="21"/>
  <c r="E15" i="71"/>
  <c r="E14" i="71" s="1"/>
  <c r="E13" i="71" s="1"/>
  <c r="E12" i="71" s="1"/>
  <c r="V16" i="71"/>
  <c r="D126" i="9"/>
  <c r="D19" i="53"/>
  <c r="B38" i="72" s="1"/>
  <c r="AZ557" i="3"/>
  <c r="AB13" i="21"/>
  <c r="U13" i="21"/>
  <c r="W27" i="21"/>
  <c r="AC27" i="21"/>
  <c r="W29" i="21"/>
  <c r="AC29" i="21"/>
  <c r="AC11" i="35"/>
  <c r="B97" i="43"/>
  <c r="B75" i="43"/>
  <c r="H36" i="35"/>
  <c r="J36" i="35"/>
  <c r="D17" i="71"/>
  <c r="C16" i="71"/>
  <c r="W17" i="21"/>
  <c r="AC15" i="21"/>
  <c r="BA5" i="3"/>
  <c r="U12" i="39"/>
  <c r="AA27" i="40"/>
  <c r="G28" i="6"/>
  <c r="F29" i="6"/>
  <c r="E29" i="6" s="1"/>
  <c r="K15" i="1" s="1"/>
  <c r="U43" i="33"/>
  <c r="AA41" i="34"/>
  <c r="U46" i="33"/>
  <c r="AA13" i="35"/>
  <c r="B73" i="43"/>
  <c r="B79" i="43"/>
  <c r="B99" i="43"/>
  <c r="B76" i="43"/>
  <c r="J9" i="34"/>
  <c r="F9" i="34"/>
  <c r="AA9" i="34" s="1"/>
  <c r="J12" i="34"/>
  <c r="F12" i="34"/>
  <c r="J34" i="35"/>
  <c r="H34" i="35"/>
  <c r="F34" i="35"/>
  <c r="J23" i="36"/>
  <c r="H23" i="36"/>
  <c r="F23" i="36"/>
  <c r="AZ399" i="3"/>
  <c r="AZ404" i="3"/>
  <c r="AZ440" i="3"/>
  <c r="AZ449" i="3"/>
  <c r="AZ453" i="3"/>
  <c r="AZ455" i="3"/>
  <c r="AZ460" i="3"/>
  <c r="AZ208" i="3"/>
  <c r="AZ211" i="3"/>
  <c r="AZ219" i="3"/>
  <c r="AZ236" i="3"/>
  <c r="G551" i="3"/>
  <c r="G5" i="3" s="1"/>
  <c r="B3" i="3" s="1"/>
  <c r="BL548" i="3"/>
  <c r="AZ548" i="3" s="1"/>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s="1"/>
  <c r="AB23" i="71"/>
  <c r="AB21" i="71"/>
  <c r="AA21" i="71"/>
  <c r="X21" i="71"/>
  <c r="Y18" i="71"/>
  <c r="Z18" i="71" s="1"/>
  <c r="X17" i="71"/>
  <c r="Y17" i="71"/>
  <c r="Z17" i="71" s="1"/>
  <c r="AA17" i="71"/>
  <c r="AB18" i="71"/>
  <c r="Y14" i="71"/>
  <c r="Z14" i="71" s="1"/>
  <c r="S21" i="21"/>
  <c r="U18" i="36"/>
  <c r="D27" i="71"/>
  <c r="AB27" i="71"/>
  <c r="S28" i="71"/>
  <c r="AA29" i="71"/>
  <c r="X39" i="71"/>
  <c r="Y9" i="71"/>
  <c r="Z9" i="71" s="1"/>
  <c r="Y10" i="71"/>
  <c r="Z10" i="71" s="1"/>
  <c r="AA9" i="71"/>
  <c r="AA10" i="71"/>
  <c r="AB39" i="71"/>
  <c r="X22" i="71"/>
  <c r="AA24" i="71"/>
  <c r="AA23" i="71"/>
  <c r="AA22" i="71"/>
  <c r="X18" i="71"/>
  <c r="AA18" i="71"/>
  <c r="X14" i="71"/>
  <c r="AA12" i="71"/>
  <c r="AB17" i="71"/>
  <c r="X24" i="71"/>
  <c r="Y24" i="71"/>
  <c r="Z24" i="71" s="1"/>
  <c r="AB15" i="71"/>
  <c r="AB11" i="71"/>
  <c r="AB14" i="71"/>
  <c r="X11" i="71"/>
  <c r="Y12" i="71"/>
  <c r="Z12" i="71" s="1"/>
  <c r="Y13" i="71"/>
  <c r="Z13" i="71" s="1"/>
  <c r="B67" i="71"/>
  <c r="Y23" i="71"/>
  <c r="Z23" i="71" s="1"/>
  <c r="Y22" i="71"/>
  <c r="Z22" i="71" s="1"/>
  <c r="X15" i="71"/>
  <c r="AA15" i="71"/>
  <c r="AB12"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U16" i="71" l="1"/>
  <c r="M23" i="43"/>
  <c r="E27" i="71"/>
  <c r="E26" i="71" s="1"/>
  <c r="V28" i="71"/>
  <c r="Q66" i="71"/>
  <c r="Q65" i="71"/>
  <c r="C40" i="71"/>
  <c r="D39" i="71"/>
  <c r="D30" i="71"/>
  <c r="C31" i="71"/>
  <c r="AZ469" i="3"/>
  <c r="W39" i="40"/>
  <c r="AC39" i="40"/>
  <c r="S45" i="39"/>
  <c r="AA45" i="39"/>
  <c r="AC25" i="37"/>
  <c r="W25" i="37"/>
  <c r="AA26" i="37"/>
  <c r="S26" i="37"/>
  <c r="AB12" i="21"/>
  <c r="U12" i="21"/>
  <c r="AZ550" i="3"/>
  <c r="AB36" i="39"/>
  <c r="U36" i="39"/>
  <c r="AC38" i="40"/>
  <c r="W38" i="40"/>
  <c r="AB39" i="37"/>
  <c r="U39" i="37"/>
  <c r="AC39" i="37"/>
  <c r="W39" i="37"/>
  <c r="AB24" i="36"/>
  <c r="U24" i="36"/>
  <c r="AC9" i="36"/>
  <c r="W9" i="36"/>
  <c r="W12" i="35"/>
  <c r="AC12" i="35"/>
  <c r="AC23" i="35"/>
  <c r="W23" i="35"/>
  <c r="AA37" i="34"/>
  <c r="S37" i="34"/>
  <c r="AC30" i="21"/>
  <c r="W30" i="21"/>
  <c r="P67" i="71"/>
  <c r="E66" i="71"/>
  <c r="C66" i="71"/>
  <c r="D67" i="71"/>
  <c r="O67" i="71"/>
  <c r="U39" i="40"/>
  <c r="AB39" i="40"/>
  <c r="W45" i="39"/>
  <c r="AC45" i="39"/>
  <c r="U45" i="39"/>
  <c r="AB45" i="39"/>
  <c r="U25" i="37"/>
  <c r="AB25" i="37"/>
  <c r="AC26" i="37"/>
  <c r="W26" i="37"/>
  <c r="AC36" i="39"/>
  <c r="W36" i="39"/>
  <c r="AA36" i="39"/>
  <c r="S36" i="39"/>
  <c r="AA38" i="40"/>
  <c r="S38" i="40"/>
  <c r="AA39" i="37"/>
  <c r="S39" i="37"/>
  <c r="AA24" i="36"/>
  <c r="S24" i="36"/>
  <c r="AC24" i="36"/>
  <c r="W24" i="36"/>
  <c r="AB9" i="36"/>
  <c r="U9" i="36"/>
  <c r="U12" i="35"/>
  <c r="AB12" i="35"/>
  <c r="U14" i="21"/>
  <c r="AB14" i="21"/>
  <c r="S38" i="37"/>
  <c r="AA38" i="37"/>
  <c r="S9" i="34"/>
  <c r="K16" i="1"/>
  <c r="J26" i="43"/>
  <c r="P6" i="1"/>
  <c r="C13" i="12"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s="1"/>
  <c r="AB23" i="36"/>
  <c r="U23" i="36"/>
  <c r="S34" i="35"/>
  <c r="AA34" i="35"/>
  <c r="AC34" i="35"/>
  <c r="W34" i="35"/>
  <c r="W12" i="34"/>
  <c r="AC12" i="34"/>
  <c r="AC9" i="34"/>
  <c r="W9" i="34"/>
  <c r="C15" i="71"/>
  <c r="T16" i="71"/>
  <c r="AC36" i="35"/>
  <c r="W36" i="35"/>
  <c r="BL5" i="3"/>
  <c r="B15" i="71"/>
  <c r="B14" i="71" s="1"/>
  <c r="B13" i="71" s="1"/>
  <c r="B12" i="71" s="1"/>
  <c r="S16" i="71"/>
  <c r="N67" i="71"/>
  <c r="B66" i="71"/>
  <c r="AA23" i="36"/>
  <c r="S23" i="36"/>
  <c r="W23" i="36"/>
  <c r="AC23" i="36"/>
  <c r="AB34" i="35"/>
  <c r="U34" i="35"/>
  <c r="S12" i="34"/>
  <c r="AA12" i="34"/>
  <c r="AB36" i="35"/>
  <c r="U36"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P65" i="71" l="1"/>
  <c r="P66" i="71"/>
  <c r="C32" i="71"/>
  <c r="D31" i="71"/>
  <c r="O66" i="71"/>
  <c r="O65" i="71"/>
  <c r="D66" i="71"/>
  <c r="D40" i="71"/>
  <c r="T40" i="71"/>
  <c r="E65" i="39"/>
  <c r="N66" i="71"/>
  <c r="N65" i="71"/>
  <c r="D15" i="71"/>
  <c r="C1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D32" i="71" l="1"/>
  <c r="T32" i="71"/>
  <c r="F69" i="67"/>
  <c r="R50" i="34"/>
  <c r="C50"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30" i="12" s="1"/>
  <c r="C28"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67"/>
  <c r="M21" i="15"/>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6"/>
  <c r="D2" i="37"/>
  <c r="L51" i="15"/>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10" i="1"/>
  <c r="AO9" i="1"/>
  <c r="AO7" i="1"/>
  <c r="AO8" i="1"/>
  <c r="AO11" i="1"/>
  <c r="AO6" i="1"/>
  <c r="D102" i="9" l="1"/>
  <c r="G19" i="9"/>
  <c r="G21" i="9" s="1"/>
  <c r="D21" i="9"/>
  <c r="D2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0" i="9" l="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l="1"/>
  <c r="D14" i="53"/>
  <c r="B22" i="72"/>
  <c r="D6" i="53"/>
  <c r="B49" i="72"/>
  <c r="D5" i="52"/>
  <c r="D119" i="9"/>
  <c r="E81" i="9"/>
  <c r="E80" i="9"/>
  <c r="C80" i="9"/>
  <c r="B48" i="72"/>
  <c r="E4" i="52"/>
  <c r="C6" i="74"/>
  <c r="B21" i="72"/>
  <c r="D7" i="53"/>
  <c r="B51" i="72"/>
  <c r="F4" i="52"/>
  <c r="M48" i="9"/>
  <c r="C96" i="9"/>
  <c r="E96" i="9"/>
  <c r="E97" i="9"/>
  <c r="N61" i="9"/>
  <c r="N59" i="9"/>
  <c r="N60" i="9"/>
  <c r="C104" i="9"/>
  <c r="H4" i="52"/>
  <c r="D13" i="53"/>
  <c r="B30" i="72"/>
  <c r="I4" i="52"/>
  <c r="C105" i="9"/>
  <c r="C72" i="9"/>
  <c r="C79" i="9"/>
  <c r="C81" i="9"/>
  <c r="D52" i="9"/>
  <c r="D53" i="9"/>
  <c r="C93" i="9"/>
  <c r="C86" i="9"/>
  <c r="D5" i="53"/>
  <c r="B20" i="72"/>
  <c r="H102" i="9"/>
  <c r="C5" i="74"/>
  <c r="D8" i="52"/>
  <c r="N58" i="9"/>
  <c r="D55" i="9"/>
  <c r="M53" i="9"/>
  <c r="N57" i="9"/>
  <c r="P57" i="9"/>
  <c r="D59" i="9"/>
  <c r="M55" i="9"/>
  <c r="H119" i="9"/>
  <c r="H5" i="52"/>
  <c r="C78" i="9"/>
  <c r="C73" i="9"/>
  <c r="E118" i="9"/>
  <c r="D118" i="9"/>
  <c r="D4" i="52"/>
  <c r="B47" i="72"/>
  <c r="C85" i="9"/>
  <c r="C95" i="9"/>
  <c r="C97" i="9"/>
  <c r="D58" i="9"/>
  <c r="D56" i="9"/>
  <c r="M54" i="9"/>
  <c r="F119" i="9"/>
  <c r="F5" i="52"/>
  <c r="B53" i="72"/>
  <c r="F118" i="9"/>
  <c r="G118" i="9"/>
  <c r="G4" i="52"/>
  <c r="B52" i="72"/>
  <c r="H108" i="9"/>
  <c r="D15" i="53"/>
  <c r="B31" i="72"/>
  <c r="D45" i="9"/>
  <c r="C64" i="9"/>
  <c r="C63" i="9"/>
  <c r="C67" i="9"/>
  <c r="C68" i="9"/>
  <c r="D54"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<sst xmlns="http://schemas.openxmlformats.org/spreadsheetml/2006/main" count="7878" uniqueCount="3450">
  <si>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</si>
  <si>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</si>
  <si>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</si>
  <si>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</si>
  <si>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</si>
  <si>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</si>
  <si>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</si>
  <si>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</si>
  <si>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</si>
  <si>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</si>
  <si>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</si>
  <si>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</si>
  <si>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</si>
  <si>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</si>
  <si>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</si>
  <si>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</si>
  <si>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</si>
  <si>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</si>
  <si>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</si>
  <si>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</si>
  <si>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</si>
  <si>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</si>
  <si>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</si>
  <si>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</si>
  <si>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</si>
  <si>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</si>
  <si>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</si>
  <si>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</si>
  <si>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</si>
  <si>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</si>
  <si>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</si>
  <si>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</si>
  <si>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</si>
  <si>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</si>
  <si>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</si>
  <si>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</si>
  <si>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</si>
  <si>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</si>
  <si>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</si>
  <si>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</si>
  <si>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</si>
  <si>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</si>
  <si>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</si>
  <si>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</si>
  <si>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</si>
  <si>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</si>
  <si>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</si>
  <si>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</si>
  <si>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</si>
  <si>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</si>
  <si>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</si>
  <si>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</si>
  <si>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</si>
  <si>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</si>
  <si>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</si>
  <si>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</si>
  <si>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</si>
  <si>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</si>
  <si>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</si>
  <si>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</si>
  <si>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</si>
  <si>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</si>
  <si>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</si>
  <si>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</si>
  <si>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</si>
  <si>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</si>
  <si>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</si>
  <si>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</si>
  <si>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</si>
  <si>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</si>
  <si>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</si>
  <si>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</si>
  <si>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</si>
  <si>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</si>
  <si>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</si>
  <si>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</si>
  <si>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</si>
  <si>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</si>
  <si>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</si>
  <si>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</si>
  <si>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</si>
  <si>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</si>
  <si>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</si>
  <si>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</si>
  <si>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</si>
  <si>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</si>
  <si>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</si>
  <si>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</si>
  <si>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</si>
  <si>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</si>
  <si>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</si>
  <si>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</si>
  <si>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</si>
  <si>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</si>
  <si>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</si>
  <si>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</si>
  <si>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</si>
  <si>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</si>
  <si>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</si>
  <si>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</si>
  <si>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</si>
  <si>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</si>
  <si>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</si>
  <si>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</si>
  <si>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</si>
  <si>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</si>
  <si>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</si>
  <si>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</si>
  <si>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</si>
  <si>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</si>
  <si>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</si>
  <si>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</si>
  <si>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</si>
  <si>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</si>
  <si>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</si>
  <si>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</si>
  <si>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</si>
  <si>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</si>
  <si>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</si>
  <si>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</si>
  <si>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</si>
  <si>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</si>
  <si>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</si>
  <si>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</si>
  <si>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</si>
  <si>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</si>
  <si>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</si>
  <si>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</si>
  <si>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</si>
  <si>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</si>
  <si>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</si>
  <si>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</si>
  <si>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</si>
  <si>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</si>
  <si>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</si>
  <si>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</si>
  <si>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</si>
  <si>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</si>
  <si>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</si>
  <si>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</si>
  <si>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</si>
  <si>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</si>
  <si>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</si>
  <si>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</si>
  <si>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</si>
  <si>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</si>
  <si>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</si>
  <si>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</si>
  <si>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</si>
  <si>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</si>
  <si>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</si>
  <si>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</si>
  <si>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</si>
  <si>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</si>
  <si>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</si>
  <si>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</si>
  <si>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</si>
  <si>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</si>
  <si>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</si>
  <si>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</si>
  <si>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</si>
  <si>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</si>
  <si>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</si>
  <si>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</si>
  <si>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</si>
  <si>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</si>
  <si>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</si>
  <si>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</si>
  <si>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</si>
  <si>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</si>
  <si>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</si>
  <si>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</si>
  <si>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</si>
  <si>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</si>
  <si>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</si>
  <si>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</si>
  <si>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</si>
  <si>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</si>
  <si>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</si>
  <si>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</si>
  <si>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</si>
  <si>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</si>
  <si>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</si>
  <si>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</si>
  <si>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</si>
  <si>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</si>
  <si>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</si>
  <si>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</si>
  <si>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</si>
  <si>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</si>
  <si>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</si>
  <si>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</si>
  <si>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</si>
  <si>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</si>
  <si>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</si>
  <si>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</si>
  <si>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</si>
  <si>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</si>
  <si>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</si>
  <si>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</si>
  <si>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</si>
  <si>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</si>
  <si>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</si>
  <si>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</si>
  <si>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</si>
  <si>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</si>
  <si>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</si>
  <si>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</si>
  <si>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</si>
  <si>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</si>
  <si>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</si>
  <si>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</si>
  <si>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</si>
  <si>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</si>
  <si>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</si>
  <si>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</si>
  <si>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</si>
  <si>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</si>
  <si>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</si>
  <si>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</si>
  <si>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</si>
  <si>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</si>
  <si>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</si>
  <si>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</si>
  <si>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</si>
  <si>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</si>
  <si>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</si>
  <si>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</si>
  <si>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</si>
  <si>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</si>
  <si>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</si>
  <si>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</si>
  <si>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</si>
  <si>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</si>
  <si>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</si>
  <si>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</si>
  <si>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</si>
  <si>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</si>
  <si>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</si>
  <si>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</si>
  <si>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</si>
  <si>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</si>
  <si>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</si>
  <si>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</si>
  <si>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</si>
  <si>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</si>
  <si>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</si>
  <si>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</si>
  <si>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</si>
  <si>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</si>
  <si>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</si>
  <si>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</si>
  <si>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</si>
  <si>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</si>
  <si>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</si>
  <si>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</si>
  <si>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</si>
  <si>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</si>
  <si>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</si>
  <si>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</si>
  <si>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</si>
  <si>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</si>
  <si>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</si>
  <si>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</si>
  <si>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</si>
  <si>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</si>
  <si>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</si>
  <si>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</si>
  <si>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</si>
  <si>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</si>
  <si>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</si>
  <si>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</si>
  <si>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</si>
  <si>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</si>
  <si>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</si>
  <si>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</si>
  <si>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</si>
  <si>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</si>
  <si>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</si>
  <si>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</si>
  <si>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</si>
  <si>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</si>
  <si>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</si>
  <si>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</si>
  <si>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</si>
  <si>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</si>
  <si>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</si>
  <si>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</si>
  <si>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</si>
  <si>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</si>
  <si>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</si>
  <si>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</si>
  <si>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</si>
  <si>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</si>
  <si>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</si>
  <si>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</si>
  <si>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</si>
  <si>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</si>
  <si>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</si>
  <si>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</si>
  <si>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</si>
  <si>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</si>
  <si>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</si>
  <si>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</si>
  <si>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</si>
  <si>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</si>
  <si>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</si>
  <si>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</si>
  <si>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</si>
  <si>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</si>
  <si>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</si>
  <si>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</si>
  <si>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</si>
  <si>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</si>
  <si>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</si>
  <si>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</si>
  <si>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</si>
  <si>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</si>
  <si>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</si>
  <si>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</si>
  <si>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</si>
  <si>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</si>
  <si>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</si>
  <si>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</si>
  <si>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</si>
  <si>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</si>
  <si>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</si>
  <si>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</si>
  <si>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</si>
  <si>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</si>
  <si>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</si>
  <si>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</si>
  <si>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</si>
  <si>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</si>
  <si>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</si>
  <si>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</si>
  <si>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</si>
  <si>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</si>
  <si>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</si>
  <si>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</si>
  <si>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</si>
  <si>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</si>
  <si>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</si>
  <si>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</si>
  <si>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</si>
  <si>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</si>
  <si>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</si>
  <si>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</si>
  <si>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</si>
  <si>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</si>
  <si>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</si>
  <si>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</si>
  <si>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</si>
  <si>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</si>
  <si>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</si>
  <si>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</si>
  <si>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</si>
  <si>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</si>
  <si>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</si>
  <si>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</si>
  <si>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</si>
  <si>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</si>
  <si>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</si>
  <si>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</si>
  <si>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</si>
  <si>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</si>
  <si>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</si>
  <si>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</si>
  <si>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</si>
  <si>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</si>
  <si>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</si>
  <si>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</si>
  <si>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</si>
  <si>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</si>
  <si>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</si>
  <si>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</si>
  <si>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</si>
  <si>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</si>
  <si>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</si>
  <si>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</si>
  <si>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</si>
  <si>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</si>
  <si>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</si>
  <si>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</si>
  <si>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</si>
  <si>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</si>
  <si>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</si>
  <si>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</si>
  <si>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</si>
  <si>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</si>
  <si>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</si>
  <si>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</si>
  <si>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</si>
  <si>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</si>
  <si>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</si>
  <si>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</si>
  <si>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</si>
  <si>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</si>
  <si>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</si>
  <si>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</si>
  <si>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</si>
  <si>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</si>
  <si>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</si>
  <si>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</si>
  <si>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</si>
  <si>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</si>
  <si>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</si>
  <si>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</si>
  <si>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</si>
  <si>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</si>
  <si>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</si>
  <si>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</si>
  <si>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</si>
  <si>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</si>
  <si>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</si>
  <si>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</si>
  <si>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</si>
  <si>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</si>
  <si>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</si>
  <si>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</si>
  <si>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</si>
  <si>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</si>
  <si>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</si>
  <si>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</si>
  <si>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</si>
  <si>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</si>
  <si>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</si>
  <si>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</si>
  <si>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</si>
  <si>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</si>
  <si>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</si>
  <si>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</si>
  <si>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</si>
  <si>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</si>
  <si>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</si>
  <si>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</si>
  <si>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</si>
  <si>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</si>
  <si>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</si>
  <si>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</si>
  <si>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</si>
  <si>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</si>
  <si>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</si>
  <si>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</si>
  <si>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</si>
  <si>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</si>
  <si>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</si>
  <si>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</si>
  <si>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</si>
  <si>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</si>
  <si>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</si>
  <si>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</si>
  <si>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</si>
  <si>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</si>
  <si>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</si>
  <si>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</si>
  <si>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</si>
  <si>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</si>
  <si>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</si>
  <si>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</si>
  <si>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</si>
  <si>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</si>
  <si>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</si>
  <si>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</si>
  <si>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</si>
  <si>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</si>
  <si>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</si>
  <si>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</si>
  <si>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</si>
  <si>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</si>
  <si>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</si>
  <si>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</si>
  <si>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</si>
  <si>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</si>
  <si>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</si>
  <si>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</si>
  <si>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</si>
  <si>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</si>
  <si>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</si>
  <si>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</si>
  <si>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</si>
  <si>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</si>
  <si>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</si>
  <si>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</si>
  <si>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</si>
  <si>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</si>
  <si>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</si>
  <si>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</si>
  <si>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</si>
  <si>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</si>
  <si>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</si>
  <si>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</si>
  <si>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</si>
  <si>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</si>
  <si>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</si>
  <si>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</si>
  <si>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</si>
  <si>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</si>
  <si>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</si>
  <si>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</si>
  <si>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</si>
  <si>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</si>
  <si>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</si>
  <si>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</si>
  <si>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</si>
  <si>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</si>
  <si>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</si>
  <si>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</si>
  <si>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</si>
  <si>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</si>
  <si>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</si>
  <si>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</si>
  <si>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</si>
  <si>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</si>
  <si>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</si>
  <si>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</si>
  <si>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</si>
  <si>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</si>
  <si>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</si>
  <si>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</si>
  <si>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</si>
  <si>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</si>
  <si>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</si>
  <si>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</si>
  <si>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</si>
  <si>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</si>
  <si>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</si>
  <si>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</si>
  <si>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</si>
  <si>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</si>
  <si>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</si>
  <si>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</si>
  <si>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</si>
  <si>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</si>
  <si>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</si>
  <si>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</si>
  <si>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</si>
  <si>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</si>
  <si>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</si>
  <si>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</si>
  <si>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</si>
  <si>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</si>
  <si>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</si>
  <si>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</si>
  <si>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</si>
  <si>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</si>
  <si>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</si>
  <si>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</si>
  <si>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</si>
  <si>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</si>
  <si>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</si>
  <si>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</si>
  <si>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</si>
  <si>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</si>
  <si>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</si>
  <si>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</si>
  <si>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</si>
  <si>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</si>
  <si>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</si>
  <si>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</si>
  <si>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</si>
  <si>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</si>
  <si>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</si>
  <si>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</si>
  <si>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</si>
  <si>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</si>
  <si>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</si>
  <si>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</si>
  <si>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</si>
  <si>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</si>
  <si>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</si>
  <si>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</si>
  <si>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</si>
  <si>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</si>
  <si>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</si>
  <si>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</si>
  <si>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</si>
  <si>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</si>
  <si>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</si>
  <si>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</si>
  <si>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</si>
  <si>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</si>
  <si>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</si>
  <si>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</si>
  <si>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</si>
  <si>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</si>
  <si>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</si>
  <si>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</si>
  <si>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</si>
  <si>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</si>
  <si>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</si>
  <si>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</si>
  <si>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</si>
  <si>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</si>
  <si>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</si>
  <si>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</si>
  <si>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</si>
  <si>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</si>
  <si>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</si>
  <si>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</si>
  <si>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</si>
  <si>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</si>
  <si>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</si>
  <si>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</si>
  <si>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</si>
  <si>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</si>
  <si>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</si>
  <si>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</si>
  <si>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</si>
  <si>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</si>
  <si>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</si>
  <si>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</si>
  <si>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</si>
  <si>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</si>
  <si>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</si>
  <si>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</si>
  <si>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</si>
  <si>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</si>
  <si>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</si>
  <si>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</si>
  <si>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</si>
  <si>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</si>
  <si>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</si>
  <si>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</si>
  <si>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</si>
  <si>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</si>
  <si>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</si>
  <si>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</si>
  <si>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</si>
  <si>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</si>
  <si>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</si>
  <si>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</si>
  <si>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</si>
  <si>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</si>
  <si>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</si>
  <si>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</si>
  <si>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</si>
  <si>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</si>
  <si>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</si>
  <si>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</si>
  <si>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</si>
  <si>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</si>
  <si>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</si>
  <si>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</si>
  <si>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</si>
  <si>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</si>
  <si>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</si>
  <si>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</si>
  <si>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</si>
  <si>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</si>
  <si>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</si>
  <si>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</si>
  <si>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</si>
  <si>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</si>
  <si>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</si>
  <si>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</si>
  <si>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</si>
  <si>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</si>
  <si>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</si>
  <si>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</si>
  <si>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</si>
  <si>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</si>
  <si>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</si>
  <si>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</si>
  <si>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</si>
  <si>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</si>
  <si>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</si>
  <si>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</si>
  <si>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</si>
  <si>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</si>
  <si>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</si>
  <si>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</si>
  <si>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</si>
  <si>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</si>
  <si>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</si>
  <si>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</si>
  <si>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</si>
  <si>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</si>
  <si>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</si>
  <si>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</si>
  <si>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</si>
  <si>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</si>
  <si>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</si>
  <si>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</si>
  <si>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</si>
  <si>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</si>
  <si>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</si>
  <si>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</si>
  <si>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</si>
  <si>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</si>
  <si>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</si>
  <si>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</si>
  <si>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</si>
  <si>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</si>
  <si>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</si>
  <si>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</si>
  <si>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</si>
  <si>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</si>
  <si>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</si>
  <si>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</si>
  <si>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</si>
  <si>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</si>
  <si>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</si>
  <si>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</si>
  <si>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</si>
  <si>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</si>
  <si>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</si>
  <si>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</si>
  <si>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</si>
  <si>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</si>
  <si>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</si>
  <si>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</si>
  <si>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</si>
  <si>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</si>
  <si>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</si>
  <si>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</si>
  <si>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</si>
  <si>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</si>
  <si>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</si>
  <si>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</si>
  <si>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</si>
  <si>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</si>
  <si>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</si>
  <si>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</si>
  <si>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</si>
  <si>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</si>
  <si>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</si>
  <si>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</si>
  <si>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</si>
  <si>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</si>
  <si>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</si>
  <si>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</si>
  <si>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</si>
  <si>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</si>
  <si>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</si>
  <si>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</si>
  <si>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</si>
  <si>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</si>
  <si>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</si>
  <si>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</si>
  <si>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</si>
  <si>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</si>
  <si>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</si>
  <si>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</si>
  <si>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</si>
  <si>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</si>
  <si>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</si>
  <si>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</si>
  <si>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</si>
  <si>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</si>
  <si>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</si>
  <si>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</si>
  <si>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</si>
  <si>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</si>
  <si>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</si>
  <si>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</si>
  <si>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</si>
  <si>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</si>
  <si>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</si>
  <si>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</si>
  <si>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</si>
  <si>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</si>
  <si>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</si>
  <si>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</si>
  <si>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</si>
  <si>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</si>
  <si>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</si>
  <si>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</si>
  <si>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</si>
  <si>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</si>
  <si>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</si>
  <si>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</si>
  <si>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</si>
  <si>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</si>
  <si>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</si>
  <si>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</si>
  <si>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</si>
  <si>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</si>
  <si>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</si>
  <si>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</si>
  <si>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</si>
  <si>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</si>
  <si>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</si>
  <si>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</si>
  <si>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</si>
  <si>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</si>
  <si>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</si>
  <si>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</si>
  <si>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</si>
  <si>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</si>
  <si>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</si>
  <si>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</si>
  <si>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</si>
  <si>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</si>
  <si>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</si>
  <si>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</si>
  <si>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</si>
  <si>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</si>
  <si>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</si>
  <si>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</si>
  <si>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</si>
  <si>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</si>
  <si>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</si>
  <si>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</si>
  <si>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</si>
  <si>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</si>
  <si>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</si>
  <si>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</si>
  <si>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</si>
  <si>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</si>
  <si>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</si>
  <si>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</si>
  <si>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</si>
  <si>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</si>
  <si>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</si>
  <si>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</si>
  <si>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</si>
  <si>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</si>
  <si>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</si>
  <si>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</si>
  <si>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</si>
  <si>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</si>
  <si>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</si>
  <si>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</si>
  <si>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</si>
  <si>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</si>
  <si>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</si>
  <si>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</si>
  <si>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</si>
  <si>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</si>
  <si>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</si>
  <si>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</si>
  <si>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</si>
  <si>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</si>
  <si>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</si>
  <si>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</si>
  <si>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</si>
  <si>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</si>
  <si>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</si>
  <si>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</si>
  <si>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</si>
  <si>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</si>
  <si>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</si>
  <si>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</si>
  <si>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</si>
  <si>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</si>
  <si>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</si>
  <si>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</si>
  <si>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</si>
  <si>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</si>
  <si>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</si>
  <si>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</si>
  <si>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</si>
  <si>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</si>
  <si>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</si>
  <si>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</si>
  <si>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</si>
  <si>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</si>
  <si>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</si>
  <si>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</si>
  <si>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</si>
  <si>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</si>
  <si>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</si>
  <si>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</si>
  <si>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</si>
  <si>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</si>
  <si>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</si>
  <si>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</si>
  <si>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</si>
  <si>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</si>
  <si>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</si>
  <si>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</si>
  <si>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</si>
  <si>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</si>
  <si>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</si>
  <si>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</si>
  <si>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</si>
  <si>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</si>
  <si>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</si>
  <si>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</si>
  <si>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</si>
  <si>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</si>
  <si>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</si>
  <si>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</si>
  <si>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</si>
  <si>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</si>
  <si>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</si>
  <si>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</si>
  <si>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</si>
  <si>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</si>
  <si>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</si>
  <si>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</si>
  <si>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</si>
  <si>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</si>
  <si>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</si>
  <si>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</si>
  <si>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</si>
  <si>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</si>
  <si>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</si>
  <si>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</si>
  <si>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</si>
  <si>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</si>
  <si>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</si>
  <si>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</si>
  <si>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</si>
  <si>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</si>
  <si>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</si>
  <si>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</si>
  <si>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</si>
  <si>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</si>
  <si>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</si>
  <si>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</si>
  <si>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</si>
  <si>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</si>
  <si>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</si>
  <si>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</si>
  <si>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</si>
  <si>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</si>
  <si>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</si>
  <si>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</si>
  <si>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</si>
  <si>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</si>
  <si>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</si>
  <si>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</si>
  <si>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</si>
  <si>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</si>
  <si>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</si>
  <si>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</si>
  <si>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</si>
  <si>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</si>
  <si>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</si>
  <si>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</si>
  <si>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</si>
  <si>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</si>
  <si>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</si>
  <si>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</si>
  <si>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</si>
  <si>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</si>
  <si>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</si>
  <si>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</si>
  <si>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</si>
  <si>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</si>
  <si>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</si>
  <si>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</si>
  <si>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</si>
  <si>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</si>
  <si>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</si>
  <si>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</si>
  <si>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</si>
  <si>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</si>
  <si>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</si>
  <si>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</si>
  <si>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</si>
  <si>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</si>
  <si>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</si>
  <si>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</si>
  <si>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</si>
  <si>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</si>
  <si>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</si>
  <si>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</si>
  <si>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</si>
  <si>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</si>
  <si>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</si>
  <si>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</si>
  <si>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</si>
  <si>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</si>
  <si>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</si>
  <si>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</si>
  <si>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</si>
  <si>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</si>
  <si>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</si>
  <si>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</si>
  <si>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</si>
  <si>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</si>
  <si>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</si>
  <si>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</si>
  <si>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</si>
  <si>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</si>
  <si>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</si>
  <si>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</si>
  <si>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</si>
  <si>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</si>
  <si>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</si>
  <si>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</si>
  <si>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</si>
  <si>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</si>
  <si>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</si>
  <si>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</si>
  <si>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</si>
  <si>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</si>
  <si>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</si>
  <si>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</si>
  <si>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</si>
  <si>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</si>
  <si>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</si>
  <si>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</si>
  <si>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</si>
  <si>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</si>
  <si>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</si>
  <si>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</si>
  <si>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</si>
  <si>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</si>
  <si>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</si>
  <si>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</si>
  <si>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</si>
  <si>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</si>
  <si>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</si>
  <si>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</si>
  <si>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</si>
  <si>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</si>
  <si>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</si>
  <si>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</si>
  <si>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</si>
  <si>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</si>
  <si>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</si>
  <si>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</si>
  <si>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</si>
  <si>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</si>
  <si>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</si>
  <si>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</si>
  <si>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</si>
  <si>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</si>
  <si>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</si>
  <si>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</si>
  <si>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</si>
  <si>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</si>
  <si>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</si>
  <si>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</si>
  <si>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</si>
  <si>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</si>
  <si>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</si>
  <si>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</si>
  <si>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</si>
  <si>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</si>
  <si>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</si>
  <si>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</si>
  <si>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</si>
  <si>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</si>
  <si>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</si>
  <si>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</si>
  <si>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</si>
  <si>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</si>
  <si>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</si>
  <si>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</si>
  <si>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</si>
  <si>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</si>
  <si>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</si>
  <si>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</si>
  <si>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</si>
  <si>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</si>
  <si>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</si>
  <si>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</si>
  <si>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</si>
  <si>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</si>
  <si>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</si>
  <si>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</si>
  <si>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</si>
  <si>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</si>
  <si>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</si>
  <si>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</si>
  <si>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</si>
  <si>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</si>
  <si>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</si>
  <si>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</si>
  <si>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</si>
  <si>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</si>
  <si>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</si>
  <si>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</si>
  <si>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</si>
  <si>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</si>
  <si>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</si>
  <si>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</si>
  <si>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</si>
  <si>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</si>
  <si>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</si>
  <si>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</si>
  <si>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</si>
  <si>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</si>
  <si>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</si>
  <si>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</si>
  <si>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</si>
  <si>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</si>
  <si>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</si>
  <si>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</si>
  <si>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</si>
  <si>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</si>
  <si>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</si>
  <si>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</si>
  <si>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</si>
  <si>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</si>
  <si>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</si>
  <si>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</si>
  <si>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</si>
  <si>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</si>
  <si>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</si>
  <si>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</si>
  <si>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</si>
  <si>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</si>
  <si>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</si>
  <si>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</si>
  <si>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</si>
  <si>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</si>
  <si>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</si>
  <si>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</si>
  <si>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</si>
  <si>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</si>
  <si>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</si>
  <si>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</si>
  <si>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</si>
  <si>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</si>
  <si>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</si>
  <si>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</si>
  <si>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</si>
  <si>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</si>
  <si>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</si>
  <si>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</si>
  <si>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</si>
  <si>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</si>
  <si>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</si>
  <si>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</si>
  <si>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</si>
  <si>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</si>
  <si>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</si>
  <si>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</si>
  <si>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</si>
  <si>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</si>
  <si>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</si>
  <si>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</si>
  <si>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</si>
  <si>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</si>
  <si>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</si>
  <si>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</si>
  <si>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</si>
  <si>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</si>
  <si>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</si>
  <si>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</si>
  <si>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</si>
  <si>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</si>
  <si>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</si>
  <si>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</si>
  <si>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</si>
  <si>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</si>
  <si>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</si>
  <si>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</si>
  <si>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</si>
  <si>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</si>
  <si>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</si>
  <si>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</si>
  <si>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</si>
  <si>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</si>
  <si>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</si>
  <si>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</si>
  <si>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</si>
  <si>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</si>
  <si>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</si>
  <si>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</si>
  <si>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</si>
  <si>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</si>
  <si>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</si>
  <si>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</si>
  <si>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</si>
  <si>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</si>
  <si>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</si>
  <si>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</si>
  <si>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</si>
  <si>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</si>
  <si>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</si>
  <si>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</si>
  <si>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</si>
  <si>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</si>
  <si>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</si>
  <si>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</si>
  <si>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</si>
  <si>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</si>
  <si>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</si>
  <si>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</si>
  <si>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</si>
  <si>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</si>
  <si>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</si>
  <si>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</si>
  <si>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</si>
  <si>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</si>
  <si>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</si>
  <si>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</si>
  <si>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</si>
  <si>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</si>
  <si>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</si>
  <si>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</si>
  <si>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</si>
  <si>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</si>
  <si>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</si>
  <si>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</si>
  <si>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</si>
  <si>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</si>
  <si>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</si>
  <si>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</si>
  <si>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</si>
  <si>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</si>
  <si>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</si>
  <si>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</si>
  <si>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</si>
  <si>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</si>
  <si>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</si>
  <si>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</si>
  <si>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</si>
  <si>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</si>
  <si>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</si>
  <si>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</si>
  <si>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</si>
  <si>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</si>
  <si>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</si>
  <si>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</si>
  <si>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</si>
  <si>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</si>
  <si>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</si>
  <si>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</si>
  <si>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</si>
  <si>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</si>
  <si>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</si>
  <si>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</si>
  <si>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</si>
  <si>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</si>
  <si>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</si>
  <si>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</si>
  <si>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</si>
  <si>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</si>
  <si>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</si>
  <si>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</si>
  <si>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</si>
  <si>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</si>
  <si>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</si>
  <si>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</si>
  <si>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</si>
  <si>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</si>
  <si>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</si>
  <si>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</si>
  <si>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</si>
  <si>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</si>
  <si>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</si>
  <si>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</si>
  <si>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</si>
  <si>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</si>
  <si>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</si>
  <si>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</si>
  <si>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</si>
  <si>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</si>
  <si>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</si>
  <si>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</si>
  <si>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</si>
  <si>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</si>
  <si>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</si>
  <si>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</si>
  <si>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</si>
  <si>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</si>
  <si>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</si>
  <si>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</si>
  <si>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</si>
  <si>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</si>
  <si>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</si>
  <si>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</si>
  <si>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</si>
  <si>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</si>
  <si>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</si>
  <si>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</si>
  <si>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</si>
  <si>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</si>
  <si>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</si>
  <si>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</si>
  <si>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</si>
  <si>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</si>
  <si>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</si>
  <si>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</si>
  <si>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</si>
  <si>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</si>
  <si>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</si>
  <si>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</si>
  <si>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</si>
  <si>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</si>
  <si>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</si>
  <si>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</si>
  <si>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</si>
  <si>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</si>
  <si>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</si>
  <si>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</si>
  <si>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</si>
  <si>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</si>
  <si>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</si>
  <si>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</si>
  <si>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</si>
  <si>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</si>
  <si>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</si>
  <si>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</si>
  <si>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</si>
  <si>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</si>
  <si>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</si>
  <si>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</si>
  <si>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</si>
  <si>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</si>
  <si>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</si>
  <si>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</si>
  <si>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</si>
  <si>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</si>
  <si>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</si>
  <si>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</si>
  <si>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</si>
  <si>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</si>
  <si>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</si>
  <si>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</si>
  <si>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</si>
  <si>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</si>
  <si>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</si>
  <si>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</si>
  <si>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</si>
  <si>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</si>
  <si>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</si>
  <si>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</si>
  <si>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</si>
  <si>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</si>
  <si>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</si>
  <si>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</si>
  <si>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</si>
  <si>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</si>
  <si>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</si>
  <si>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</si>
  <si>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</si>
  <si>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</si>
  <si>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</si>
  <si>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</si>
  <si>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</si>
  <si>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</si>
  <si>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</si>
  <si>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</si>
  <si>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</si>
  <si>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</si>
  <si>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</si>
  <si>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</si>
  <si>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</si>
  <si>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</si>
  <si>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</si>
  <si>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</si>
  <si>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</si>
  <si>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</si>
  <si>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</si>
  <si>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</si>
  <si>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</si>
  <si>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</si>
  <si>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</si>
  <si>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</si>
  <si>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</si>
  <si>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</si>
  <si>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</si>
  <si>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</si>
  <si>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</si>
  <si>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</si>
  <si>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</si>
  <si>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</si>
  <si>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</si>
  <si>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</si>
  <si>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</si>
  <si>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</si>
  <si>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</si>
  <si>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</si>
  <si>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</si>
  <si>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</si>
  <si>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</si>
  <si>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</si>
  <si>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</si>
  <si>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</si>
  <si>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</si>
  <si>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</si>
  <si>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</si>
  <si>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</si>
  <si>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</si>
  <si>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</si>
  <si>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</si>
  <si>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</si>
  <si>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</si>
  <si>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</si>
  <si>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</si>
  <si>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</si>
  <si>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</si>
  <si>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</si>
  <si>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</si>
  <si>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</si>
  <si>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</si>
  <si>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</si>
  <si>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</si>
  <si>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</si>
  <si>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</si>
  <si>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</si>
  <si>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</si>
  <si>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</si>
  <si>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</si>
  <si>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</si>
  <si>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</si>
  <si>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</si>
  <si>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</si>
  <si>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</si>
  <si>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</si>
  <si>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</si>
  <si>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</si>
  <si>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</si>
  <si>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</si>
  <si>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</si>
  <si>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</si>
  <si>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</si>
  <si>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</si>
  <si>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</si>
  <si>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</si>
  <si>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</si>
  <si>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</si>
  <si>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</si>
  <si>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</si>
  <si>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</si>
  <si>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</si>
  <si>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</si>
  <si>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</si>
  <si>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</si>
  <si>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</si>
  <si>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</si>
  <si>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</si>
  <si>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</si>
  <si>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</si>
  <si>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</si>
  <si>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</si>
  <si>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</si>
  <si>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</si>
  <si>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</si>
  <si>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</si>
  <si>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</si>
  <si>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</si>
  <si>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</si>
  <si>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</si>
  <si>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</si>
  <si>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</si>
  <si>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</si>
  <si>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</si>
  <si>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</si>
  <si>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</si>
  <si>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</si>
  <si>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</si>
  <si>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</si>
  <si>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</si>
  <si>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</si>
  <si>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</si>
  <si>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</si>
  <si>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</si>
  <si>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</si>
  <si>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</si>
  <si>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</si>
  <si>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</si>
  <si>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</si>
  <si>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</si>
  <si>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</si>
  <si>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</si>
  <si>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</si>
  <si>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</si>
  <si>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</si>
  <si>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</si>
  <si>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</si>
  <si>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</si>
  <si>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</si>
  <si>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</si>
  <si>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</si>
  <si>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</si>
  <si>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</si>
  <si>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</si>
  <si>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</si>
  <si>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</si>
  <si>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</si>
  <si>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</si>
  <si>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</si>
  <si>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</si>
  <si>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</si>
  <si>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</si>
  <si>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</si>
  <si>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</si>
  <si>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</si>
  <si>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</si>
  <si>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</si>
  <si>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</si>
  <si>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</si>
  <si>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</si>
  <si>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</si>
  <si>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</si>
  <si>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</si>
  <si>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</si>
  <si>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</si>
  <si>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</si>
  <si>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</si>
  <si>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</si>
  <si>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</si>
  <si>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</si>
  <si>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</si>
  <si>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</si>
  <si>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</si>
  <si>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</si>
  <si>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</si>
  <si>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</si>
  <si>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</si>
  <si>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</si>
  <si>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</si>
  <si>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</si>
  <si>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</si>
  <si>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</si>
  <si>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</si>
  <si>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</si>
  <si>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</si>
  <si>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</si>
  <si>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</si>
  <si>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</si>
  <si>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</si>
  <si>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</si>
  <si>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</si>
  <si>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</si>
  <si>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</si>
  <si>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</si>
  <si>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</si>
  <si>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</si>
  <si>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</si>
  <si>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</si>
  <si>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</si>
  <si>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</si>
  <si>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</si>
  <si>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</si>
  <si>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</si>
  <si>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</si>
  <si>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</si>
  <si>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</si>
  <si>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</si>
  <si>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</si>
  <si>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</si>
  <si>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</si>
  <si>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</si>
  <si>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</si>
  <si>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</si>
  <si>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</si>
  <si>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</si>
  <si>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</si>
  <si>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</si>
  <si>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</si>
  <si>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</si>
  <si>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</si>
  <si>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</si>
  <si>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</si>
  <si>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</si>
  <si>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</si>
  <si>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</si>
  <si>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</si>
  <si>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</si>
  <si>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</si>
  <si>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</si>
  <si>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</si>
  <si>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</si>
  <si>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</si>
  <si>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</si>
  <si>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</si>
  <si>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</si>
  <si>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</si>
  <si>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</si>
  <si>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</si>
  <si>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</si>
  <si>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</si>
  <si>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</si>
  <si>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</si>
  <si>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</si>
  <si>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</si>
  <si>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</si>
  <si>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</si>
  <si>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</si>
  <si>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</si>
  <si>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</si>
  <si>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</si>
  <si>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</si>
  <si>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</si>
  <si>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</si>
  <si>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</si>
  <si>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</si>
  <si>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</si>
  <si>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</si>
  <si>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</si>
  <si>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</si>
  <si>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</si>
  <si>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</si>
  <si>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</si>
  <si>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</si>
  <si>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</si>
  <si>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</si>
  <si>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</si>
  <si>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</si>
  <si>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</si>
  <si>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</si>
  <si>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</si>
  <si>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</si>
  <si>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</si>
  <si>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</si>
  <si>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</si>
  <si>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</si>
  <si>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</si>
  <si>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</si>
  <si>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</si>
  <si>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</si>
  <si>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</si>
  <si>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</si>
  <si>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</si>
  <si>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</si>
  <si>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</si>
  <si>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</si>
  <si>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</si>
  <si>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</si>
  <si>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</si>
  <si>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</si>
  <si>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</si>
  <si>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</si>
  <si>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</si>
  <si>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</si>
  <si>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</si>
  <si>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</si>
  <si>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</si>
  <si>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</si>
  <si>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</si>
  <si>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</si>
  <si>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</si>
  <si>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</si>
  <si>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</si>
  <si>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</si>
  <si>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</si>
  <si>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</si>
  <si>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</si>
  <si>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</si>
  <si>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</si>
  <si>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</si>
  <si>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</si>
  <si>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</si>
  <si>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</si>
  <si>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</si>
  <si>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</si>
  <si>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</si>
  <si>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</si>
  <si>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</si>
  <si>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</si>
  <si>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</si>
  <si>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</si>
  <si>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</si>
  <si>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</si>
  <si>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</si>
  <si>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</si>
  <si>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</si>
  <si>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</si>
  <si>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</si>
  <si>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</si>
  <si>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</si>
  <si>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</si>
  <si>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</si>
  <si>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</si>
  <si>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</si>
  <si>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</si>
  <si>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</si>
  <si>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</si>
  <si>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</si>
  <si>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</si>
  <si>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</si>
  <si>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</si>
  <si>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</si>
  <si>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</si>
  <si>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</si>
  <si>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</si>
  <si>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</si>
  <si>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</si>
  <si>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</si>
  <si>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</si>
  <si>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</si>
  <si>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</si>
  <si>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</si>
  <si>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</si>
  <si>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</si>
  <si>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</si>
  <si>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</si>
  <si>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</si>
  <si>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</si>
  <si>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</si>
  <si>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</si>
  <si>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</si>
  <si>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</si>
  <si>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</si>
  <si>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</si>
  <si>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</si>
  <si>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</si>
  <si>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</si>
  <si>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</si>
  <si>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</si>
  <si>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</si>
  <si>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</si>
  <si>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</si>
  <si>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</si>
  <si>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</si>
  <si>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</si>
  <si>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</si>
  <si>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</si>
  <si>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</si>
  <si>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</si>
  <si>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</si>
  <si>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</si>
  <si>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</si>
  <si>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</si>
  <si>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</si>
  <si>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</si>
  <si>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</si>
  <si>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</si>
  <si>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</si>
  <si>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</si>
  <si>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</si>
  <si>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</si>
  <si>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</si>
  <si>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</si>
  <si>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</si>
  <si>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</si>
  <si>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</si>
  <si>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</si>
  <si>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</si>
  <si>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</si>
  <si>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</si>
  <si>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</si>
  <si>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</si>
  <si>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</si>
  <si>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</si>
  <si>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</si>
  <si>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</si>
  <si>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</si>
  <si>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</si>
  <si>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</si>
  <si>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</si>
  <si>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</si>
  <si>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</si>
  <si>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</si>
  <si>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</si>
  <si>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</si>
  <si>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</si>
  <si>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</si>
  <si>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</si>
  <si>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</si>
  <si>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</si>
  <si>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</si>
  <si>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</si>
  <si>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</si>
  <si>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</si>
  <si>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</si>
  <si>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</si>
  <si>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</si>
  <si>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</si>
  <si>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</si>
  <si>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</si>
  <si>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</si>
  <si>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</si>
  <si>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</si>
  <si>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</si>
  <si>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</si>
  <si>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</si>
  <si>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</si>
  <si>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</si>
  <si>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</si>
  <si>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</si>
  <si>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</si>
  <si>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</si>
  <si>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</si>
  <si>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</si>
  <si>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</si>
  <si>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</si>
  <si>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</si>
  <si>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</si>
  <si>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</si>
  <si>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</si>
  <si>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</si>
  <si>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</si>
  <si>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</si>
  <si>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</si>
  <si>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</si>
  <si>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</si>
  <si>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</si>
  <si>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</si>
  <si>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</si>
  <si>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</si>
  <si>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</si>
  <si>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</si>
  <si>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</si>
  <si>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</si>
  <si>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</si>
  <si>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</si>
  <si>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</si>
  <si>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</si>
  <si>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</si>
  <si>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</si>
  <si>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</si>
  <si>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</si>
  <si>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</si>
  <si>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</si>
  <si>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</si>
  <si>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</si>
  <si>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</si>
  <si>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</si>
  <si>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</si>
  <si>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</si>
  <si>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</si>
  <si>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</si>
  <si>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</si>
  <si>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</si>
  <si>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</si>
  <si>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</si>
  <si>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</si>
  <si>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</si>
  <si>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</si>
  <si>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</si>
  <si>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</si>
  <si>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</si>
  <si>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</si>
  <si>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</si>
  <si>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</si>
  <si>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</si>
  <si>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</si>
  <si>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</si>
  <si>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</si>
  <si>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</si>
  <si>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</si>
  <si>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</si>
  <si>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</si>
  <si>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</si>
  <si>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</si>
  <si>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</si>
  <si>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</si>
  <si>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</si>
  <si>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</si>
  <si>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</si>
  <si>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</si>
  <si>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</si>
  <si>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</si>
  <si>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</si>
  <si>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</si>
  <si>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</si>
  <si>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</si>
  <si>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</si>
  <si>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</si>
  <si>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</si>
  <si>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</si>
  <si>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</si>
  <si>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</si>
  <si>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</si>
  <si>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</si>
  <si>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</si>
  <si>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</si>
  <si>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</si>
  <si>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</si>
  <si>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</si>
  <si>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</si>
  <si>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</si>
  <si>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</si>
  <si>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</si>
  <si>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</si>
  <si>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</si>
  <si>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</si>
  <si>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</si>
  <si>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</si>
  <si>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</si>
  <si>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</si>
  <si>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</si>
  <si>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</si>
  <si>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</si>
  <si>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</si>
  <si>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</si>
  <si>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</si>
  <si>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</si>
  <si>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</si>
  <si>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</si>
  <si>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</si>
  <si>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</si>
  <si>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</si>
  <si>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</si>
  <si>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</si>
  <si>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</si>
  <si>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</si>
  <si>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</si>
  <si>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</si>
  <si>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</si>
  <si>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</si>
  <si>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</si>
  <si>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</si>
  <si>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</si>
  <si>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</si>
  <si>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</si>
  <si>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</si>
  <si>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</si>
  <si>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</si>
  <si>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</si>
  <si>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</si>
  <si>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</si>
  <si>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</si>
  <si>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</si>
  <si>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</si>
  <si>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</si>
  <si>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</si>
  <si>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</si>
  <si>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</si>
  <si>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</si>
  <si>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</si>
  <si>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</si>
  <si>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</si>
  <si>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</si>
  <si>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</si>
  <si>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</si>
  <si>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</si>
  <si>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</si>
  <si>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</si>
  <si>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</si>
  <si>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</si>
  <si>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</si>
  <si>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</si>
  <si>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</si>
  <si>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</si>
  <si>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</si>
  <si>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</si>
  <si>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</si>
  <si>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</si>
  <si>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</si>
  <si>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</si>
  <si>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</si>
  <si>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</si>
  <si>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</si>
  <si>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</si>
  <si>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</si>
  <si>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</si>
  <si>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</si>
  <si>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</si>
  <si>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</si>
  <si>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</si>
  <si>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</si>
  <si>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</si>
  <si>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</si>
  <si>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</si>
  <si>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</si>
  <si>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</si>
  <si>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</si>
  <si>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</si>
  <si>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</si>
  <si>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</si>
  <si>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</si>
  <si>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</si>
  <si>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</si>
  <si>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</si>
  <si>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</si>
  <si>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</si>
  <si>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</si>
  <si>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</si>
  <si>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</si>
  <si>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</si>
  <si>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</si>
  <si>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</si>
  <si>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</si>
  <si>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</si>
  <si>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</si>
  <si>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</si>
  <si>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</si>
  <si>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</si>
  <si>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</si>
  <si>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</si>
  <si>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</si>
  <si>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</si>
  <si>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</si>
  <si>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</si>
  <si>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</si>
  <si>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</si>
  <si>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</si>
  <si>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</si>
  <si>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</si>
  <si>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</si>
  <si>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</si>
  <si>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</si>
  <si>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</si>
  <si>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</si>
  <si>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</si>
  <si>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</si>
  <si>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</si>
  <si>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</si>
  <si>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</si>
  <si>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</si>
  <si>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</si>
  <si>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</si>
  <si>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</si>
  <si>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</si>
  <si>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</si>
  <si>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</si>
  <si>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</si>
  <si>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</si>
  <si>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</si>
  <si>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</si>
  <si>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</si>
  <si>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</si>
  <si>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</si>
  <si>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</si>
  <si>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</si>
  <si>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</si>
  <si>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</si>
  <si>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</si>
  <si>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</si>
  <si>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</si>
  <si>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</si>
  <si>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</si>
  <si>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</si>
  <si>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</si>
  <si>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</si>
  <si>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</si>
  <si>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</si>
  <si>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</si>
  <si>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</si>
  <si>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</si>
  <si>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</si>
  <si>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</si>
  <si>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</si>
  <si>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</si>
  <si>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</si>
  <si>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</si>
  <si>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</si>
  <si>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</si>
  <si>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</si>
  <si>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</si>
  <si>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</si>
  <si>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</si>
  <si>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</si>
  <si>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</si>
  <si>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</si>
  <si>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</si>
  <si>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</si>
  <si>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</si>
  <si>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</si>
  <si>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</si>
  <si>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</si>
  <si>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</si>
  <si>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</si>
  <si>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</si>
  <si>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</si>
  <si>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</si>
  <si>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</si>
  <si>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</si>
  <si>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</si>
  <si>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</si>
  <si>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</si>
  <si>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</si>
  <si>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</si>
  <si>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</si>
  <si>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</si>
  <si>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</si>
  <si>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</si>
  <si>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</si>
  <si>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</si>
  <si>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</si>
  <si>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</si>
  <si>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</si>
  <si>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</si>
  <si>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</si>
  <si>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</si>
  <si>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</si>
  <si>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</si>
  <si>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</si>
  <si>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</si>
  <si>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</si>
  <si>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</si>
  <si>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</si>
  <si>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</si>
  <si>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</si>
  <si>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</si>
  <si>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</si>
  <si>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</si>
  <si>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</si>
  <si>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</si>
  <si>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</si>
  <si>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</si>
  <si>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</si>
  <si>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</si>
  <si>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</si>
  <si>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</si>
  <si>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</si>
  <si>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</si>
  <si>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</si>
  <si>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</si>
  <si>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</si>
  <si>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</si>
  <si>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</si>
  <si>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</si>
  <si>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</si>
  <si>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</si>
  <si>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</si>
  <si>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</si>
  <si>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</si>
  <si>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</si>
  <si>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</si>
  <si>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</si>
  <si>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</si>
  <si>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</si>
  <si>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</si>
  <si>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</si>
  <si>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</si>
  <si>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</si>
  <si>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</si>
  <si>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</si>
  <si>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</si>
  <si>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</si>
  <si>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</si>
  <si>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</si>
  <si>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</si>
  <si>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</si>
  <si>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</si>
  <si>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</si>
  <si>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</si>
  <si>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</si>
  <si>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</si>
  <si>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</si>
  <si>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</si>
  <si>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</si>
  <si>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</si>
  <si>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</si>
  <si>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</si>
  <si>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</si>
  <si>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</si>
  <si>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</si>
  <si>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</si>
  <si>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</si>
  <si>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</si>
  <si>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</si>
  <si>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</si>
  <si>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</si>
  <si>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</si>
  <si>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</si>
  <si>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</si>
  <si>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</si>
  <si>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</si>
  <si>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</si>
  <si>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</si>
  <si>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</si>
  <si>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</si>
  <si>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</si>
  <si>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</si>
  <si>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</si>
  <si>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</si>
  <si>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</si>
  <si>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</si>
  <si>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</si>
  <si>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</si>
  <si>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</si>
  <si>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</si>
  <si>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</si>
  <si>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</si>
  <si>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</si>
  <si>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</si>
  <si>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</si>
  <si>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</si>
  <si>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</si>
  <si>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</si>
  <si>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</si>
  <si>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</si>
  <si>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</si>
  <si>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</si>
  <si>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</si>
  <si>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</si>
  <si>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</si>
  <si>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</si>
  <si>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</si>
  <si>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</si>
  <si>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</si>
  <si>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</si>
  <si>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</si>
  <si>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</si>
  <si>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</si>
  <si>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</si>
  <si>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</si>
  <si>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</si>
  <si>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</si>
  <si>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</si>
  <si>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</si>
  <si>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</si>
  <si>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</si>
  <si>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</si>
  <si>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</si>
  <si>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</si>
  <si>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</si>
  <si>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</si>
  <si>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</si>
  <si>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</si>
  <si>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</si>
  <si>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</si>
  <si>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</si>
  <si>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</si>
  <si>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</si>
  <si>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</si>
  <si>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</si>
  <si>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</si>
  <si>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</si>
  <si>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</si>
  <si>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</si>
  <si>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</si>
  <si>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</si>
  <si>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</si>
  <si>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</si>
  <si>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</si>
  <si>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</si>
  <si>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</si>
  <si>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</si>
  <si>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</si>
  <si>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</si>
  <si>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</si>
  <si>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</si>
  <si>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</si>
  <si>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</si>
  <si>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</si>
  <si>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</si>
  <si>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</si>
  <si>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</si>
  <si>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</si>
  <si>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</si>
  <si>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</si>
  <si>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</si>
  <si>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</si>
  <si>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</si>
  <si>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</si>
  <si>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</si>
  <si>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</si>
  <si>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</si>
  <si>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</si>
  <si>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</si>
  <si>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</si>
  <si>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</si>
  <si>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</si>
  <si>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</si>
  <si>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</si>
  <si>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</si>
  <si>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</si>
  <si>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</si>
  <si>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</si>
  <si>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</si>
  <si>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</si>
  <si>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</si>
  <si>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</si>
  <si>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</si>
  <si>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</si>
  <si>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</si>
  <si>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</si>
  <si>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</si>
  <si>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</si>
  <si>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</si>
  <si>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</si>
  <si>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</si>
  <si>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</si>
  <si>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</si>
  <si>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</si>
  <si>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</si>
  <si>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</si>
  <si>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</si>
  <si>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</si>
  <si>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</si>
  <si>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</si>
  <si>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</si>
  <si>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</si>
  <si>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</si>
  <si>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</si>
  <si>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</si>
  <si>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</si>
  <si>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</si>
  <si>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</si>
  <si>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</si>
  <si>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</si>
  <si>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</si>
  <si>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</si>
  <si>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</si>
  <si>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</si>
  <si>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</si>
  <si>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</si>
  <si>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</si>
  <si>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</si>
  <si>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</si>
  <si>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</si>
  <si>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</si>
  <si>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</si>
  <si>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</si>
  <si>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</si>
  <si>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</si>
  <si>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</si>
  <si>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</si>
  <si>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</si>
  <si>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</si>
  <si>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</si>
  <si>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</si>
  <si>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</si>
  <si>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</si>
  <si>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</si>
  <si>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</si>
  <si>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</si>
  <si>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</si>
  <si>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</si>
  <si>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</si>
  <si>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</si>
  <si>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</si>
  <si>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</si>
  <si>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</si>
  <si>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</si>
  <si>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</si>
  <si>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</si>
  <si>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</si>
  <si>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</si>
  <si>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</si>
  <si>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</si>
  <si>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</si>
  <si>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</si>
  <si>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</si>
  <si>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</si>
  <si>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</si>
  <si>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</si>
  <si>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</si>
  <si>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</si>
  <si>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</si>
  <si>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</si>
  <si>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</si>
  <si>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</si>
  <si>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</si>
  <si>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</si>
  <si>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</si>
  <si>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</si>
  <si>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</si>
  <si>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</si>
  <si>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</si>
  <si>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</si>
  <si>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</si>
  <si>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</si>
  <si>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</si>
  <si>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</si>
  <si>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</si>
  <si>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</si>
  <si>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</si>
  <si>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</si>
  <si>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</si>
  <si>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</si>
  <si>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</si>
  <si>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</si>
  <si>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</si>
  <si>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</si>
  <si>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</si>
  <si>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</si>
  <si>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</si>
  <si>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</si>
  <si>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</si>
  <si>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</si>
  <si>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</si>
  <si>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</si>
  <si>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</si>
  <si>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</si>
  <si>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</si>
  <si>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</si>
  <si>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</si>
  <si>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</si>
  <si>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</si>
  <si>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</si>
  <si>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</si>
  <si>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</si>
  <si>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</si>
  <si>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</si>
  <si>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</si>
  <si>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</si>
  <si>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</si>
  <si>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</si>
  <si>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</si>
  <si>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</si>
  <si>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</si>
  <si>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</si>
  <si>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</si>
  <si>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</si>
  <si>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</si>
  <si>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</si>
  <si>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</si>
  <si>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</si>
  <si>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</si>
  <si>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</si>
  <si>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</si>
  <si>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</si>
  <si>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</si>
  <si>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</si>
  <si>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</si>
  <si>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</si>
  <si>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</si>
  <si>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</si>
  <si>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</si>
  <si>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</si>
  <si>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</si>
  <si>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</si>
  <si>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</si>
  <si>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</si>
  <si>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</si>
  <si>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</si>
  <si>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</si>
  <si>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</si>
  <si>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</si>
  <si>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</si>
  <si>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</si>
  <si>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</si>
  <si>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</si>
  <si>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</si>
  <si>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</si>
  <si>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</si>
  <si>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</si>
  <si>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</si>
  <si>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</si>
  <si>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</si>
  <si>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</si>
  <si>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</si>
  <si>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</si>
  <si>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</si>
  <si>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</si>
  <si>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</si>
  <si>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</si>
  <si>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</si>
  <si>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</si>
  <si>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</si>
  <si>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</si>
  <si>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</si>
  <si>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</si>
  <si>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</si>
  <si>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</si>
  <si>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</si>
  <si>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</si>
  <si>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</si>
  <si>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</si>
  <si>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</si>
  <si>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</si>
  <si>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</si>
  <si>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</si>
  <si>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</si>
  <si>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</si>
  <si>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</si>
  <si>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</si>
  <si>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</si>
  <si>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</si>
  <si>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</si>
  <si>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</si>
  <si>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</si>
  <si>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</si>
  <si>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</si>
  <si>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</si>
  <si>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</si>
  <si>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</si>
  <si>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</si>
  <si>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</si>
  <si>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</si>
  <si>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</si>
  <si>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</si>
  <si>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</si>
  <si>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</si>
  <si>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</si>
  <si>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</si>
  <si>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</si>
  <si>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</si>
  <si>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</si>
  <si>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</si>
  <si>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</si>
  <si>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</si>
  <si>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</si>
  <si>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</si>
  <si>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</si>
  <si>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</si>
  <si>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</si>
  <si>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</si>
  <si>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</si>
  <si>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</si>
  <si>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</si>
  <si>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</si>
  <si>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</si>
  <si>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</si>
  <si>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</si>
  <si>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</si>
  <si>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</si>
  <si>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</si>
  <si>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</si>
  <si>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</si>
  <si>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</si>
  <si>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</si>
  <si>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</si>
  <si>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</si>
  <si>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</si>
  <si>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</si>
  <si>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</si>
  <si>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</si>
  <si>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</si>
  <si>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</si>
  <si>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</si>
  <si>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</si>
  <si>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</si>
  <si>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</si>
  <si>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</si>
  <si>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</si>
  <si>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</si>
  <si>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</si>
  <si>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</si>
  <si>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</si>
  <si>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</si>
  <si>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</si>
  <si>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</si>
  <si>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</si>
  <si>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</si>
  <si>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</si>
  <si>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</si>
  <si>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</si>
  <si>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</si>
  <si>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</si>
  <si>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</si>
  <si>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</si>
  <si>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</si>
  <si>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</si>
  <si>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</si>
  <si>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</si>
  <si>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</si>
  <si>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</si>
  <si>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</si>
  <si>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</si>
  <si>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</si>
  <si>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</si>
  <si>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</si>
  <si>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</si>
  <si>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</si>
  <si>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</si>
  <si>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</si>
  <si>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</si>
  <si>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</si>
  <si>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</si>
  <si>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</si>
  <si>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</si>
  <si>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</si>
  <si>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</si>
  <si>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</si>
  <si>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</si>
  <si>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</si>
  <si>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</si>
  <si>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</si>
  <si>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</si>
  <si>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</si>
  <si>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</si>
  <si>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</si>
  <si>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</si>
  <si>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</si>
  <si>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</si>
  <si>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</si>
  <si>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</si>
  <si>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</si>
  <si>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</si>
  <si>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</si>
  <si>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</si>
  <si>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</si>
  <si>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</si>
  <si>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</si>
  <si>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</si>
  <si>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</si>
  <si>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</si>
  <si>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</si>
  <si>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</si>
  <si>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</si>
  <si>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</si>
  <si>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</si>
  <si>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</si>
  <si>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</si>
  <si>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</si>
  <si>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</si>
  <si>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</si>
  <si>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</si>
  <si>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</si>
  <si>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</si>
  <si>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</si>
  <si>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</si>
  <si>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</si>
  <si>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</si>
  <si>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</si>
  <si>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</si>
  <si>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</si>
  <si>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</si>
  <si>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</si>
  <si>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</si>
  <si>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</si>
  <si>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</si>
  <si>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</si>
  <si>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</si>
  <si>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</si>
  <si>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</si>
  <si>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</si>
  <si>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</si>
  <si>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</si>
  <si>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</si>
  <si>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</si>
  <si>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</si>
  <si>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</si>
  <si>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</si>
  <si>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</si>
  <si>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</si>
  <si>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</si>
  <si>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</si>
  <si>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</si>
  <si>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</si>
  <si>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</si>
  <si>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</si>
  <si>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</si>
  <si>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</si>
  <si>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</si>
  <si>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</si>
  <si>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</si>
  <si>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</si>
  <si>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</si>
  <si>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</si>
  <si>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</si>
  <si>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</si>
  <si>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</si>
  <si>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</si>
  <si>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</si>
  <si>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</si>
  <si>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</si>
  <si>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</si>
  <si>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</si>
  <si>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</si>
  <si>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</si>
  <si>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</si>
  <si>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</si>
  <si>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</si>
  <si>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</si>
  <si>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</si>
  <si>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</si>
  <si>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</si>
  <si>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</si>
  <si>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</si>
  <si>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</si>
  <si>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</si>
  <si>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</si>
  <si>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</si>
  <si>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</si>
  <si>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</si>
  <si>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</si>
  <si>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</si>
  <si>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</si>
  <si>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</si>
  <si>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</si>
  <si>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</si>
  <si>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</si>
  <si>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</si>
  <si>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</si>
  <si>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</si>
  <si>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</si>
  <si>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</si>
  <si>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</si>
  <si>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</si>
  <si>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</si>
  <si>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</si>
  <si>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</si>
  <si>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</si>
  <si>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</si>
  <si>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</si>
  <si>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</si>
  <si>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</si>
  <si>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</si>
  <si>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</si>
  <si>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</si>
  <si>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</si>
  <si>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</si>
  <si>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</si>
  <si>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</si>
  <si>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</si>
  <si>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</si>
  <si>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</si>
  <si>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</si>
  <si>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</si>
  <si>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</si>
  <si>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</si>
  <si>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</si>
  <si>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</si>
  <si>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</si>
  <si>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</si>
  <si>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</si>
  <si>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</si>
  <si>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</si>
  <si>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</si>
  <si>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</si>
  <si>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</si>
  <si>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</si>
  <si>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</si>
  <si>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</si>
  <si>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</si>
  <si>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</si>
  <si>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</si>
  <si>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</si>
  <si>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</si>
  <si>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</si>
  <si>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</si>
  <si>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</si>
  <si>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</si>
  <si>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</si>
  <si>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</si>
  <si>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</si>
  <si>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</si>
  <si>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</si>
  <si>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</si>
  <si>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</si>
  <si>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</si>
  <si>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</si>
  <si>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</si>
  <si>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</si>
  <si>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</si>
  <si>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</si>
  <si>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</si>
  <si>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</si>
  <si>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</si>
  <si>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</si>
  <si>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</si>
  <si>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</si>
  <si>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</si>
  <si>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</si>
  <si>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</si>
  <si>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</si>
  <si>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</si>
  <si>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</si>
  <si>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</si>
  <si>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</si>
  <si>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</si>
  <si>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</si>
  <si>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</si>
  <si>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</si>
  <si>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</si>
  <si>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</si>
  <si>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</si>
  <si>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</si>
  <si>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</si>
  <si>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</si>
  <si>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</si>
  <si>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</si>
  <si>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</si>
  <si>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</si>
  <si>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</si>
  <si>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</si>
  <si>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</si>
  <si>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</si>
  <si>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</si>
  <si>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</si>
  <si>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</si>
  <si>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</si>
  <si>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</si>
  <si>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</si>
  <si>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</si>
  <si>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</si>
  <si>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</si>
  <si>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</si>
  <si>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</si>
  <si>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</si>
  <si>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</si>
  <si>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</si>
  <si>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</si>
  <si>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</si>
  <si>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</si>
  <si>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</si>
  <si>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</si>
  <si>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</si>
  <si>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</si>
  <si>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</si>
  <si>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</si>
  <si>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</si>
  <si>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</si>
  <si>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</si>
  <si>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</si>
  <si>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</si>
  <si>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</si>
  <si>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</si>
  <si>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</si>
  <si>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</si>
  <si>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</si>
  <si>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</si>
  <si>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</si>
  <si>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</si>
  <si>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</si>
  <si>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</si>
  <si>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</si>
  <si>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</si>
  <si>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</si>
  <si>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</si>
  <si>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</si>
  <si>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</si>
  <si>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</si>
  <si>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</si>
  <si>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</si>
  <si>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</si>
  <si>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</si>
  <si>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</si>
  <si>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</si>
  <si>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</si>
  <si>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</si>
  <si>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</si>
  <si>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</si>
  <si>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</si>
  <si>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</si>
  <si>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</si>
  <si>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</si>
  <si>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</si>
  <si>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</si>
  <si>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</si>
  <si>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</si>
  <si>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</si>
  <si>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</si>
  <si>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</si>
  <si>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</si>
  <si>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</si>
  <si>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</si>
  <si>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</si>
  <si>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</si>
  <si>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</si>
  <si>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</si>
  <si>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</si>
  <si>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</si>
  <si>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</si>
  <si>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</si>
  <si>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</si>
  <si>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</si>
  <si>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</si>
  <si>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</si>
  <si>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</si>
  <si>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</si>
  <si>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</si>
  <si>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</si>
  <si>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</si>
  <si>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</si>
  <si>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</si>
  <si>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</si>
  <si>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</si>
  <si>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</si>
  <si>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</si>
  <si>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</si>
  <si>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</si>
  <si>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</si>
  <si>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</si>
  <si>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</si>
  <si>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</si>
  <si>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</si>
  <si>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</si>
  <si>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</si>
  <si>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</si>
  <si>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</si>
  <si>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</si>
  <si>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</si>
  <si>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</si>
  <si>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</si>
  <si>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</si>
  <si>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</si>
  <si>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</si>
  <si>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</si>
  <si>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</si>
  <si>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</si>
  <si>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</si>
  <si>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</si>
  <si>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</si>
  <si>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</si>
  <si>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</si>
  <si>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</si>
  <si>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</si>
  <si>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</si>
  <si>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</si>
  <si>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</si>
  <si>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</si>
  <si>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</si>
  <si>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</si>
  <si>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</si>
  <si>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</si>
  <si>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</si>
  <si>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</si>
  <si>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</si>
  <si>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</si>
  <si>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</si>
  <si>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</si>
  <si>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</si>
  <si>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</si>
  <si>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</si>
  <si>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</si>
  <si>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</si>
  <si>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</si>
  <si>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</si>
  <si>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</si>
  <si>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</si>
  <si>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</si>
  <si>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</si>
  <si>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</si>
  <si>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</si>
  <si>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</si>
  <si>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</si>
  <si>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</si>
  <si>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</si>
  <si>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</si>
  <si>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</si>
  <si>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</si>
  <si>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</si>
  <si>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</si>
  <si>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</si>
  <si>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</si>
  <si>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</si>
  <si>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</si>
  <si>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</si>
  <si>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</si>
  <si>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</si>
  <si>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</si>
  <si>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</si>
  <si>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</si>
  <si>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</si>
  <si>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</si>
  <si>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</si>
  <si>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</si>
  <si>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</si>
  <si>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</si>
  <si>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</si>
  <si>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</si>
  <si>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</si>
  <si>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</si>
  <si>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</si>
  <si>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</si>
  <si>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</si>
  <si>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</si>
  <si>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</si>
  <si>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</si>
  <si>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</si>
  <si>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</si>
  <si>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</si>
  <si>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</si>
  <si>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</si>
  <si>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</si>
  <si>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</si>
  <si>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</si>
  <si>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</si>
  <si>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</si>
  <si>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</si>
  <si>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</si>
  <si>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</si>
  <si>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</si>
  <si>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</si>
  <si>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</si>
  <si>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</si>
  <si>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</si>
  <si>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</si>
  <si>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</si>
  <si>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</si>
  <si>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</si>
  <si>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</si>
  <si>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</si>
  <si>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</si>
  <si>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</si>
  <si>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</si>
  <si>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</si>
  <si>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</si>
  <si>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</si>
  <si>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</si>
  <si>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</si>
  <si>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</si>
  <si>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</si>
  <si>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</si>
  <si>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</si>
  <si>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</si>
  <si>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</si>
  <si>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</si>
  <si>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</si>
  <si>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</si>
  <si>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</si>
  <si>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</si>
  <si>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</si>
  <si>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</si>
  <si>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</si>
  <si>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</si>
  <si>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</si>
  <si>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</si>
  <si>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</si>
  <si>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</si>
  <si>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</si>
  <si>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</si>
  <si>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</si>
  <si>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</si>
  <si>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</si>
  <si>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</si>
  <si>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</si>
  <si>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</si>
  <si>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</si>
  <si>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</si>
  <si>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</si>
  <si>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</si>
  <si>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</si>
  <si>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</si>
  <si>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</si>
  <si>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</si>
  <si>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</si>
  <si>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</si>
  <si>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</si>
  <si>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</si>
  <si>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</si>
  <si>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</si>
  <si>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</si>
  <si>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</si>
  <si>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</si>
  <si>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</si>
  <si>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</si>
  <si>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</si>
  <si>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</si>
  <si>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</si>
  <si>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</si>
  <si>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</si>
  <si>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</si>
  <si>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</si>
  <si>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</si>
  <si>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</si>
  <si>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</si>
  <si>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</si>
  <si>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</si>
  <si>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</si>
  <si>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</si>
  <si>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</si>
  <si>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</si>
  <si>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</si>
  <si>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</si>
  <si>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</si>
  <si>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</si>
  <si>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</si>
  <si>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</si>
  <si>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</si>
  <si>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</si>
  <si>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</si>
  <si>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</si>
  <si>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</si>
  <si>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</si>
  <si>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</si>
  <si>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</si>
  <si>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</si>
  <si>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</si>
  <si>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</si>
  <si>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</si>
  <si>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</si>
  <si>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</si>
  <si>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</si>
  <si>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</si>
  <si>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</si>
  <si>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</si>
  <si>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</si>
  <si>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</si>
  <si>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</si>
  <si>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</si>
  <si>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</si>
  <si>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</si>
  <si>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</si>
  <si>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</si>
  <si>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</si>
  <si>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</si>
  <si>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</si>
  <si>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</si>
  <si>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</si>
  <si>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</si>
  <si>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</si>
  <si>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</si>
  <si>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</si>
  <si>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</si>
  <si>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</si>
  <si>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</si>
  <si>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</si>
  <si>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</si>
  <si>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</si>
  <si>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</si>
  <si>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</si>
  <si>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</si>
  <si>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</si>
  <si>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</si>
  <si>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</si>
  <si>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</si>
  <si>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</si>
  <si>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</si>
  <si>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</si>
  <si>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</si>
  <si>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</si>
  <si>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</si>
  <si>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</si>
  <si>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</si>
  <si>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</si>
  <si>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</si>
  <si>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</si>
  <si>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</si>
  <si>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</si>
  <si>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</si>
  <si>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</si>
  <si>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</si>
  <si>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</si>
  <si>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</si>
  <si>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</si>
  <si>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</si>
  <si>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</si>
  <si>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</si>
  <si>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</si>
  <si>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</si>
  <si>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</si>
  <si>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</si>
  <si>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</si>
  <si>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</si>
  <si>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</si>
  <si>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</si>
  <si>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</si>
  <si>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</si>
  <si>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</si>
  <si>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</si>
  <si>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</si>
  <si>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</si>
  <si>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</si>
  <si>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</si>
  <si>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</si>
  <si>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</si>
  <si>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</si>
  <si>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</si>
  <si>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</si>
  <si>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</si>
  <si>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</si>
  <si>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</si>
  <si>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</si>
  <si>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</si>
  <si>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</si>
  <si>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</si>
  <si>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</si>
  <si>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</si>
  <si>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</si>
  <si>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</si>
  <si>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</si>
  <si>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</si>
  <si>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</si>
  <si>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</si>
  <si>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</si>
  <si>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</si>
  <si>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</si>
  <si>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</si>
  <si>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</si>
  <si>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</si>
  <si>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</si>
  <si>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</si>
  <si>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</si>
  <si>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</si>
  <si>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</si>
  <si>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</si>
  <si>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</si>
  <si>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</si>
  <si>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</si>
  <si>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</si>
  <si>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</si>
  <si>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</si>
  <si>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</si>
  <si>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</si>
  <si>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</si>
  <si>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</si>
  <si>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</si>
  <si>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</si>
  <si>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</si>
  <si>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</si>
  <si>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</si>
  <si>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</si>
  <si>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</si>
  <si>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</si>
  <si>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</si>
  <si>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</si>
  <si>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</si>
  <si>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</si>
  <si>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</si>
  <si>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</si>
  <si>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</si>
  <si>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</si>
  <si>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</si>
  <si>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</si>
  <si>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</si>
  <si>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</si>
  <si>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</si>
  <si>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</si>
  <si>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</si>
  <si>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</si>
  <si>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</si>
  <si>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</si>
  <si>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</si>
  <si>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</si>
  <si>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</si>
  <si>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</si>
  <si>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</si>
  <si>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</si>
  <si>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</si>
  <si>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</si>
  <si>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</si>
  <si>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</si>
  <si>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</si>
  <si>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</si>
  <si>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</si>
  <si>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</si>
  <si>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</si>
  <si>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</si>
  <si>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</si>
  <si>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</si>
  <si>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</si>
  <si>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</si>
  <si>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</si>
  <si>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</si>
  <si>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</si>
  <si>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</si>
  <si>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</si>
  <si>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</si>
  <si>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</si>
  <si>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</si>
  <si>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</si>
  <si>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</si>
  <si>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</si>
  <si>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</si>
  <si>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</si>
  <si>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</si>
  <si>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</si>
  <si>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</si>
  <si>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</si>
  <si>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</si>
  <si>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</si>
  <si>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</si>
  <si>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</si>
  <si>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</si>
  <si>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</si>
  <si>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</si>
  <si>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</si>
  <si>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</si>
  <si>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</si>
  <si>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</si>
  <si>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</si>
  <si>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</si>
  <si>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</si>
  <si>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</si>
  <si>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</si>
  <si>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</si>
  <si>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</si>
  <si>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</si>
  <si>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</si>
  <si>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</si>
  <si>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</si>
  <si>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</si>
  <si>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</si>
  <si>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</si>
  <si>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</si>
  <si>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</si>
  <si>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</si>
  <si>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</si>
  <si>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</si>
  <si>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</si>
  <si>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</si>
  <si>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</si>
  <si>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</si>
  <si>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</si>
  <si>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</si>
  <si>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</si>
  <si>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</si>
  <si>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</si>
  <si>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</si>
  <si>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</si>
  <si>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</si>
  <si>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</si>
  <si>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</si>
  <si>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</si>
  <si>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</si>
  <si>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</si>
  <si>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</si>
  <si>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</si>
  <si>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</si>
  <si>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</si>
  <si>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</si>
  <si>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</si>
  <si>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</si>
  <si>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</si>
  <si>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</si>
  <si>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</si>
  <si>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</si>
  <si>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</si>
  <si>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</si>
  <si>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</si>
  <si>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</si>
  <si>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</si>
  <si>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</si>
  <si>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</si>
  <si>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</si>
  <si>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</si>
  <si>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</si>
  <si>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</si>
  <si>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</si>
  <si>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</si>
  <si>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</si>
  <si>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</si>
  <si>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</si>
  <si>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</si>
  <si>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</si>
  <si>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</si>
  <si>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</si>
  <si>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</si>
  <si>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</si>
  <si>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</si>
  <si>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</si>
  <si>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</si>
  <si>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</si>
  <si>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</si>
  <si>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</si>
  <si>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</si>
  <si>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</si>
  <si>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</si>
  <si>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</si>
  <si>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</si>
  <si>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</si>
  <si>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</si>
  <si>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</si>
  <si>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</si>
  <si>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</si>
  <si>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</si>
  <si>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</si>
  <si>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</si>
  <si>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</si>
  <si>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</si>
  <si>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</si>
  <si>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</si>
  <si>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</si>
  <si>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</si>
  <si>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</si>
  <si>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</si>
  <si>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</si>
  <si>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</si>
  <si>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</si>
  <si>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</si>
  <si>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</si>
  <si>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</si>
  <si>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</si>
  <si>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</si>
  <si>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</si>
  <si>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</si>
  <si>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</si>
  <si>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</si>
  <si>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</si>
  <si>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</si>
  <si>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</si>
  <si>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</si>
  <si>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</si>
  <si>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</si>
  <si>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</si>
  <si>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</si>
  <si>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</si>
  <si>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</si>
  <si>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</si>
  <si>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</si>
  <si>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</si>
  <si>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</si>
  <si>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</si>
  <si>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</si>
  <si>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</si>
  <si>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</si>
  <si>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</si>
  <si>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</si>
  <si>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</si>
  <si>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</si>
  <si>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</si>
  <si>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</si>
  <si>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</si>
  <si>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</si>
  <si>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</si>
  <si>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</si>
  <si>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</si>
  <si>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</si>
  <si>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</si>
  <si>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</si>
  <si>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</si>
  <si>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</si>
  <si>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</si>
  <si>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</si>
  <si>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</si>
  <si>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</si>
  <si>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</si>
  <si>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</si>
  <si>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</si>
  <si>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</si>
  <si>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</si>
  <si>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</si>
  <si>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</si>
  <si>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</si>
  <si>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</si>
  <si>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</si>
  <si>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</si>
  <si>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</si>
  <si>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</si>
  <si>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</si>
  <si>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</si>
  <si>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</si>
  <si>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</si>
  <si>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</si>
  <si>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</si>
  <si>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</si>
  <si>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</si>
  <si>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</si>
  <si>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</si>
  <si>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</si>
  <si>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</si>
  <si>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</si>
  <si>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</si>
  <si>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</si>
  <si>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</si>
  <si>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</si>
  <si>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</si>
  <si>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</si>
  <si>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</si>
  <si>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</si>
  <si>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</si>
  <si>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</si>
  <si>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</si>
  <si>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</si>
  <si>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</si>
  <si>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成本法 (元)</t>
  </si>
  <si>
    <t>6层</t>
  </si>
  <si>
    <t>6层</t>
    <phoneticPr fontId="7"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</si>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</sst>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0" fillId="0" borderId="0" xfId="0"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7" t="s">
        <v>2583</v>
      </c>
      <c r="J2" s="3497"/>
      <c r="K2" s="3497"/>
      <c r="L2" s="3497"/>
      <c r="M2" s="3497"/>
      <c r="N2" s="3497"/>
      <c r="O2" s="3497"/>
      <c r="P2" s="3497"/>
      <c r="Q2" s="3497"/>
      <c r="R2" s="3497"/>
    </row>
    <row r="3" spans="1:18">
      <c r="A3" s="3020" t="s">
        <v>2504</v>
      </c>
      <c r="B3" s="3021">
        <f>项目基本情况!D3</f>
        <v>45124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北京市房地产市场价值预评估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45124</v>
      </c>
      <c r="C3" s="2374" t="s">
        <v>2171</v>
      </c>
      <c r="D3" s="2373">
        <f>B3</f>
        <v>45124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9"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0"/>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133.12</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8"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601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601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602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602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603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603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6层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37.49</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4500</v>
      </c>
      <c r="M6" s="67">
        <f t="shared" ref="M6:M14" si="0">ROUND(K6*L6/10000,0)</f>
        <v>60</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11000</v>
      </c>
      <c r="V6" s="70">
        <v>0.02</v>
      </c>
      <c r="W6" s="70">
        <v>0.1</v>
      </c>
      <c r="X6" s="1040"/>
      <c r="Y6" s="71">
        <f>N6</f>
        <v>0.85</v>
      </c>
      <c r="Z6" s="72"/>
      <c r="AA6" s="66"/>
      <c r="AB6" s="66"/>
      <c r="AC6" s="1040"/>
      <c r="AD6" s="73"/>
      <c r="AE6" s="1041">
        <f ca="1">IF(AN6="",0,SUMIF(INDIRECT("'"&amp;AN6&amp;"'"&amp;"!E:E"),$AE$5,INDIRECT("'"&amp;AN6&amp;"'"&amp;"!F:F")))</f>
        <v>37.49</v>
      </c>
      <c r="AF6" s="1348"/>
      <c r="AG6" s="138">
        <f>IF(AF6="",0,AE6-AF6)</f>
        <v>0</v>
      </c>
      <c r="AH6" s="74">
        <v>1</v>
      </c>
      <c r="AI6" s="76">
        <v>12</v>
      </c>
      <c r="AJ6" s="77"/>
      <c r="AK6" s="78">
        <v>1.4999999999999999E-2</v>
      </c>
      <c r="AL6" s="79">
        <v>1.5E-3</v>
      </c>
      <c r="AM6" s="80">
        <v>0.01</v>
      </c>
      <c r="AN6" s="1715" t="s">
        <v>3394</v>
      </c>
      <c r="AO6" s="52">
        <f ca="1">SUMIF(INDIRECT("'"&amp;AN6&amp;"'"&amp;"!A:A"),"总价",INDIRECT("'"&amp;AN6&amp;"'"&amp;"!B:B"))</f>
        <v>231.9649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4507</v>
      </c>
      <c r="M16" s="93">
        <f>SUM(M6:M14)</f>
        <v>60</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2014</v>
      </c>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1-(2023-M18)/60</f>
        <v>0.85</v>
      </c>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133.12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668.59519999999998</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133.12</v>
      </c>
      <c r="C14" s="2518"/>
      <c r="D14" s="2518">
        <f ca="1">E14*B14/10000</f>
        <v>668.59519999999998</v>
      </c>
      <c r="E14" s="2518">
        <f ca="1">结果表!G20</f>
        <v>50225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12" sqref="F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3406</v>
      </c>
      <c r="D4" s="1756" t="s">
        <v>3449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2</v>
      </c>
      <c r="D14" s="3582">
        <f>10-C14</f>
        <v>8</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69" t="s">
        <v>2131</v>
      </c>
      <c r="F18" s="3570"/>
      <c r="G18" s="3570"/>
      <c r="H18" s="3570"/>
      <c r="I18" s="3570"/>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339.35680000000002</v>
      </c>
      <c r="D19" s="135">
        <f ca="1">SUMIF(INDIRECT("'"&amp;D4&amp;"'"&amp;"!A:A"),结果表!B19,INDIRECT("'"&amp;D4&amp;"'"&amp;"!B:B"))</f>
        <v>750.90329999999994</v>
      </c>
      <c r="E19" s="1761" t="s">
        <v>1292</v>
      </c>
      <c r="F19" s="1762" t="s">
        <v>1291</v>
      </c>
      <c r="G19" s="136">
        <f ca="1">ROUND(C19*$C$18+D19*$D$18,0)</f>
        <v>669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25493</v>
      </c>
      <c r="D20" s="138">
        <f ca="1">SUMIF(INDIRECT("'"&amp;D4&amp;"'"&amp;"!A:A"),结果表!B20,INDIRECT("'"&amp;D4&amp;"'"&amp;"!B:B"))</f>
        <v>56408</v>
      </c>
      <c r="E20" s="1764"/>
      <c r="F20" s="1026" t="s">
        <v>1295</v>
      </c>
      <c r="G20" s="139">
        <f ca="1">ROUND(C20*$C$18+D20*$D$18,0)</f>
        <v>50225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1.2127250728436851</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50225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t="e">
        <f ca="1">ROUND(H101*F45,0)</f>
        <v>#REF!</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45124</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9" t="s">
        <v>1340</v>
      </c>
      <c r="L48" s="3609"/>
      <c r="M48" s="3631" t="e">
        <f ca="1">H101</f>
        <v>#REF!</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抵押担保权已注销时的房地产抵押价值</v>
      </c>
      <c r="L49" s="3609"/>
      <c r="M49" s="3631" t="str">
        <f>IF(项目基本情况!E8="房地产抵押价值",H107,H109)</f>
        <v>——</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t="e">
        <f ca="1">ROUND(D45*'数据-取费表'!B41/(1+'数据-取费表'!C42),0)</f>
        <v>#REF!</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571" t="s">
        <v>2291</v>
      </c>
      <c r="C53" s="3572"/>
      <c r="D53" s="1087" t="e">
        <f ca="1">ROUND(D45*'数据-取费表'!B41/(1+'数据-取费表'!C42),0)</f>
        <v>#REF!</v>
      </c>
      <c r="E53" s="2334" t="s">
        <v>1354</v>
      </c>
      <c r="F53" s="2554">
        <f>'数据-取费表'!B41</f>
        <v>5.6000000000000001E-2</v>
      </c>
      <c r="G53" s="2555"/>
      <c r="H53" s="2544"/>
      <c r="I53" s="1807"/>
      <c r="J53" s="2523">
        <v>2</v>
      </c>
      <c r="K53" s="3610" t="s">
        <v>1357</v>
      </c>
      <c r="L53" s="3610"/>
      <c r="M53" s="2525" t="e">
        <f t="shared" ref="M53:O54" ca="1" si="0">D55</f>
        <v>#REF!</v>
      </c>
      <c r="N53" s="2523" t="str">
        <f t="shared" si="0"/>
        <v>销售额×税（费）率</v>
      </c>
      <c r="O53" s="2526" t="str">
        <f t="shared" si="0"/>
        <v>免征</v>
      </c>
    </row>
    <row r="54" spans="1:35" ht="12" customHeight="1">
      <c r="A54" s="2335" t="s">
        <v>1358</v>
      </c>
      <c r="B54" s="3571" t="s">
        <v>2292</v>
      </c>
      <c r="C54" s="3572"/>
      <c r="D54" s="1087" t="e">
        <f ca="1">C68</f>
        <v>#REF!</v>
      </c>
      <c r="E54" s="327" t="s">
        <v>1359</v>
      </c>
      <c r="F54" s="2554">
        <f>'数据-取费表'!B41</f>
        <v>5.6000000000000001E-2</v>
      </c>
      <c r="G54" s="2555"/>
      <c r="H54" s="2556"/>
      <c r="I54" s="1807"/>
      <c r="J54" s="2523">
        <v>3</v>
      </c>
      <c r="K54" s="3610" t="s">
        <v>1360</v>
      </c>
      <c r="L54" s="3610"/>
      <c r="M54" s="2525" t="e">
        <f t="shared" ca="1" si="0"/>
        <v>#REF!</v>
      </c>
      <c r="N54" s="2523" t="str">
        <f t="shared" si="0"/>
        <v>增值额×税（费）率</v>
      </c>
      <c r="O54" s="2527" t="str">
        <f t="shared" si="0"/>
        <v>免征</v>
      </c>
    </row>
    <row r="55" spans="1:35" ht="24" customHeight="1">
      <c r="A55" s="3560" t="s">
        <v>1361</v>
      </c>
      <c r="B55" s="3561"/>
      <c r="C55" s="3561"/>
      <c r="D55" s="2324" t="e">
        <f ca="1">IF(H55="个人住宅",0,ROUND(D45*I55,0))</f>
        <v>#REF!</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t="e">
        <f ca="1">D59</f>
        <v>#REF!</v>
      </c>
      <c r="N55" s="2040" t="str">
        <f>E59</f>
        <v>差额计税</v>
      </c>
      <c r="O55" s="2529">
        <f>F59</f>
        <v>0.01</v>
      </c>
    </row>
    <row r="56" spans="1:35" ht="24.75">
      <c r="A56" s="3560" t="s">
        <v>1363</v>
      </c>
      <c r="B56" s="3561"/>
      <c r="C56" s="3561"/>
      <c r="D56" s="2324" t="e">
        <f ca="1">IF(H56="个人住宅",D57,D58)</f>
        <v>#REF!</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0</v>
      </c>
      <c r="O57" s="2533"/>
      <c r="P57" s="2690" t="e">
        <f ca="1">N57/M49</f>
        <v>#VALUE!</v>
      </c>
    </row>
    <row r="58" spans="1:35" ht="24.75">
      <c r="A58" s="2335" t="s">
        <v>1352</v>
      </c>
      <c r="B58" s="3571" t="s">
        <v>1369</v>
      </c>
      <c r="C58" s="3545"/>
      <c r="D58" s="2324" t="e">
        <f ca="1">IF(H58="转让取得",C81,C97)</f>
        <v>#REF!</v>
      </c>
      <c r="E58" s="2334" t="s">
        <v>1364</v>
      </c>
      <c r="F58" s="302" t="s">
        <v>28</v>
      </c>
      <c r="G58" s="2555"/>
      <c r="H58" s="2558"/>
      <c r="I58" s="1808"/>
      <c r="J58" s="3610"/>
      <c r="K58" s="3610"/>
      <c r="L58" s="2530" t="s">
        <v>1370</v>
      </c>
      <c r="M58" s="2534"/>
      <c r="N58" s="2535" t="str">
        <f ca="1">NUMBERSTRING(INT(N57*10000),2)&amp;"元整"</f>
        <v>零元整</v>
      </c>
      <c r="O58" s="2536"/>
    </row>
    <row r="59" spans="1:35" ht="24.75" thickBot="1">
      <c r="A59" s="3613" t="s">
        <v>1371</v>
      </c>
      <c r="B59" s="3614"/>
      <c r="C59" s="361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2"/>
      <c r="K60" s="3610"/>
      <c r="L60" s="2530" t="s">
        <v>1370</v>
      </c>
      <c r="M60" s="2534"/>
      <c r="N60" s="2535" t="e">
        <f ca="1">NUMBERSTRING(INT(N59*10000),2)&amp;"元整"</f>
        <v>#VALUE!</v>
      </c>
      <c r="O60" s="2536"/>
    </row>
    <row r="61" spans="1:35" ht="13.5" thickBot="1">
      <c r="A61" s="3558" t="s">
        <v>1373</v>
      </c>
      <c r="B61" s="3558"/>
      <c r="C61" s="3558"/>
      <c r="D61" s="3558"/>
      <c r="E61" s="3558"/>
      <c r="F61" s="1808"/>
      <c r="G61" s="1808"/>
      <c r="H61" s="1810"/>
      <c r="I61" s="129"/>
      <c r="J61" s="2523">
        <f>J59+1</f>
        <v>7</v>
      </c>
      <c r="K61" s="3610" t="s">
        <v>1374</v>
      </c>
      <c r="L61" s="3610"/>
      <c r="M61" s="2540"/>
      <c r="N61" s="2541" t="e">
        <f ca="1">ROUND(N59*10000/'数据-汇总表'!E3,0)</f>
        <v>#VALUE!</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成本法 (元)</v>
      </c>
      <c r="D101" s="2586" t="str">
        <f>D4</f>
        <v>比较法-办公</v>
      </c>
      <c r="E101" s="3632" t="s">
        <v>1431</v>
      </c>
      <c r="F101" s="3589"/>
      <c r="G101" s="1827" t="s">
        <v>1432</v>
      </c>
      <c r="H101" s="2595" t="e">
        <f ca="1">H118</f>
        <v>#REF!</v>
      </c>
      <c r="I101" s="129"/>
    </row>
    <row r="102" spans="1:35" ht="18.75" customHeight="1">
      <c r="A102" s="3591" t="s">
        <v>1433</v>
      </c>
      <c r="B102" s="2584" t="s">
        <v>1432</v>
      </c>
      <c r="C102" s="2585">
        <f ca="1">IF(D32="楼面单价",ROUND(C19,0),C19)</f>
        <v>339.35680000000002</v>
      </c>
      <c r="D102" s="2586">
        <f ca="1">IF(D32="楼面单价",ROUND(D19,0),D19)</f>
        <v>750.90329999999994</v>
      </c>
      <c r="E102" s="3632"/>
      <c r="F102" s="3589"/>
      <c r="G102" s="1827" t="s">
        <v>1434</v>
      </c>
      <c r="H102" s="2555" t="e">
        <f ca="1">I118</f>
        <v>#REF!</v>
      </c>
      <c r="I102" s="129"/>
    </row>
    <row r="103" spans="1:35" ht="42.75" customHeight="1">
      <c r="A103" s="3591"/>
      <c r="B103" s="2584" t="s">
        <v>1434</v>
      </c>
      <c r="C103" s="2587">
        <f ca="1">C20</f>
        <v>25493</v>
      </c>
      <c r="D103" s="2588">
        <f ca="1">D20</f>
        <v>56408</v>
      </c>
      <c r="E103" s="3626" t="s">
        <v>1435</v>
      </c>
      <c r="F103" s="3627"/>
      <c r="G103" s="1828" t="s">
        <v>1436</v>
      </c>
      <c r="H103" s="2595">
        <f>IF(D36="正常操作",H104+H105+H106,H105+H106)</f>
        <v>0</v>
      </c>
      <c r="I103" s="129"/>
    </row>
    <row r="104" spans="1:35" ht="18.75" customHeight="1">
      <c r="A104" s="359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t="e">
        <f ca="1">IF(E107="——","——",H101-H103)</f>
        <v>#REF!</v>
      </c>
      <c r="I107" s="129"/>
    </row>
    <row r="108" spans="1:35" ht="18.75" customHeight="1">
      <c r="A108" s="129"/>
      <c r="B108" s="129"/>
      <c r="C108" s="129"/>
      <c r="D108" s="129"/>
      <c r="E108" s="3588"/>
      <c r="F108" s="3589"/>
      <c r="G108" s="1827" t="s">
        <v>1434</v>
      </c>
      <c r="H108" s="2555">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9" t="s">
        <v>1452</v>
      </c>
      <c r="B119" s="3559"/>
      <c r="C119" s="3559"/>
      <c r="D119" s="3599" t="e">
        <f ca="1">NUMBERSTRING(INT(D118*10000),2)&amp;"元整"</f>
        <v>#REF!</v>
      </c>
      <c r="E119" s="3601"/>
      <c r="F119" s="3599" t="e">
        <f ca="1">NUMBERSTRING(INT(F118*10000),2)&amp;"元整"</f>
        <v>#REF!</v>
      </c>
      <c r="G119" s="3601"/>
      <c r="H119" s="3599" t="e">
        <f ca="1">NUMBERSTRING(INT(H118*10000),2)&amp;"元整"</f>
        <v>#REF!</v>
      </c>
      <c r="I119" s="3601"/>
    </row>
    <row r="120" spans="1:27" ht="18.75" customHeight="1">
      <c r="A120" s="3623" t="str">
        <f>IF(项目基本情况!B9="房地产市场价值","",MID(E103,3,LEN(E103)-2))</f>
        <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
      </c>
      <c r="B122" s="3590"/>
      <c r="C122" s="3590"/>
      <c r="D122" s="3623" t="e">
        <f ca="1">H107</f>
        <v>#REF!</v>
      </c>
      <c r="E122" s="3624"/>
      <c r="F122" s="3624"/>
      <c r="G122" s="3624"/>
      <c r="H122" s="3624"/>
      <c r="I122" s="3625"/>
      <c r="AA122" s="725"/>
    </row>
    <row r="123" spans="1:27" ht="18.75" customHeight="1">
      <c r="A123" s="3559" t="s">
        <v>1452</v>
      </c>
      <c r="B123" s="3559"/>
      <c r="C123" s="3559"/>
      <c r="D123" s="3599" t="e">
        <f ca="1">NUMBERSTRING(INT(D122*10000),2)&amp;"元整"</f>
        <v>#REF!</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2875150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77</v>
      </c>
      <c r="D51" s="232"/>
      <c r="E51" s="232"/>
      <c r="F51" s="264"/>
      <c r="G51" s="234" t="s">
        <v>1560</v>
      </c>
    </row>
    <row r="52" spans="1:7" s="208" customFormat="1" ht="16.5" thickBot="1">
      <c r="A52" s="265" t="s">
        <v>1561</v>
      </c>
      <c r="B52" s="266"/>
      <c r="C52" s="267">
        <f ca="1">C31+C51</f>
        <v>38274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1" zoomScale="80" zoomScaleNormal="70" zoomScaleSheetLayoutView="8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37.49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231.9649</v>
      </c>
      <c r="C2" s="1387" t="s">
        <v>879</v>
      </c>
      <c r="D2" s="1471">
        <f ca="1">C40+J29+L46</f>
        <v>2319649</v>
      </c>
      <c r="E2" s="1388" t="s">
        <v>880</v>
      </c>
      <c r="F2" s="1389"/>
      <c r="G2" s="2706"/>
      <c r="H2" s="2695"/>
      <c r="I2" s="2695"/>
      <c r="J2" s="2695"/>
      <c r="K2" s="2696"/>
      <c r="L2" s="2695"/>
      <c r="M2" s="2695"/>
    </row>
    <row r="3" spans="1:37" ht="18" customHeight="1" thickBot="1">
      <c r="A3" s="1390" t="s">
        <v>881</v>
      </c>
      <c r="B3" s="1391">
        <f ca="1">IF(ISERROR(D2/F43),0,ROUND(D2/F43,0))</f>
        <v>17425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118949</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118800</v>
      </c>
      <c r="D6" s="155" t="s">
        <v>2106</v>
      </c>
      <c r="E6" s="302" t="s">
        <v>696</v>
      </c>
      <c r="F6" s="303">
        <f ca="1">INDIRECT("'数据-取费表'!u"&amp;$G$1)</f>
        <v>11000</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149</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765827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599040</v>
      </c>
      <c r="D14" s="1345" t="s">
        <v>708</v>
      </c>
      <c r="E14" s="1342"/>
      <c r="F14" s="319"/>
      <c r="G14" s="1384"/>
      <c r="H14" s="982" t="s">
        <v>398</v>
      </c>
      <c r="I14" s="302" t="s">
        <v>709</v>
      </c>
      <c r="J14" s="21">
        <f ca="1">C29</f>
        <v>900973</v>
      </c>
      <c r="K14" s="12"/>
      <c r="L14" s="807"/>
      <c r="M14" s="808"/>
    </row>
    <row r="15" spans="1:37" s="1397" customFormat="1" ht="18" customHeight="1" thickBot="1">
      <c r="A15" s="982" t="s">
        <v>399</v>
      </c>
      <c r="B15" s="302" t="s">
        <v>710</v>
      </c>
      <c r="C15" s="21">
        <f ca="1">ROUND(C14*F15,0)</f>
        <v>17971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13515</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8986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652621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13052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13515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-13515</v>
      </c>
      <c r="K25" s="1095" t="s">
        <v>753</v>
      </c>
      <c r="L25" s="1096"/>
      <c r="M25" s="1097"/>
    </row>
    <row r="26" spans="1:37" ht="18" customHeight="1">
      <c r="A26" s="982" t="s">
        <v>397</v>
      </c>
      <c r="B26" s="302" t="s">
        <v>754</v>
      </c>
      <c r="C26" s="21">
        <f ca="1">ROUND((C19+C20)*F26,0)</f>
        <v>133135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900973</v>
      </c>
      <c r="D29" s="1092"/>
      <c r="E29" s="1090"/>
      <c r="F29" s="1093"/>
      <c r="G29" s="1396"/>
      <c r="H29" s="334" t="s">
        <v>396</v>
      </c>
      <c r="I29" s="335" t="s">
        <v>768</v>
      </c>
      <c r="J29" s="336">
        <f ca="1">ROUND(J26/(1+F40)^F41,0)</f>
        <v>0</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23773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7920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13515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1149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1189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95176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2271228</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17062</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-253.45240000000001</v>
      </c>
      <c r="D45" s="3432" t="s">
        <v>3358</v>
      </c>
      <c r="E45" s="1400"/>
      <c r="F45" s="1400"/>
      <c r="O45" s="1403" t="s">
        <v>808</v>
      </c>
      <c r="P45" s="1461"/>
      <c r="Q45" s="1461"/>
      <c r="R45" s="1461"/>
    </row>
    <row r="46" spans="1:18" s="1384" customFormat="1" ht="13.5" thickBot="1">
      <c r="A46" s="1404" t="s">
        <v>809</v>
      </c>
      <c r="C46" s="1405">
        <f ca="1">ROUND(C45,0)</f>
        <v>-253</v>
      </c>
      <c r="D46" s="1406" t="str">
        <f>C2</f>
        <v>万元</v>
      </c>
      <c r="I46" s="1407" t="s">
        <v>810</v>
      </c>
      <c r="J46" s="1408"/>
      <c r="K46" s="1409"/>
      <c r="L46" s="1410">
        <f ca="1">IF(M47="住宅",0,IF(L48&gt;J51,L60,J60))</f>
        <v>48421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2271228</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37.49</v>
      </c>
      <c r="O48" s="1418" t="s">
        <v>404</v>
      </c>
      <c r="P48" s="1419" t="s">
        <v>821</v>
      </c>
      <c r="Q48" s="1420">
        <f ca="1">J60</f>
        <v>48421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900973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1146927</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37.49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37.49</v>
      </c>
      <c r="K53" s="3642" t="s">
        <v>837</v>
      </c>
      <c r="L53" s="3643"/>
      <c r="O53" s="1418" t="s">
        <v>409</v>
      </c>
      <c r="P53" s="1419" t="s">
        <v>838</v>
      </c>
      <c r="Q53" s="1420">
        <f ca="1">Q47+Q48</f>
        <v>2319649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765827</v>
      </c>
      <c r="D56" s="1447"/>
      <c r="E56" s="1448"/>
      <c r="F56" s="1440"/>
      <c r="I56" s="1449" t="s">
        <v>842</v>
      </c>
      <c r="J56" s="1450" t="s">
        <v>3398</v>
      </c>
      <c r="K56" s="1421" t="s">
        <v>843</v>
      </c>
      <c r="L56" s="1424" t="str">
        <f ca="1">IF(L48&lt;J51,"——",L48-J51)</f>
        <v>——</v>
      </c>
      <c r="O56" s="1418" t="s">
        <v>403</v>
      </c>
      <c r="P56" s="1419" t="s">
        <v>817</v>
      </c>
      <c r="Q56" s="1420">
        <f ca="1">C40+J29</f>
        <v>2271228</v>
      </c>
      <c r="R56" s="1420" t="s">
        <v>818</v>
      </c>
    </row>
    <row r="57" spans="1:18" s="1384" customFormat="1" ht="24.75" thickBot="1">
      <c r="A57" s="1451"/>
      <c r="B57" s="950" t="s">
        <v>767</v>
      </c>
      <c r="C57" s="238">
        <f ca="1">C29</f>
        <v>900973</v>
      </c>
      <c r="D57" s="1452"/>
      <c r="E57" s="1453"/>
      <c r="F57" s="1454"/>
      <c r="I57" s="1455" t="s">
        <v>844</v>
      </c>
      <c r="J57" s="1456">
        <f ca="1">IF(OR(M47="住宅",J51&lt;L48,J56="是"),"——",J51-L48)</f>
        <v>13.509999999999998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14664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48421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2271228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13515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1149</v>
      </c>
      <c r="D65" s="964" t="s">
        <v>743</v>
      </c>
      <c r="E65" s="950" t="s">
        <v>744</v>
      </c>
      <c r="F65" s="330">
        <f t="shared" ca="1" si="0"/>
        <v>1.5E-3</v>
      </c>
      <c r="I65" s="1462" t="s">
        <v>867</v>
      </c>
      <c r="J65" s="1463">
        <v>40</v>
      </c>
      <c r="K65" s="1463">
        <v>30</v>
      </c>
      <c r="L65" s="1463">
        <v>50</v>
      </c>
      <c r="M65" s="1465">
        <v>0.02</v>
      </c>
      <c r="O65" s="1418" t="s">
        <v>403</v>
      </c>
      <c r="P65" s="1419" t="s">
        <v>868</v>
      </c>
      <c r="Q65" s="1420">
        <f ca="1">C40+J29</f>
        <v>2271228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-14664</v>
      </c>
      <c r="D67" s="963" t="s">
        <v>753</v>
      </c>
      <c r="E67" s="968"/>
      <c r="F67" s="969"/>
      <c r="O67" s="1428" t="s">
        <v>405</v>
      </c>
      <c r="P67" s="1419" t="s">
        <v>850</v>
      </c>
      <c r="Q67" s="1466">
        <f ca="1">L51</f>
        <v>1146927</v>
      </c>
      <c r="R67" s="1420" t="s">
        <v>870</v>
      </c>
    </row>
    <row r="68" spans="1:18" s="1384" customFormat="1" ht="16.5" thickBot="1">
      <c r="A68" s="947" t="s">
        <v>395</v>
      </c>
      <c r="B68" s="948" t="s">
        <v>774</v>
      </c>
      <c r="C68" s="301">
        <f ca="1">ROUND(C67*(1-((1+F70)/(1+F68))^F69)/(F68-F70),0)</f>
        <v>-263296</v>
      </c>
      <c r="D68" s="965" t="s">
        <v>758</v>
      </c>
      <c r="E68" s="950" t="s">
        <v>759</v>
      </c>
      <c r="F68" s="312">
        <f ca="1">F40</f>
        <v>4.4999999999999998E-2</v>
      </c>
      <c r="O68" s="1428" t="s">
        <v>406</v>
      </c>
      <c r="P68" s="1467" t="s">
        <v>871</v>
      </c>
      <c r="Q68" s="1420">
        <f ca="1">ROUND(Q69-Q70*Q71,0)</f>
        <v>53056</v>
      </c>
      <c r="R68" s="1420" t="s">
        <v>414</v>
      </c>
    </row>
    <row r="69" spans="1:18" s="1384" customFormat="1" ht="13.5" thickBot="1">
      <c r="A69" s="951"/>
      <c r="B69" s="952"/>
      <c r="C69" s="306"/>
      <c r="D69" s="970" t="s">
        <v>762</v>
      </c>
      <c r="E69" s="950" t="s">
        <v>763</v>
      </c>
      <c r="F69" s="333">
        <f ca="1">F41</f>
        <v>37.49</v>
      </c>
      <c r="O69" s="1428" t="s">
        <v>411</v>
      </c>
      <c r="P69" s="1467" t="s">
        <v>872</v>
      </c>
      <c r="Q69" s="1420">
        <f ca="1">C39</f>
        <v>95176</v>
      </c>
      <c r="R69" s="1420" t="s">
        <v>818</v>
      </c>
    </row>
    <row r="70" spans="1:18" s="1384" customFormat="1" ht="13.5" thickBot="1">
      <c r="A70" s="954"/>
      <c r="B70" s="955"/>
      <c r="C70" s="310"/>
      <c r="D70" s="966"/>
      <c r="E70" s="950" t="s">
        <v>766</v>
      </c>
      <c r="F70" s="1054"/>
      <c r="O70" s="1428" t="s">
        <v>412</v>
      </c>
      <c r="P70" s="1467" t="s">
        <v>873</v>
      </c>
      <c r="Q70" s="1420">
        <f ca="1">C13</f>
        <v>765827</v>
      </c>
      <c r="R70" s="1420" t="s">
        <v>818</v>
      </c>
    </row>
    <row r="71" spans="1:18" s="1384" customFormat="1" ht="13.5" thickBot="1">
      <c r="A71" s="971" t="s">
        <v>396</v>
      </c>
      <c r="B71" s="972" t="s">
        <v>776</v>
      </c>
      <c r="C71" s="336">
        <f ca="1">ROUND(C68/F71,0)</f>
        <v>-1978</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42120</v>
      </c>
      <c r="D75" s="1384"/>
      <c r="E75" s="1384"/>
      <c r="F75" s="1384"/>
      <c r="K75" s="1402"/>
      <c r="L75" s="1384"/>
      <c r="O75" s="1418" t="s">
        <v>409</v>
      </c>
      <c r="P75" s="1419" t="s">
        <v>838</v>
      </c>
      <c r="Q75" s="1420">
        <f ca="1">Q65+Q66</f>
        <v>2271228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0.55699999999999994</v>
      </c>
    </row>
    <row r="80" spans="1:18">
      <c r="B80" s="340" t="s">
        <v>800</v>
      </c>
      <c r="C80" s="274">
        <f ca="1">ROUND(C75/C39,3)</f>
        <v>0.443</v>
      </c>
    </row>
    <row r="81" spans="2:3">
      <c r="B81" s="270" t="s">
        <v>801</v>
      </c>
      <c r="C81" s="238"/>
    </row>
    <row r="82" spans="2:3">
      <c r="B82" s="273" t="s">
        <v>802</v>
      </c>
      <c r="C82" s="275">
        <f ca="1">1-C83</f>
        <v>0.66300000000000003</v>
      </c>
    </row>
    <row r="83" spans="2:3">
      <c r="B83" s="273" t="s">
        <v>803</v>
      </c>
      <c r="C83" s="274">
        <f ca="1">ROUND(C13/C40,3)</f>
        <v>0.33700000000000002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53" t="s">
        <v>2320</v>
      </c>
      <c r="K2" s="365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5" t="s">
        <v>2330</v>
      </c>
      <c r="K3" s="365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5" t="s">
        <v>2332</v>
      </c>
      <c r="K4" s="365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1" t="s">
        <v>2336</v>
      </c>
      <c r="B6" s="3662"/>
      <c r="C6" s="3663"/>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4" t="s">
        <v>2350</v>
      </c>
      <c r="C8" s="3665"/>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4" t="s">
        <v>2356</v>
      </c>
      <c r="C9" s="3665"/>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64" t="s">
        <v>2359</v>
      </c>
      <c r="C10" s="3665"/>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64" t="s">
        <v>2362</v>
      </c>
      <c r="C11" s="3665"/>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3" t="s">
        <v>2320</v>
      </c>
      <c r="K32" s="365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5" t="s">
        <v>2330</v>
      </c>
      <c r="K33" s="365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5" t="s">
        <v>2332</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231.9649</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17425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6" t="s">
        <v>1654</v>
      </c>
      <c r="C5" s="366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231.9649</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96" t="s">
        <v>1668</v>
      </c>
      <c r="S4" s="3697"/>
      <c r="T4" s="3696" t="s">
        <v>1669</v>
      </c>
      <c r="U4" s="3697"/>
      <c r="V4" s="3702" t="s">
        <v>1670</v>
      </c>
      <c r="W4" s="3702"/>
      <c r="X4" s="1355"/>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90"/>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1890"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09"/>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7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5" t="s">
        <v>1696</v>
      </c>
      <c r="Q32" s="1352" t="str">
        <f t="shared" si="11"/>
        <v>建筑类型</v>
      </c>
      <c r="R32" s="705" t="s">
        <v>18</v>
      </c>
      <c r="S32" s="706">
        <f t="shared" si="12"/>
        <v>100</v>
      </c>
      <c r="T32" s="705" t="s">
        <v>18</v>
      </c>
      <c r="U32" s="706">
        <f t="shared" si="13"/>
        <v>100</v>
      </c>
      <c r="V32" s="705" t="s">
        <v>18</v>
      </c>
      <c r="W32" s="706">
        <f t="shared" si="14"/>
        <v>100</v>
      </c>
      <c r="X32" s="1355"/>
      <c r="Y32" s="367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6"/>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6"/>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6"/>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6"/>
      <c r="Q37" s="1343"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6"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6"/>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6"/>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6"/>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6"/>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6"/>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6"/>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7"/>
      <c r="Q46" s="1352">
        <f t="shared" si="11"/>
        <v>111</v>
      </c>
      <c r="R46" s="705" t="s">
        <v>17</v>
      </c>
      <c r="S46" s="706">
        <f t="shared" si="12"/>
        <v>100</v>
      </c>
      <c r="T46" s="705" t="s">
        <v>17</v>
      </c>
      <c r="U46" s="706">
        <f t="shared" si="13"/>
        <v>100</v>
      </c>
      <c r="V46" s="705" t="s">
        <v>17</v>
      </c>
      <c r="W46" s="706">
        <f t="shared" si="14"/>
        <v>100</v>
      </c>
      <c r="X46" s="1355"/>
      <c r="Y46" s="367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702"/>
      <c r="AC6" s="3685"/>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7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7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5"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6"/>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6"/>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6"/>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6"/>
      <c r="Q36" s="1352" t="str">
        <f t="shared" si="11"/>
        <v>成新度</v>
      </c>
      <c r="R36" s="705" t="s">
        <v>14</v>
      </c>
      <c r="S36" s="706" t="e">
        <f t="shared" si="12"/>
        <v>#N/A</v>
      </c>
      <c r="T36" s="705" t="s">
        <v>14</v>
      </c>
      <c r="U36" s="706" t="e">
        <f t="shared" si="13"/>
        <v>#N/A</v>
      </c>
      <c r="V36" s="705" t="s">
        <v>14</v>
      </c>
      <c r="W36" s="706" t="e">
        <f t="shared" si="14"/>
        <v>#N/A</v>
      </c>
      <c r="X36" s="1355"/>
      <c r="Y36" s="367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6"/>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6"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6"/>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6"/>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6"/>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6"/>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6"/>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6"/>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1" t="str">
        <f>A47</f>
        <v>成交单价（元/平方米）</v>
      </c>
      <c r="Q47" s="3671"/>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4"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2">
        <f t="shared" si="11"/>
        <v>111</v>
      </c>
      <c r="R40" s="705" t="s">
        <v>14</v>
      </c>
      <c r="S40" s="706">
        <f t="shared" si="12"/>
        <v>100</v>
      </c>
      <c r="T40" s="705" t="s">
        <v>14</v>
      </c>
      <c r="U40" s="706">
        <f t="shared" si="13"/>
        <v>100</v>
      </c>
      <c r="V40" s="705" t="s">
        <v>14</v>
      </c>
      <c r="W40" s="706">
        <f t="shared" si="14"/>
        <v>100</v>
      </c>
      <c r="X40" s="1355"/>
      <c r="Y40" s="367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4"/>
      <c r="Q15" s="1352"/>
      <c r="R15" s="705"/>
      <c r="S15" s="706"/>
      <c r="T15" s="705"/>
      <c r="U15" s="706"/>
      <c r="V15" s="705"/>
      <c r="W15" s="706"/>
      <c r="X15" s="1355"/>
      <c r="Y15" s="367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4"/>
      <c r="Q17" s="1352"/>
      <c r="R17" s="705"/>
      <c r="S17" s="706"/>
      <c r="T17" s="705"/>
      <c r="U17" s="706"/>
      <c r="V17" s="705"/>
      <c r="W17" s="706"/>
      <c r="X17" s="1355"/>
      <c r="Y17" s="367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4"/>
      <c r="Q19" s="1352"/>
      <c r="R19" s="705"/>
      <c r="S19" s="706"/>
      <c r="T19" s="705"/>
      <c r="U19" s="706"/>
      <c r="V19" s="705"/>
      <c r="W19" s="706"/>
      <c r="X19" s="1355"/>
      <c r="Y19" s="367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4"/>
      <c r="Q21" s="1352"/>
      <c r="R21" s="705"/>
      <c r="S21" s="706"/>
      <c r="T21" s="705"/>
      <c r="U21" s="706"/>
      <c r="V21" s="705"/>
      <c r="W21" s="706"/>
      <c r="X21" s="1355"/>
      <c r="Y21" s="367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8" t="str">
        <f>A39</f>
        <v>估价对象XX用房的比较价值（楼面单价，元/平方米）</v>
      </c>
      <c r="Q39" s="3669"/>
      <c r="R39" s="3715" t="e">
        <f>IF(F1="售价",ROUND(IF(D38="简单平均",AVERAGE(R38:W38),R38*F38+T38*H38+V38*J38),0),ROUND(IF(D38="简单平均",AVERAGE(R38:V38),R38*F38+T38*H38+V38*J38),1))</f>
        <v>#DIV/0!</v>
      </c>
      <c r="S39" s="3715"/>
      <c r="T39" s="3715"/>
      <c r="U39" s="3715"/>
      <c r="V39" s="3715"/>
      <c r="W39" s="371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4"/>
      <c r="Q15" s="1352"/>
      <c r="R15" s="705"/>
      <c r="S15" s="706"/>
      <c r="T15" s="705"/>
      <c r="U15" s="706"/>
      <c r="V15" s="705"/>
      <c r="W15" s="706"/>
      <c r="X15" s="1355"/>
      <c r="Y15" s="367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4"/>
      <c r="Q17" s="1352"/>
      <c r="R17" s="705"/>
      <c r="S17" s="706"/>
      <c r="T17" s="705"/>
      <c r="U17" s="706"/>
      <c r="V17" s="705"/>
      <c r="W17" s="706"/>
      <c r="X17" s="1355"/>
      <c r="Y17" s="367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4"/>
      <c r="Q19" s="1352"/>
      <c r="R19" s="705"/>
      <c r="S19" s="706"/>
      <c r="T19" s="705"/>
      <c r="U19" s="706"/>
      <c r="V19" s="705"/>
      <c r="W19" s="706"/>
      <c r="X19" s="1355"/>
      <c r="Y19" s="367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4"/>
      <c r="Q21" s="1352"/>
      <c r="R21" s="705"/>
      <c r="S21" s="706"/>
      <c r="T21" s="705"/>
      <c r="U21" s="706"/>
      <c r="V21" s="705"/>
      <c r="W21" s="706"/>
      <c r="X21" s="1355"/>
      <c r="Y21" s="367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8" t="str">
        <f>A37</f>
        <v>估价对象XX用房的比较价值（楼面单价，元/平方米）</v>
      </c>
      <c r="Q37" s="3669"/>
      <c r="R37" s="3715" t="e">
        <f>IF(F1="售价",ROUND(IF(D36="简单平均",AVERAGE(R36:W36),R36*F36+T36*H36+V36*J36),0),ROUND(IF(D36="简单平均",AVERAGE(R36:V36),R36*F36+T36*H36+V36*J36),1))</f>
        <v>#DIV/0!</v>
      </c>
      <c r="S37" s="3715"/>
      <c r="T37" s="3715"/>
      <c r="U37" s="3715"/>
      <c r="V37" s="3715"/>
      <c r="W37" s="371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1"/>
      <c r="Q10" s="1343" t="str">
        <f t="shared" si="6"/>
        <v>土地使用年限（年）</v>
      </c>
      <c r="R10" s="701" t="s">
        <v>14</v>
      </c>
      <c r="S10" s="702">
        <f t="shared" si="0"/>
        <v>112</v>
      </c>
      <c r="T10" s="701" t="s">
        <v>14</v>
      </c>
      <c r="U10" s="702">
        <f t="shared" si="1"/>
        <v>112</v>
      </c>
      <c r="V10" s="701" t="s">
        <v>14</v>
      </c>
      <c r="W10" s="702">
        <f t="shared" si="2"/>
        <v>112</v>
      </c>
      <c r="X10" s="703"/>
      <c r="Y10" s="3546"/>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1"/>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3" t="s">
        <v>1691</v>
      </c>
      <c r="Q15" s="1352" t="str">
        <f t="shared" si="6"/>
        <v>居住社区成熟度</v>
      </c>
      <c r="R15" s="705" t="s">
        <v>14</v>
      </c>
      <c r="S15" s="706">
        <f t="shared" si="0"/>
        <v>100</v>
      </c>
      <c r="T15" s="705" t="s">
        <v>14</v>
      </c>
      <c r="U15" s="706">
        <f t="shared" si="1"/>
        <v>100</v>
      </c>
      <c r="V15" s="705" t="s">
        <v>14</v>
      </c>
      <c r="W15" s="706">
        <f t="shared" si="2"/>
        <v>100</v>
      </c>
      <c r="X15" s="1355"/>
      <c r="Y15" s="367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4"/>
      <c r="Q20" s="1352"/>
      <c r="R20" s="705"/>
      <c r="S20" s="706"/>
      <c r="T20" s="705"/>
      <c r="U20" s="706"/>
      <c r="V20" s="705"/>
      <c r="W20" s="706"/>
      <c r="X20" s="1355"/>
      <c r="Y20" s="367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4"/>
      <c r="Q24" s="1352"/>
      <c r="R24" s="705"/>
      <c r="S24" s="706"/>
      <c r="T24" s="705"/>
      <c r="U24" s="706"/>
      <c r="V24" s="705"/>
      <c r="W24" s="706"/>
      <c r="X24" s="1355"/>
      <c r="Y24" s="367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4"/>
      <c r="Q26" s="1352"/>
      <c r="R26" s="705"/>
      <c r="S26" s="706"/>
      <c r="T26" s="705"/>
      <c r="U26" s="706"/>
      <c r="V26" s="705"/>
      <c r="W26" s="706"/>
      <c r="X26" s="1355"/>
      <c r="Y26" s="367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4"/>
      <c r="Q28" s="1343"/>
      <c r="R28" s="701"/>
      <c r="S28" s="702"/>
      <c r="T28" s="701"/>
      <c r="U28" s="702"/>
      <c r="V28" s="701"/>
      <c r="W28" s="702"/>
      <c r="X28" s="703"/>
      <c r="Y28" s="367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4"/>
      <c r="Q30" s="1343"/>
      <c r="R30" s="701"/>
      <c r="S30" s="702"/>
      <c r="T30" s="701"/>
      <c r="U30" s="702"/>
      <c r="V30" s="701"/>
      <c r="W30" s="702"/>
      <c r="X30" s="703"/>
      <c r="Y30" s="367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4"/>
      <c r="Q33" s="1352"/>
      <c r="R33" s="705"/>
      <c r="S33" s="706"/>
      <c r="T33" s="705"/>
      <c r="U33" s="706"/>
      <c r="V33" s="705"/>
      <c r="W33" s="706"/>
      <c r="X33" s="1355"/>
      <c r="Y33" s="367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4"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1" t="str">
        <f>A47</f>
        <v>比较价值（元/平方米）</v>
      </c>
      <c r="Q47" s="3671"/>
      <c r="R47" s="3716" t="e">
        <f>ROUND(PRODUCT(R46,AA7:AA45),0)</f>
        <v>#DIV/0!</v>
      </c>
      <c r="S47" s="3716"/>
      <c r="T47" s="3716" t="e">
        <f>ROUND(PRODUCT(T46,AB7:AB45),0)</f>
        <v>#DIV/0!</v>
      </c>
      <c r="U47" s="3716"/>
      <c r="V47" s="3716" t="e">
        <f>ROUND(PRODUCT(V46,AC7:AC45),0)</f>
        <v>#DIV/0!</v>
      </c>
      <c r="W47" s="371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8" t="str">
        <f>A48</f>
        <v>估价对象XX用房的比较价值（楼面单价，元/平方米）</v>
      </c>
      <c r="Q48" s="3669"/>
      <c r="R48" s="3717" t="e">
        <f>ROUND(IF(D47="简单平均",AVERAGE(R47:W47),R47*F47+T47*H47+V47*J47),0)</f>
        <v>#DIV/0!</v>
      </c>
      <c r="S48" s="3717"/>
      <c r="T48" s="3717"/>
      <c r="U48" s="3717"/>
      <c r="V48" s="3717"/>
      <c r="W48" s="371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1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82"/>
      <c r="H56" s="367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19" t="s">
        <v>1919</v>
      </c>
      <c r="D6" s="3720"/>
      <c r="E6" s="3721" t="s">
        <v>1919</v>
      </c>
      <c r="F6" s="3722"/>
      <c r="G6" s="3719" t="s">
        <v>1919</v>
      </c>
      <c r="H6" s="3720"/>
      <c r="I6" s="3719" t="s">
        <v>1919</v>
      </c>
      <c r="J6" s="3720"/>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1"/>
      <c r="Q10" s="1343" t="str">
        <f t="shared" si="6"/>
        <v>土地使用年限（年）</v>
      </c>
      <c r="R10" s="701" t="s">
        <v>14</v>
      </c>
      <c r="S10" s="702">
        <f t="shared" si="0"/>
        <v>112</v>
      </c>
      <c r="T10" s="701" t="s">
        <v>14</v>
      </c>
      <c r="U10" s="702">
        <f t="shared" si="1"/>
        <v>112</v>
      </c>
      <c r="V10" s="701" t="s">
        <v>14</v>
      </c>
      <c r="W10" s="702">
        <f t="shared" si="2"/>
        <v>112</v>
      </c>
      <c r="X10" s="703"/>
      <c r="Y10" s="3546"/>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4"/>
      <c r="Q20" s="1352"/>
      <c r="R20" s="705"/>
      <c r="S20" s="706"/>
      <c r="T20" s="705"/>
      <c r="U20" s="706"/>
      <c r="V20" s="705"/>
      <c r="W20" s="706"/>
      <c r="X20" s="1355"/>
      <c r="Y20" s="367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4"/>
      <c r="Q24" s="1343"/>
      <c r="R24" s="701"/>
      <c r="S24" s="702"/>
      <c r="T24" s="701"/>
      <c r="U24" s="702"/>
      <c r="V24" s="701"/>
      <c r="W24" s="702"/>
      <c r="X24" s="703"/>
      <c r="Y24" s="367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4"/>
      <c r="Q26" s="1343"/>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4"/>
      <c r="Q29" s="1352"/>
      <c r="R29" s="705"/>
      <c r="S29" s="706"/>
      <c r="T29" s="705"/>
      <c r="U29" s="706"/>
      <c r="V29" s="705"/>
      <c r="W29" s="706"/>
      <c r="X29" s="1355"/>
      <c r="Y29" s="367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4"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1" t="str">
        <f>A42</f>
        <v>比较价值（元/平方米）</v>
      </c>
      <c r="Q42" s="3671"/>
      <c r="R42" s="3716" t="e">
        <f>ROUND(PRODUCT(R41,AA7:AA40),0)</f>
        <v>#DIV/0!</v>
      </c>
      <c r="S42" s="3716"/>
      <c r="T42" s="3716" t="e">
        <f>ROUND(PRODUCT(T41,AB7:AB40),0)</f>
        <v>#DIV/0!</v>
      </c>
      <c r="U42" s="3716"/>
      <c r="V42" s="3716" t="e">
        <f>ROUND(PRODUCT(V41,AC7:AC40),0)</f>
        <v>#DIV/0!</v>
      </c>
      <c r="W42" s="371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8" t="str">
        <f>A43</f>
        <v>估价对象XX用房的比较价值（楼面单价，元/平方米）</v>
      </c>
      <c r="Q43" s="3669"/>
      <c r="R43" s="3717" t="e">
        <f>ROUND(IF(D42="简单平均",AVERAGE(R42:W42),R42*F42+T42*H42+V42*J42),0)</f>
        <v>#DIV/0!</v>
      </c>
      <c r="S43" s="3717"/>
      <c r="T43" s="3717"/>
      <c r="U43" s="3717"/>
      <c r="V43" s="3717"/>
      <c r="W43" s="371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1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82"/>
      <c r="H51" s="367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6" t="s">
        <v>2084</v>
      </c>
      <c r="D1" s="3727"/>
      <c r="E1" s="3727"/>
      <c r="F1" s="3727"/>
      <c r="G1" s="3727"/>
      <c r="H1" s="3727"/>
      <c r="I1" s="3727"/>
      <c r="J1" s="3727"/>
      <c r="K1" s="3727"/>
      <c r="L1" s="3727"/>
      <c r="M1" s="3727"/>
      <c r="N1" s="3727"/>
      <c r="O1" s="3727"/>
      <c r="P1" s="3727"/>
      <c r="Q1" s="3727"/>
      <c r="R1" s="3727"/>
      <c r="S1" s="372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3" t="s">
        <v>27</v>
      </c>
      <c r="D22" s="3724"/>
      <c r="E22" s="3724"/>
      <c r="F22" s="3724"/>
      <c r="G22" s="3724"/>
      <c r="H22" s="3724"/>
      <c r="I22" s="3724"/>
      <c r="J22" s="3724"/>
      <c r="K22" s="3724"/>
      <c r="L22" s="3724"/>
      <c r="M22" s="3724"/>
      <c r="N22" s="3724"/>
      <c r="O22" s="3724"/>
      <c r="P22" s="3724"/>
      <c r="Q22" s="372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13146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topLeftCell="A31"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339.35680000000002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25493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1831778.08</v>
      </c>
      <c r="D5" s="211" t="s">
        <v>1469</v>
      </c>
      <c r="E5" s="212" t="s">
        <v>1470</v>
      </c>
      <c r="F5" s="212" t="s">
        <v>1471</v>
      </c>
      <c r="G5" s="213"/>
    </row>
    <row r="6" spans="1:8" s="214" customFormat="1" ht="13.5" customHeight="1">
      <c r="A6" s="778" t="s">
        <v>1472</v>
      </c>
      <c r="B6" s="215" t="s">
        <v>1473</v>
      </c>
      <c r="C6" s="216">
        <f>基准地价修正!C33*基准地价修正!D33</f>
        <v>1751726.0800000001</v>
      </c>
      <c r="D6" s="217"/>
      <c r="E6" s="218"/>
      <c r="F6" s="218"/>
      <c r="G6" s="219"/>
    </row>
    <row r="7" spans="1:8" s="214" customFormat="1" ht="13.5" customHeight="1">
      <c r="A7" s="778" t="s">
        <v>1474</v>
      </c>
      <c r="B7" s="215" t="s">
        <v>1475</v>
      </c>
      <c r="C7" s="220">
        <f>ROUND(C6*F7,0)</f>
        <v>53428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36636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179892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178152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373683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373683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2627741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652621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599040</v>
      </c>
      <c r="D34" s="217"/>
      <c r="E34" s="220"/>
      <c r="F34" s="257"/>
      <c r="G34" s="219"/>
    </row>
    <row r="35" spans="1:7" ht="13.5" customHeight="1">
      <c r="A35" s="780" t="s">
        <v>351</v>
      </c>
      <c r="B35" s="215" t="s">
        <v>1527</v>
      </c>
      <c r="C35" s="220">
        <f ca="1">ROUND(C34*F35,0)</f>
        <v>17971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8986</v>
      </c>
      <c r="D38" s="220"/>
      <c r="E38" s="220"/>
      <c r="F38" s="259">
        <f>'数据-取费表'!B36</f>
        <v>1.4999999999999999E-2</v>
      </c>
      <c r="G38" s="219" t="s">
        <v>1528</v>
      </c>
    </row>
    <row r="39" spans="1:7" s="214" customFormat="1" ht="13.5" customHeight="1">
      <c r="A39" s="255" t="s">
        <v>1534</v>
      </c>
      <c r="B39" s="210" t="s">
        <v>1535</v>
      </c>
      <c r="C39" s="232">
        <f ca="1">ROUND(C33*F20,0)</f>
        <v>13052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31619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30999</v>
      </c>
      <c r="D42" s="238"/>
      <c r="E42" s="238"/>
      <c r="F42" s="239"/>
      <c r="G42" s="3639" t="s">
        <v>1591</v>
      </c>
    </row>
    <row r="43" spans="1:7" ht="13.5" customHeight="1">
      <c r="A43" s="780" t="s">
        <v>347</v>
      </c>
      <c r="B43" s="215" t="s">
        <v>1545</v>
      </c>
      <c r="C43" s="238">
        <f ca="1">ROUND(IF('数据-取费表'!B22&lt;=1,C39*F22*'数据-取费表'!B20/2,C39*(POWER((1+F22),'数据-取费表'!B20/2)-1)),0)</f>
        <v>620</v>
      </c>
      <c r="D43" s="238"/>
      <c r="E43" s="238"/>
      <c r="F43" s="239"/>
      <c r="G43" s="3640"/>
    </row>
    <row r="44" spans="1:7" ht="13.5" customHeight="1">
      <c r="A44" s="780"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133135</v>
      </c>
      <c r="D45" s="235">
        <f ca="1">C47</f>
        <v>4.0000000000000001E-3</v>
      </c>
      <c r="E45" s="236" t="s">
        <v>1539</v>
      </c>
      <c r="F45" s="246">
        <f ca="1">F27</f>
        <v>0.2</v>
      </c>
      <c r="G45" s="247" t="s">
        <v>1548</v>
      </c>
    </row>
    <row r="46" spans="1:7" s="214" customFormat="1" ht="13.5" customHeight="1">
      <c r="A46" s="780" t="s">
        <v>346</v>
      </c>
      <c r="B46" s="248" t="s">
        <v>1549</v>
      </c>
      <c r="C46" s="249">
        <f ca="1">ROUND((C33+C39)*F27,0)</f>
        <v>133135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900973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765827</v>
      </c>
      <c r="D51" s="232"/>
      <c r="E51" s="232"/>
      <c r="F51" s="264"/>
      <c r="G51" s="234" t="s">
        <v>1560</v>
      </c>
    </row>
    <row r="52" spans="1:7" s="208" customFormat="1" ht="16.5" thickBot="1">
      <c r="A52" s="265" t="s">
        <v>1561</v>
      </c>
      <c r="B52" s="266"/>
      <c r="C52" s="267">
        <f ca="1">C31+C51</f>
        <v>3393568</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8"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22187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13146</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17488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6"/>
      <c r="B4" s="3737"/>
      <c r="C4" s="3737"/>
      <c r="D4" s="3738"/>
      <c r="E4" s="3738"/>
      <c r="F4" s="3738"/>
      <c r="G4" s="3738"/>
      <c r="H4" s="3738"/>
      <c r="I4" s="3738"/>
      <c r="J4" s="373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14780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14770</v>
      </c>
      <c r="D5" s="1339">
        <f>ROUND(C6*C17+C20,0)</f>
        <v>14770</v>
      </c>
      <c r="E5" s="1339"/>
      <c r="F5" s="2007"/>
      <c r="G5" s="2008"/>
      <c r="H5" s="2008"/>
      <c r="I5" s="2008"/>
      <c r="J5" s="2009"/>
      <c r="K5" s="2010"/>
      <c r="L5" s="2003" t="s">
        <v>1948</v>
      </c>
      <c r="M5" s="864">
        <f>SUMPRODUCT((区片价!B87:B126=I2)*(区片价!C3:G3=E2)*(区片价!C87:G126))</f>
        <v>14790</v>
      </c>
      <c r="N5" s="866">
        <f>SUMPRODUCT((因素修正幅度!B87:B126=I2)*(因素修正幅度!C3:G3=E2)*(因素修正幅度!C87:G126))</f>
        <v>0.1</v>
      </c>
      <c r="O5" s="1119"/>
      <c r="P5" s="1119"/>
      <c r="Q5" s="1119"/>
      <c r="R5" s="1212">
        <v>4</v>
      </c>
      <c r="S5" s="3361">
        <f>ROUND(SUMPRODUCT((B106:B110=R5)*(C105:N105=G2)*(C106:N110)),4)</f>
        <v>0.88239999999999996</v>
      </c>
      <c r="T5" s="3361">
        <f t="shared" si="0"/>
        <v>13035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12527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3" t="s">
        <v>1960</v>
      </c>
      <c r="X8" s="373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0" t="s">
        <v>3259</v>
      </c>
      <c r="B20" s="167" t="s">
        <v>1994</v>
      </c>
      <c r="C20" s="3325">
        <f>ROUND(IF(F21="与级别开发程度一致",0,(G21-E21)/C21),0)</f>
        <v>-20</v>
      </c>
      <c r="D20" s="3341" t="s">
        <v>1998</v>
      </c>
      <c r="E20" s="3342"/>
      <c r="F20" s="3746" t="s">
        <v>1995</v>
      </c>
      <c r="G20" s="3747"/>
      <c r="H20" s="3326" t="s">
        <v>3409</v>
      </c>
      <c r="I20" s="3326" t="s">
        <v>3410</v>
      </c>
      <c r="J20" s="3327" t="s">
        <v>3412</v>
      </c>
      <c r="K20" s="2047" t="s">
        <v>3413</v>
      </c>
      <c r="L20" s="2047" t="s">
        <v>3414</v>
      </c>
      <c r="M20" s="2047" t="s">
        <v>3415</v>
      </c>
      <c r="N20" s="2047" t="s">
        <v>3416</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45124</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0.92959999999999998</v>
      </c>
      <c r="D24" s="2060" t="s">
        <v>2007</v>
      </c>
      <c r="E24" s="1335">
        <f>存贷款利率!E23/100</f>
        <v>4.3499999999999997E-2</v>
      </c>
      <c r="F24" s="2060" t="s">
        <v>1999</v>
      </c>
      <c r="G24" s="768">
        <f>SUMIF(M30:Q30,E2,M33:Q33)</f>
        <v>5.5E-2</v>
      </c>
      <c r="H24" s="2060" t="s">
        <v>2008</v>
      </c>
      <c r="I24" s="769">
        <f>SUMIF('数据-取费表'!C6:C15,E2,'数据-取费表'!F6:F15)/COUNTIF('数据-取费表'!C6:C15,E2)</f>
        <v>37.49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13159</v>
      </c>
      <c r="D33" s="2098">
        <f>'数据-汇总表'!F19</f>
        <v>133.12</v>
      </c>
      <c r="E33" s="773">
        <f>ROUND(C33*D33/10000,0)</f>
        <v>175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3290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4"/>
      <c r="B37" s="2113" t="s">
        <v>2036</v>
      </c>
      <c r="C37" s="175">
        <f>ROUND(D5*C22*C23*C24*C28*F37,0)</f>
        <v>8863</v>
      </c>
      <c r="D37" s="2098"/>
      <c r="E37" s="171">
        <f>ROUND(C37*D37/10000,0)</f>
        <v>0</v>
      </c>
      <c r="F37" s="171">
        <f>SUMIF(修正!A57:A68,G2,修正!B57:B68)</f>
        <v>0.6</v>
      </c>
      <c r="G37" s="171">
        <f>ROUND(IF(E2="工业",C37*$M$42,C37*$M$41),0)</f>
        <v>2216</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5"/>
      <c r="B38" s="2041" t="s">
        <v>2037</v>
      </c>
      <c r="C38" s="175">
        <f>ROUND(D5*C22*C23*C24*C28*F38,0)</f>
        <v>4432</v>
      </c>
      <c r="D38" s="2098"/>
      <c r="E38" s="171">
        <f t="shared" ref="E38:E42" si="4">ROUND(C38*D38/10000,0)</f>
        <v>0</v>
      </c>
      <c r="F38" s="171">
        <f>SUMIF(修正!A57:A68,G2,修正!C57:C68)</f>
        <v>0.3</v>
      </c>
      <c r="G38" s="171">
        <f>ROUND(IF(E2="工业",C38*$M$42,C38*$M$41),0)</f>
        <v>1108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5"/>
      <c r="B39" s="2041" t="s">
        <v>3264</v>
      </c>
      <c r="C39" s="175">
        <f>ROUND(D5*C22*C23*C24*C28*F39,0)</f>
        <v>3693</v>
      </c>
      <c r="D39" s="2098"/>
      <c r="E39" s="171">
        <f t="shared" si="4"/>
        <v>0</v>
      </c>
      <c r="F39" s="171">
        <f>SUMIF(修正!A57:A68,G2,修正!D57:D68)</f>
        <v>0.25</v>
      </c>
      <c r="G39" s="171">
        <f>ROUND(IF(E2="工业",C39*$M$42,C39*$M$41),0)</f>
        <v>923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3693</v>
      </c>
      <c r="D40" s="2098"/>
      <c r="E40" s="171">
        <f t="shared" si="4"/>
        <v>0</v>
      </c>
      <c r="F40" s="175">
        <f>SUMIF(修正!A57:A68,G2,修正!E57:E68)</f>
        <v>0.25</v>
      </c>
      <c r="G40" s="171">
        <f>ROUND(IF(E2="工业",C40*$M$42,C40*$M$41),0)</f>
        <v>923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2" t="s">
        <v>3299</v>
      </c>
      <c r="B103" s="3742"/>
      <c r="C103" s="3742"/>
      <c r="D103" s="3742"/>
      <c r="E103" s="3742"/>
      <c r="F103" s="3742"/>
      <c r="G103" s="3742"/>
      <c r="H103" s="3742"/>
      <c r="I103" s="3742"/>
      <c r="J103" s="3742"/>
      <c r="K103" s="3390"/>
      <c r="L103" s="3390"/>
      <c r="M103" s="3390"/>
      <c r="N103" s="3390"/>
    </row>
    <row r="104" spans="1:14">
      <c r="A104" s="3743" t="s">
        <v>3300</v>
      </c>
      <c r="B104" s="3743" t="s">
        <v>3301</v>
      </c>
      <c r="C104" s="3391" t="s">
        <v>3302</v>
      </c>
      <c r="D104" s="3392"/>
      <c r="E104" s="3392"/>
      <c r="F104" s="3392"/>
      <c r="G104" s="3392"/>
      <c r="H104" s="3392"/>
      <c r="I104" s="3392"/>
      <c r="J104" s="3393"/>
      <c r="K104" s="3394"/>
      <c r="L104" s="3394"/>
      <c r="M104" s="3394"/>
      <c r="N104" s="3394"/>
    </row>
    <row r="105" spans="1:14">
      <c r="A105" s="3743"/>
      <c r="B105" s="374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2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0"/>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2" t="s">
        <v>3316</v>
      </c>
      <c r="B113" s="3732"/>
      <c r="C113" s="3732"/>
      <c r="D113" s="3732"/>
      <c r="E113" s="3732"/>
      <c r="F113" s="3732"/>
      <c r="G113" s="3732"/>
      <c r="H113" s="3732"/>
      <c r="I113" s="3732"/>
      <c r="J113" s="373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57" t="s">
        <v>2610</v>
      </c>
      <c r="B20" s="3752" t="s">
        <v>2631</v>
      </c>
      <c r="C20" s="3103" t="s">
        <v>2442</v>
      </c>
      <c r="D20" s="3104"/>
      <c r="E20" s="3105">
        <v>1</v>
      </c>
      <c r="F20" s="3106" t="s">
        <v>2443</v>
      </c>
      <c r="G20" s="3106"/>
    </row>
    <row r="21" spans="1:13" ht="19.5" customHeight="1">
      <c r="A21" s="3758"/>
      <c r="B21" s="3751"/>
      <c r="C21" s="3107" t="s">
        <v>2444</v>
      </c>
      <c r="D21" s="3108"/>
      <c r="E21" s="3109">
        <v>1</v>
      </c>
      <c r="F21" s="3106" t="s">
        <v>2445</v>
      </c>
      <c r="G21" s="3106"/>
    </row>
    <row r="22" spans="1:13" ht="19.5" customHeight="1">
      <c r="A22" s="3758"/>
      <c r="B22" s="3751"/>
      <c r="C22" s="3107" t="s">
        <v>2446</v>
      </c>
      <c r="D22" s="3108"/>
      <c r="E22" s="3109">
        <v>0.9</v>
      </c>
      <c r="F22" s="3106" t="s">
        <v>2447</v>
      </c>
      <c r="G22" s="3106"/>
    </row>
    <row r="23" spans="1:13" ht="19.5" customHeight="1">
      <c r="A23" s="3758"/>
      <c r="B23" s="3751"/>
      <c r="C23" s="3107" t="s">
        <v>2448</v>
      </c>
      <c r="D23" s="3108"/>
      <c r="E23" s="3109">
        <v>0.9</v>
      </c>
      <c r="F23" s="3106" t="s">
        <v>2449</v>
      </c>
      <c r="G23" s="3106"/>
    </row>
    <row r="24" spans="1:13" ht="19.5" customHeight="1">
      <c r="A24" s="3758"/>
      <c r="B24" s="3751"/>
      <c r="C24" s="3107" t="s">
        <v>2450</v>
      </c>
      <c r="D24" s="3108"/>
      <c r="E24" s="3109">
        <v>0.8</v>
      </c>
      <c r="F24" s="3106" t="s">
        <v>2451</v>
      </c>
      <c r="G24" s="3106"/>
    </row>
    <row r="25" spans="1:13" ht="19.5" customHeight="1" thickBot="1">
      <c r="A25" s="3759"/>
      <c r="B25" s="375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4" t="s">
        <v>2634</v>
      </c>
      <c r="B27" s="3752" t="s">
        <v>2615</v>
      </c>
      <c r="C27" s="3103" t="s">
        <v>2455</v>
      </c>
      <c r="D27" s="3104"/>
      <c r="E27" s="3105">
        <v>1</v>
      </c>
      <c r="F27" s="3106" t="s">
        <v>2456</v>
      </c>
      <c r="G27" s="3106"/>
    </row>
    <row r="28" spans="1:13" ht="19.5" customHeight="1">
      <c r="A28" s="3755"/>
      <c r="B28" s="3751"/>
      <c r="C28" s="3107" t="s">
        <v>2457</v>
      </c>
      <c r="D28" s="3108"/>
      <c r="E28" s="3109">
        <v>1</v>
      </c>
      <c r="F28" s="3106" t="s">
        <v>2458</v>
      </c>
      <c r="G28" s="3106"/>
    </row>
    <row r="29" spans="1:13" ht="19.5" customHeight="1">
      <c r="A29" s="3755"/>
      <c r="B29" s="3751"/>
      <c r="C29" s="3107" t="s">
        <v>2459</v>
      </c>
      <c r="D29" s="3108"/>
      <c r="E29" s="3109">
        <v>0.8</v>
      </c>
      <c r="F29" s="3106" t="s">
        <v>2460</v>
      </c>
      <c r="G29" s="3106"/>
    </row>
    <row r="30" spans="1:13" ht="19.5" customHeight="1">
      <c r="A30" s="3755"/>
      <c r="B30" s="3751"/>
      <c r="C30" s="3107" t="s">
        <v>2461</v>
      </c>
      <c r="D30" s="3108"/>
      <c r="E30" s="3109">
        <v>0.8</v>
      </c>
      <c r="F30" s="3106" t="s">
        <v>2462</v>
      </c>
      <c r="G30" s="3106"/>
    </row>
    <row r="31" spans="1:13" ht="19.5" customHeight="1">
      <c r="A31" s="3755"/>
      <c r="B31" s="3751"/>
      <c r="C31" s="3107" t="s">
        <v>2463</v>
      </c>
      <c r="D31" s="3108"/>
      <c r="E31" s="3109">
        <v>0.8</v>
      </c>
      <c r="F31" s="3106" t="s">
        <v>2464</v>
      </c>
      <c r="G31" s="3106"/>
    </row>
    <row r="32" spans="1:13" ht="19.5" customHeight="1">
      <c r="A32" s="3755"/>
      <c r="B32" s="3751"/>
      <c r="C32" s="3107" t="s">
        <v>2465</v>
      </c>
      <c r="D32" s="3108"/>
      <c r="E32" s="3109">
        <v>0.7</v>
      </c>
      <c r="F32" s="3106" t="s">
        <v>2466</v>
      </c>
      <c r="G32" s="3106"/>
    </row>
    <row r="33" spans="1:7" ht="19.5" customHeight="1">
      <c r="A33" s="3755"/>
      <c r="B33" s="3751"/>
      <c r="C33" s="3107" t="s">
        <v>2467</v>
      </c>
      <c r="D33" s="3108"/>
      <c r="E33" s="3109">
        <v>0.8</v>
      </c>
      <c r="F33" s="3106" t="s">
        <v>2468</v>
      </c>
      <c r="G33" s="3106"/>
    </row>
    <row r="34" spans="1:7" ht="19.5" customHeight="1">
      <c r="A34" s="3755"/>
      <c r="B34" s="3751"/>
      <c r="C34" s="3107" t="s">
        <v>2469</v>
      </c>
      <c r="D34" s="3108"/>
      <c r="E34" s="3109">
        <v>0.6</v>
      </c>
      <c r="F34" s="3106" t="s">
        <v>2470</v>
      </c>
      <c r="G34" s="3106"/>
    </row>
    <row r="35" spans="1:7" ht="19.5" customHeight="1">
      <c r="A35" s="3755"/>
      <c r="B35" s="3751"/>
      <c r="C35" s="3107" t="s">
        <v>2471</v>
      </c>
      <c r="D35" s="3108"/>
      <c r="E35" s="3109">
        <v>0.2</v>
      </c>
      <c r="F35" s="3106" t="s">
        <v>2472</v>
      </c>
      <c r="G35" s="3106"/>
    </row>
    <row r="36" spans="1:7" ht="19.5" customHeight="1">
      <c r="A36" s="3755"/>
      <c r="B36" s="3751"/>
      <c r="C36" s="3107" t="s">
        <v>2473</v>
      </c>
      <c r="D36" s="3108"/>
      <c r="E36" s="3109">
        <v>0.2</v>
      </c>
      <c r="F36" s="3106" t="s">
        <v>2474</v>
      </c>
      <c r="G36" s="3106"/>
    </row>
    <row r="37" spans="1:7" ht="19.5" customHeight="1">
      <c r="A37" s="3755"/>
      <c r="B37" s="3749" t="s">
        <v>2635</v>
      </c>
      <c r="C37" s="3107" t="s">
        <v>2475</v>
      </c>
      <c r="D37" s="3108"/>
      <c r="E37" s="3109">
        <v>0.6</v>
      </c>
      <c r="F37" s="3106" t="s">
        <v>2476</v>
      </c>
      <c r="G37" s="3106"/>
    </row>
    <row r="38" spans="1:7" ht="19.5" customHeight="1">
      <c r="A38" s="3755"/>
      <c r="B38" s="3751"/>
      <c r="C38" s="3107" t="s">
        <v>2477</v>
      </c>
      <c r="D38" s="3108"/>
      <c r="E38" s="3109">
        <v>0.6</v>
      </c>
      <c r="F38" s="3106" t="s">
        <v>2478</v>
      </c>
      <c r="G38" s="3106"/>
    </row>
    <row r="39" spans="1:7" ht="19.5" customHeight="1" thickBot="1">
      <c r="A39" s="3756"/>
      <c r="B39" s="375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57" t="s">
        <v>2613</v>
      </c>
      <c r="B41" s="3752" t="s">
        <v>2637</v>
      </c>
      <c r="C41" s="3103" t="s">
        <v>2482</v>
      </c>
      <c r="D41" s="3104"/>
      <c r="E41" s="3105">
        <v>1</v>
      </c>
      <c r="F41" s="3106" t="s">
        <v>2483</v>
      </c>
      <c r="G41" s="3106"/>
    </row>
    <row r="42" spans="1:7" ht="19.5" customHeight="1">
      <c r="A42" s="3758"/>
      <c r="B42" s="3751"/>
      <c r="C42" s="3107" t="s">
        <v>2484</v>
      </c>
      <c r="D42" s="3108"/>
      <c r="E42" s="3109">
        <v>1</v>
      </c>
      <c r="F42" s="3106" t="s">
        <v>2485</v>
      </c>
      <c r="G42" s="3106"/>
    </row>
    <row r="43" spans="1:7" ht="19.5" customHeight="1">
      <c r="A43" s="3758"/>
      <c r="B43" s="3750"/>
      <c r="C43" s="3107" t="s">
        <v>2486</v>
      </c>
      <c r="D43" s="3108"/>
      <c r="E43" s="3109">
        <v>1.5</v>
      </c>
      <c r="F43" s="3106" t="s">
        <v>2487</v>
      </c>
      <c r="G43" s="3106"/>
    </row>
    <row r="44" spans="1:7" ht="19.5" customHeight="1">
      <c r="A44" s="3758"/>
      <c r="B44" s="3118" t="s">
        <v>2638</v>
      </c>
      <c r="C44" s="3107" t="s">
        <v>2639</v>
      </c>
      <c r="D44" s="3108"/>
      <c r="E44" s="3109">
        <v>2</v>
      </c>
      <c r="F44" s="3106" t="s">
        <v>2488</v>
      </c>
      <c r="G44" s="3106"/>
    </row>
    <row r="45" spans="1:7" ht="19.5" customHeight="1">
      <c r="A45" s="3758"/>
      <c r="B45" s="3749" t="s">
        <v>2640</v>
      </c>
      <c r="C45" s="3107" t="s">
        <v>2489</v>
      </c>
      <c r="D45" s="3108"/>
      <c r="E45" s="3109">
        <v>1</v>
      </c>
      <c r="F45" s="3106" t="s">
        <v>2490</v>
      </c>
      <c r="G45" s="3106"/>
    </row>
    <row r="46" spans="1:7" ht="19.5" customHeight="1">
      <c r="A46" s="3758"/>
      <c r="B46" s="3751"/>
      <c r="C46" s="3107" t="s">
        <v>2491</v>
      </c>
      <c r="D46" s="3108"/>
      <c r="E46" s="3109">
        <v>1</v>
      </c>
      <c r="F46" s="3106" t="s">
        <v>2492</v>
      </c>
      <c r="G46" s="3106"/>
    </row>
    <row r="47" spans="1:7" ht="19.5" customHeight="1">
      <c r="A47" s="3758"/>
      <c r="B47" s="3751"/>
      <c r="C47" s="3107" t="s">
        <v>2493</v>
      </c>
      <c r="D47" s="3108"/>
      <c r="E47" s="3109">
        <v>1</v>
      </c>
      <c r="F47" s="3106" t="s">
        <v>2494</v>
      </c>
      <c r="G47" s="3106"/>
    </row>
    <row r="48" spans="1:7" ht="19.5" customHeight="1">
      <c r="A48" s="3758"/>
      <c r="B48" s="3751"/>
      <c r="C48" s="3107" t="s">
        <v>2495</v>
      </c>
      <c r="D48" s="3108"/>
      <c r="E48" s="3109">
        <v>1</v>
      </c>
      <c r="F48" s="3106" t="s">
        <v>2496</v>
      </c>
      <c r="G48" s="3106"/>
    </row>
    <row r="49" spans="1:7" ht="19.5" customHeight="1">
      <c r="A49" s="3758"/>
      <c r="B49" s="3751"/>
      <c r="C49" s="3107" t="s">
        <v>2497</v>
      </c>
      <c r="D49" s="3108"/>
      <c r="E49" s="3109">
        <v>1</v>
      </c>
      <c r="F49" s="3106" t="s">
        <v>2498</v>
      </c>
      <c r="G49" s="3106"/>
    </row>
    <row r="50" spans="1:7" ht="19.5" customHeight="1">
      <c r="A50" s="3758"/>
      <c r="B50" s="3751"/>
      <c r="C50" s="3107" t="s">
        <v>2499</v>
      </c>
      <c r="D50" s="3108"/>
      <c r="E50" s="3109">
        <v>1</v>
      </c>
      <c r="F50" s="3106" t="s">
        <v>2500</v>
      </c>
      <c r="G50" s="3106"/>
    </row>
    <row r="51" spans="1:7" ht="19.5" customHeight="1" thickBot="1">
      <c r="A51" s="3759"/>
      <c r="B51" s="375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49" t="s">
        <v>2654</v>
      </c>
      <c r="C73" s="3092" t="s">
        <v>2655</v>
      </c>
      <c r="D73" s="3092" t="s">
        <v>2656</v>
      </c>
      <c r="E73" s="3118">
        <v>0.2</v>
      </c>
      <c r="F73" s="3118">
        <v>25</v>
      </c>
    </row>
    <row r="74" spans="1:7" ht="24">
      <c r="A74" s="3118">
        <v>2</v>
      </c>
      <c r="B74" s="3751"/>
      <c r="C74" s="3092" t="s">
        <v>2657</v>
      </c>
      <c r="D74" s="3092" t="s">
        <v>2658</v>
      </c>
      <c r="E74" s="3118">
        <v>0.2</v>
      </c>
      <c r="F74" s="3118">
        <v>25</v>
      </c>
    </row>
    <row r="75" spans="1:7" ht="24">
      <c r="A75" s="3118">
        <v>3</v>
      </c>
      <c r="B75" s="3751"/>
      <c r="C75" s="3092" t="s">
        <v>2659</v>
      </c>
      <c r="D75" s="3092" t="s">
        <v>2660</v>
      </c>
      <c r="E75" s="3118">
        <v>0.2</v>
      </c>
      <c r="F75" s="3118">
        <v>25</v>
      </c>
    </row>
    <row r="76" spans="1:7" ht="13.5">
      <c r="A76" s="3118">
        <v>4</v>
      </c>
      <c r="B76" s="3751"/>
      <c r="C76" s="3092" t="s">
        <v>2661</v>
      </c>
      <c r="D76" s="3092" t="s">
        <v>2662</v>
      </c>
      <c r="E76" s="3118">
        <v>0.15</v>
      </c>
      <c r="F76" s="3118">
        <v>20</v>
      </c>
    </row>
    <row r="77" spans="1:7" ht="24">
      <c r="A77" s="3118">
        <v>5</v>
      </c>
      <c r="B77" s="3751"/>
      <c r="C77" s="3092" t="s">
        <v>2663</v>
      </c>
      <c r="D77" s="3092" t="s">
        <v>2664</v>
      </c>
      <c r="E77" s="3118">
        <v>0.15</v>
      </c>
      <c r="F77" s="3118">
        <v>20</v>
      </c>
    </row>
    <row r="78" spans="1:7" ht="24">
      <c r="A78" s="3118">
        <v>6</v>
      </c>
      <c r="B78" s="3751"/>
      <c r="C78" s="3092" t="s">
        <v>2665</v>
      </c>
      <c r="D78" s="3092" t="s">
        <v>2666</v>
      </c>
      <c r="E78" s="3118">
        <v>0.15</v>
      </c>
      <c r="F78" s="3118">
        <v>20</v>
      </c>
    </row>
    <row r="79" spans="1:7" ht="24">
      <c r="A79" s="3118">
        <v>7</v>
      </c>
      <c r="B79" s="3751"/>
      <c r="C79" s="3092" t="s">
        <v>2667</v>
      </c>
      <c r="D79" s="3092" t="s">
        <v>2668</v>
      </c>
      <c r="E79" s="3118">
        <v>0.15</v>
      </c>
      <c r="F79" s="3118">
        <v>20</v>
      </c>
    </row>
    <row r="80" spans="1:7" ht="24">
      <c r="A80" s="3118">
        <v>8</v>
      </c>
      <c r="B80" s="3751"/>
      <c r="C80" s="3092" t="s">
        <v>2669</v>
      </c>
      <c r="D80" s="3092" t="s">
        <v>2670</v>
      </c>
      <c r="E80" s="3118">
        <v>0.1</v>
      </c>
      <c r="F80" s="3118">
        <v>15</v>
      </c>
    </row>
    <row r="81" spans="1:6" ht="24">
      <c r="A81" s="3118">
        <v>9</v>
      </c>
      <c r="B81" s="3751"/>
      <c r="C81" s="3092" t="s">
        <v>2671</v>
      </c>
      <c r="D81" s="3092" t="s">
        <v>2672</v>
      </c>
      <c r="E81" s="3118">
        <v>0.1</v>
      </c>
      <c r="F81" s="3118">
        <v>15</v>
      </c>
    </row>
    <row r="82" spans="1:6" ht="24">
      <c r="A82" s="3118">
        <v>10</v>
      </c>
      <c r="B82" s="3751"/>
      <c r="C82" s="3092" t="s">
        <v>2673</v>
      </c>
      <c r="D82" s="3092" t="s">
        <v>2674</v>
      </c>
      <c r="E82" s="3118">
        <v>0.1</v>
      </c>
      <c r="F82" s="3118">
        <v>15</v>
      </c>
    </row>
    <row r="83" spans="1:6" ht="24">
      <c r="A83" s="3118">
        <v>11</v>
      </c>
      <c r="B83" s="3751"/>
      <c r="C83" s="3092" t="s">
        <v>2675</v>
      </c>
      <c r="D83" s="3092" t="s">
        <v>2676</v>
      </c>
      <c r="E83" s="3118">
        <v>0.1</v>
      </c>
      <c r="F83" s="3118">
        <v>15</v>
      </c>
    </row>
    <row r="84" spans="1:6" ht="24">
      <c r="A84" s="3118">
        <v>12</v>
      </c>
      <c r="B84" s="3751"/>
      <c r="C84" s="3092" t="s">
        <v>2677</v>
      </c>
      <c r="D84" s="3092" t="s">
        <v>2678</v>
      </c>
      <c r="E84" s="3118">
        <v>0.1</v>
      </c>
      <c r="F84" s="3118">
        <v>15</v>
      </c>
    </row>
    <row r="85" spans="1:6" ht="13.5">
      <c r="A85" s="3118">
        <v>13</v>
      </c>
      <c r="B85" s="3751"/>
      <c r="C85" s="3092" t="s">
        <v>2679</v>
      </c>
      <c r="D85" s="3092" t="s">
        <v>2680</v>
      </c>
      <c r="E85" s="3118">
        <v>0.1</v>
      </c>
      <c r="F85" s="3118">
        <v>15</v>
      </c>
    </row>
    <row r="86" spans="1:6" ht="13.5">
      <c r="A86" s="3118">
        <v>14</v>
      </c>
      <c r="B86" s="3751"/>
      <c r="C86" s="3092" t="s">
        <v>2681</v>
      </c>
      <c r="D86" s="3092" t="s">
        <v>2682</v>
      </c>
      <c r="E86" s="3118">
        <v>0.1</v>
      </c>
      <c r="F86" s="3118">
        <v>15</v>
      </c>
    </row>
    <row r="87" spans="1:6" ht="13.5">
      <c r="A87" s="3118">
        <v>15</v>
      </c>
      <c r="B87" s="3751"/>
      <c r="C87" s="3092" t="s">
        <v>2683</v>
      </c>
      <c r="D87" s="3092" t="s">
        <v>2684</v>
      </c>
      <c r="E87" s="3118">
        <v>0.1</v>
      </c>
      <c r="F87" s="3118">
        <v>15</v>
      </c>
    </row>
    <row r="88" spans="1:6" ht="24">
      <c r="A88" s="3118">
        <v>16</v>
      </c>
      <c r="B88" s="3751"/>
      <c r="C88" s="3092" t="s">
        <v>2685</v>
      </c>
      <c r="D88" s="3092" t="s">
        <v>2686</v>
      </c>
      <c r="E88" s="3118">
        <v>0.1</v>
      </c>
      <c r="F88" s="3118">
        <v>15</v>
      </c>
    </row>
    <row r="89" spans="1:6" ht="24">
      <c r="A89" s="3118">
        <v>17</v>
      </c>
      <c r="B89" s="3750"/>
      <c r="C89" s="3092" t="s">
        <v>2687</v>
      </c>
      <c r="D89" s="3092" t="s">
        <v>2688</v>
      </c>
      <c r="E89" s="3118">
        <v>0.1</v>
      </c>
      <c r="F89" s="3118">
        <v>15</v>
      </c>
    </row>
    <row r="90" spans="1:6" ht="13.5">
      <c r="A90" s="3118">
        <v>18</v>
      </c>
      <c r="B90" s="3749" t="s">
        <v>2689</v>
      </c>
      <c r="C90" s="3092" t="s">
        <v>2690</v>
      </c>
      <c r="D90" s="3092" t="s">
        <v>2691</v>
      </c>
      <c r="E90" s="3118">
        <v>0.2</v>
      </c>
      <c r="F90" s="3118">
        <v>25</v>
      </c>
    </row>
    <row r="91" spans="1:6" ht="24">
      <c r="A91" s="3118">
        <v>19</v>
      </c>
      <c r="B91" s="3751"/>
      <c r="C91" s="3092" t="s">
        <v>2692</v>
      </c>
      <c r="D91" s="3092" t="s">
        <v>2693</v>
      </c>
      <c r="E91" s="3118">
        <v>0.2</v>
      </c>
      <c r="F91" s="3118">
        <v>25</v>
      </c>
    </row>
    <row r="92" spans="1:6" ht="13.5">
      <c r="A92" s="3118">
        <v>20</v>
      </c>
      <c r="B92" s="3751"/>
      <c r="C92" s="3092" t="s">
        <v>2694</v>
      </c>
      <c r="D92" s="3092" t="s">
        <v>2695</v>
      </c>
      <c r="E92" s="3118">
        <v>0.15</v>
      </c>
      <c r="F92" s="3118">
        <v>20</v>
      </c>
    </row>
    <row r="93" spans="1:6" ht="13.5">
      <c r="A93" s="3118">
        <v>21</v>
      </c>
      <c r="B93" s="3751"/>
      <c r="C93" s="3092" t="s">
        <v>2696</v>
      </c>
      <c r="D93" s="3092" t="s">
        <v>2697</v>
      </c>
      <c r="E93" s="3118">
        <v>0.15</v>
      </c>
      <c r="F93" s="3118">
        <v>20</v>
      </c>
    </row>
    <row r="94" spans="1:6" ht="13.5">
      <c r="A94" s="3118">
        <v>22</v>
      </c>
      <c r="B94" s="3751"/>
      <c r="C94" s="3092" t="s">
        <v>2698</v>
      </c>
      <c r="D94" s="3092" t="s">
        <v>2699</v>
      </c>
      <c r="E94" s="3118">
        <v>0.15</v>
      </c>
      <c r="F94" s="3118">
        <v>20</v>
      </c>
    </row>
    <row r="95" spans="1:6" ht="36">
      <c r="A95" s="3118">
        <v>23</v>
      </c>
      <c r="B95" s="3751"/>
      <c r="C95" s="3092" t="s">
        <v>2700</v>
      </c>
      <c r="D95" s="3092" t="s">
        <v>2701</v>
      </c>
      <c r="E95" s="3118">
        <v>0.15</v>
      </c>
      <c r="F95" s="3118">
        <v>20</v>
      </c>
    </row>
    <row r="96" spans="1:6" ht="13.5">
      <c r="A96" s="3118">
        <v>24</v>
      </c>
      <c r="B96" s="3751"/>
      <c r="C96" s="3092" t="s">
        <v>2702</v>
      </c>
      <c r="D96" s="3092" t="s">
        <v>2703</v>
      </c>
      <c r="E96" s="3118">
        <v>0.1</v>
      </c>
      <c r="F96" s="3118">
        <v>15</v>
      </c>
    </row>
    <row r="97" spans="1:6" ht="13.5">
      <c r="A97" s="3118">
        <v>25</v>
      </c>
      <c r="B97" s="3751"/>
      <c r="C97" s="3092" t="s">
        <v>2704</v>
      </c>
      <c r="D97" s="3092" t="s">
        <v>2705</v>
      </c>
      <c r="E97" s="3118">
        <v>0.1</v>
      </c>
      <c r="F97" s="3118">
        <v>15</v>
      </c>
    </row>
    <row r="98" spans="1:6" ht="24">
      <c r="A98" s="3118">
        <v>26</v>
      </c>
      <c r="B98" s="3751"/>
      <c r="C98" s="3092" t="s">
        <v>2706</v>
      </c>
      <c r="D98" s="3092" t="s">
        <v>2707</v>
      </c>
      <c r="E98" s="3118">
        <v>0.1</v>
      </c>
      <c r="F98" s="3118">
        <v>15</v>
      </c>
    </row>
    <row r="99" spans="1:6" ht="24">
      <c r="A99" s="3118">
        <v>27</v>
      </c>
      <c r="B99" s="3751"/>
      <c r="C99" s="3092" t="s">
        <v>2708</v>
      </c>
      <c r="D99" s="3092" t="s">
        <v>2709</v>
      </c>
      <c r="E99" s="3118">
        <v>0.1</v>
      </c>
      <c r="F99" s="3118">
        <v>15</v>
      </c>
    </row>
    <row r="100" spans="1:6" ht="13.5">
      <c r="A100" s="3118">
        <v>28</v>
      </c>
      <c r="B100" s="3751"/>
      <c r="C100" s="3092" t="s">
        <v>2710</v>
      </c>
      <c r="D100" s="3092" t="s">
        <v>2711</v>
      </c>
      <c r="E100" s="3118">
        <v>0.1</v>
      </c>
      <c r="F100" s="3118">
        <v>15</v>
      </c>
    </row>
    <row r="101" spans="1:6" ht="13.5">
      <c r="A101" s="3118">
        <v>29</v>
      </c>
      <c r="B101" s="3751"/>
      <c r="C101" s="3092" t="s">
        <v>2712</v>
      </c>
      <c r="D101" s="3092" t="s">
        <v>2713</v>
      </c>
      <c r="E101" s="3118">
        <v>0.1</v>
      </c>
      <c r="F101" s="3118">
        <v>15</v>
      </c>
    </row>
    <row r="102" spans="1:6" ht="13.5">
      <c r="A102" s="3118">
        <v>30</v>
      </c>
      <c r="B102" s="3751"/>
      <c r="C102" s="3092" t="s">
        <v>2714</v>
      </c>
      <c r="D102" s="3092" t="s">
        <v>2715</v>
      </c>
      <c r="E102" s="3118">
        <v>0.1</v>
      </c>
      <c r="F102" s="3118">
        <v>15</v>
      </c>
    </row>
    <row r="103" spans="1:6" ht="24">
      <c r="A103" s="3118">
        <v>31</v>
      </c>
      <c r="B103" s="3751"/>
      <c r="C103" s="3092" t="s">
        <v>2716</v>
      </c>
      <c r="D103" s="3092" t="s">
        <v>2717</v>
      </c>
      <c r="E103" s="3118">
        <v>0.1</v>
      </c>
      <c r="F103" s="3118">
        <v>15</v>
      </c>
    </row>
    <row r="104" spans="1:6" ht="24">
      <c r="A104" s="3118">
        <v>32</v>
      </c>
      <c r="B104" s="3751"/>
      <c r="C104" s="3092" t="s">
        <v>2718</v>
      </c>
      <c r="D104" s="3092" t="s">
        <v>2719</v>
      </c>
      <c r="E104" s="3118">
        <v>0.1</v>
      </c>
      <c r="F104" s="3118">
        <v>15</v>
      </c>
    </row>
    <row r="105" spans="1:6" ht="24">
      <c r="A105" s="3118">
        <v>33</v>
      </c>
      <c r="B105" s="3751"/>
      <c r="C105" s="3092" t="s">
        <v>2720</v>
      </c>
      <c r="D105" s="3092" t="s">
        <v>2721</v>
      </c>
      <c r="E105" s="3118">
        <v>0.1</v>
      </c>
      <c r="F105" s="3118">
        <v>15</v>
      </c>
    </row>
    <row r="106" spans="1:6" ht="24">
      <c r="A106" s="3118">
        <v>34</v>
      </c>
      <c r="B106" s="3750"/>
      <c r="C106" s="3092" t="s">
        <v>2722</v>
      </c>
      <c r="D106" s="3092" t="s">
        <v>2723</v>
      </c>
      <c r="E106" s="3118">
        <v>0.1</v>
      </c>
      <c r="F106" s="3118">
        <v>15</v>
      </c>
    </row>
    <row r="107" spans="1:6" ht="24">
      <c r="A107" s="3118">
        <v>35</v>
      </c>
      <c r="B107" s="3749" t="s">
        <v>2724</v>
      </c>
      <c r="C107" s="3118" t="s">
        <v>2725</v>
      </c>
      <c r="D107" s="3092" t="s">
        <v>2726</v>
      </c>
      <c r="E107" s="3118">
        <v>0.15</v>
      </c>
      <c r="F107" s="3118">
        <v>20</v>
      </c>
    </row>
    <row r="108" spans="1:6" ht="13.5">
      <c r="A108" s="3118">
        <v>36</v>
      </c>
      <c r="B108" s="3751"/>
      <c r="C108" s="3118" t="s">
        <v>2727</v>
      </c>
      <c r="D108" s="3092" t="s">
        <v>2728</v>
      </c>
      <c r="E108" s="3118">
        <v>0.15</v>
      </c>
      <c r="F108" s="3118">
        <v>20</v>
      </c>
    </row>
    <row r="109" spans="1:6" ht="13.5">
      <c r="A109" s="3118">
        <v>37</v>
      </c>
      <c r="B109" s="3751"/>
      <c r="C109" s="3118" t="s">
        <v>2729</v>
      </c>
      <c r="D109" s="3092" t="s">
        <v>2730</v>
      </c>
      <c r="E109" s="3118">
        <v>0.15</v>
      </c>
      <c r="F109" s="3118">
        <v>20</v>
      </c>
    </row>
    <row r="110" spans="1:6" ht="13.5">
      <c r="A110" s="3118">
        <v>38</v>
      </c>
      <c r="B110" s="3751"/>
      <c r="C110" s="3118" t="s">
        <v>2731</v>
      </c>
      <c r="D110" s="3092" t="s">
        <v>2732</v>
      </c>
      <c r="E110" s="3118">
        <v>0.1</v>
      </c>
      <c r="F110" s="3118">
        <v>15</v>
      </c>
    </row>
    <row r="111" spans="1:6" ht="24">
      <c r="A111" s="3118">
        <v>39</v>
      </c>
      <c r="B111" s="3751"/>
      <c r="C111" s="3118" t="s">
        <v>2733</v>
      </c>
      <c r="D111" s="3092" t="s">
        <v>2734</v>
      </c>
      <c r="E111" s="3118">
        <v>0.1</v>
      </c>
      <c r="F111" s="3118">
        <v>15</v>
      </c>
    </row>
    <row r="112" spans="1:6" ht="24">
      <c r="A112" s="3118">
        <v>40</v>
      </c>
      <c r="B112" s="3750"/>
      <c r="C112" s="3118" t="s">
        <v>2735</v>
      </c>
      <c r="D112" s="3092" t="s">
        <v>2736</v>
      </c>
      <c r="E112" s="3118">
        <v>0.1</v>
      </c>
      <c r="F112" s="3118">
        <v>15</v>
      </c>
    </row>
    <row r="113" spans="1:6" ht="13.5">
      <c r="A113" s="3118">
        <v>41</v>
      </c>
      <c r="B113" s="3748" t="s">
        <v>2737</v>
      </c>
      <c r="C113" s="3118" t="s">
        <v>2738</v>
      </c>
      <c r="D113" s="3092" t="s">
        <v>2739</v>
      </c>
      <c r="E113" s="3118">
        <v>0.1</v>
      </c>
      <c r="F113" s="3118">
        <v>15</v>
      </c>
    </row>
    <row r="114" spans="1:6" ht="13.5">
      <c r="A114" s="3118">
        <v>42</v>
      </c>
      <c r="B114" s="3748"/>
      <c r="C114" s="3118" t="s">
        <v>2740</v>
      </c>
      <c r="D114" s="3092" t="s">
        <v>2741</v>
      </c>
      <c r="E114" s="3118">
        <v>0.1</v>
      </c>
      <c r="F114" s="3118">
        <v>15</v>
      </c>
    </row>
    <row r="115" spans="1:6" ht="24">
      <c r="A115" s="3118">
        <v>43</v>
      </c>
      <c r="B115" s="3748"/>
      <c r="C115" s="3118" t="s">
        <v>2742</v>
      </c>
      <c r="D115" s="3092" t="s">
        <v>2743</v>
      </c>
      <c r="E115" s="3118">
        <v>0.1</v>
      </c>
      <c r="F115" s="3118">
        <v>15</v>
      </c>
    </row>
    <row r="116" spans="1:6" ht="13.5">
      <c r="A116" s="3118">
        <v>44</v>
      </c>
      <c r="B116" s="3749" t="s">
        <v>2744</v>
      </c>
      <c r="C116" s="3118" t="s">
        <v>2745</v>
      </c>
      <c r="D116" s="3092" t="s">
        <v>2746</v>
      </c>
      <c r="E116" s="3118">
        <v>0.1</v>
      </c>
      <c r="F116" s="3118">
        <v>15</v>
      </c>
    </row>
    <row r="117" spans="1:6" ht="24">
      <c r="A117" s="3118">
        <v>45</v>
      </c>
      <c r="B117" s="3750"/>
      <c r="C117" s="3092" t="s">
        <v>2747</v>
      </c>
      <c r="D117" s="3092" t="s">
        <v>2748</v>
      </c>
      <c r="E117" s="3118">
        <v>0.1</v>
      </c>
      <c r="F117" s="3118">
        <v>15</v>
      </c>
    </row>
    <row r="118" spans="1:6" ht="24">
      <c r="A118" s="3118">
        <v>46</v>
      </c>
      <c r="B118" s="3749" t="s">
        <v>2749</v>
      </c>
      <c r="C118" s="3118" t="s">
        <v>2750</v>
      </c>
      <c r="D118" s="3092" t="s">
        <v>2751</v>
      </c>
      <c r="E118" s="3118">
        <v>0.1</v>
      </c>
      <c r="F118" s="3118">
        <v>15</v>
      </c>
    </row>
    <row r="119" spans="1:6" ht="24">
      <c r="A119" s="3118">
        <v>47</v>
      </c>
      <c r="B119" s="3750"/>
      <c r="C119" s="3118" t="s">
        <v>2752</v>
      </c>
      <c r="D119" s="3092" t="s">
        <v>2753</v>
      </c>
      <c r="E119" s="3118">
        <v>0.1</v>
      </c>
      <c r="F119" s="3118">
        <v>15</v>
      </c>
    </row>
    <row r="120" spans="1:6" ht="13.5">
      <c r="A120" s="3118">
        <v>48</v>
      </c>
      <c r="B120" s="3749" t="s">
        <v>2754</v>
      </c>
      <c r="C120" s="3118" t="s">
        <v>2755</v>
      </c>
      <c r="D120" s="3092" t="s">
        <v>2756</v>
      </c>
      <c r="E120" s="3118">
        <v>0.1</v>
      </c>
      <c r="F120" s="3118">
        <v>15</v>
      </c>
    </row>
    <row r="121" spans="1:6" ht="13.5">
      <c r="A121" s="3118">
        <v>49</v>
      </c>
      <c r="B121" s="3750"/>
      <c r="C121" s="3118" t="s">
        <v>2757</v>
      </c>
      <c r="D121" s="3092" t="s">
        <v>2758</v>
      </c>
      <c r="E121" s="3118">
        <v>0.1</v>
      </c>
      <c r="F121" s="3118">
        <v>15</v>
      </c>
    </row>
    <row r="122" spans="1:6" ht="24">
      <c r="A122" s="3118">
        <v>50</v>
      </c>
      <c r="B122" s="3748" t="s">
        <v>2759</v>
      </c>
      <c r="C122" s="3118" t="s">
        <v>2760</v>
      </c>
      <c r="D122" s="3092" t="s">
        <v>2761</v>
      </c>
      <c r="E122" s="3118">
        <v>0.1</v>
      </c>
      <c r="F122" s="3118">
        <v>15</v>
      </c>
    </row>
    <row r="123" spans="1:6" ht="24">
      <c r="A123" s="3118">
        <v>51</v>
      </c>
      <c r="B123" s="3748"/>
      <c r="C123" s="3118" t="s">
        <v>2762</v>
      </c>
      <c r="D123" s="3092" t="s">
        <v>2763</v>
      </c>
      <c r="E123" s="3118">
        <v>0.1</v>
      </c>
      <c r="F123" s="3118">
        <v>15</v>
      </c>
    </row>
    <row r="124" spans="1:6" ht="24">
      <c r="A124" s="3118">
        <v>52</v>
      </c>
      <c r="B124" s="3748" t="s">
        <v>2764</v>
      </c>
      <c r="C124" s="3118" t="s">
        <v>2765</v>
      </c>
      <c r="D124" s="3092" t="s">
        <v>2766</v>
      </c>
      <c r="E124" s="3118">
        <v>0.1</v>
      </c>
      <c r="F124" s="3118">
        <v>15</v>
      </c>
    </row>
    <row r="125" spans="1:6" ht="24">
      <c r="A125" s="3118">
        <v>53</v>
      </c>
      <c r="B125" s="374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48" t="s">
        <v>2772</v>
      </c>
      <c r="C127" s="3118" t="s">
        <v>2773</v>
      </c>
      <c r="D127" s="3092" t="s">
        <v>2774</v>
      </c>
      <c r="E127" s="3118">
        <v>0.1</v>
      </c>
      <c r="F127" s="3118">
        <v>15</v>
      </c>
    </row>
    <row r="128" spans="1:6" ht="13.5">
      <c r="A128" s="3118">
        <v>56</v>
      </c>
      <c r="B128" s="3748"/>
      <c r="C128" s="3118" t="s">
        <v>2775</v>
      </c>
      <c r="D128" s="3092" t="s">
        <v>2776</v>
      </c>
      <c r="E128" s="3118">
        <v>0.1</v>
      </c>
      <c r="F128" s="3118">
        <v>15</v>
      </c>
    </row>
    <row r="129" spans="1:6" ht="24">
      <c r="A129" s="3118">
        <v>57</v>
      </c>
      <c r="B129" s="3748"/>
      <c r="C129" s="3118" t="s">
        <v>2777</v>
      </c>
      <c r="D129" s="3092" t="s">
        <v>2778</v>
      </c>
      <c r="E129" s="3118">
        <v>0.1</v>
      </c>
      <c r="F129" s="3118">
        <v>15</v>
      </c>
    </row>
    <row r="130" spans="1:6" ht="24">
      <c r="A130" s="3118">
        <v>58</v>
      </c>
      <c r="B130" s="3748" t="s">
        <v>2779</v>
      </c>
      <c r="C130" s="3118" t="s">
        <v>2780</v>
      </c>
      <c r="D130" s="3092" t="s">
        <v>2781</v>
      </c>
      <c r="E130" s="3118">
        <v>0.1</v>
      </c>
      <c r="F130" s="3118">
        <v>15</v>
      </c>
    </row>
    <row r="131" spans="1:6" ht="13.5">
      <c r="A131" s="3118">
        <v>59</v>
      </c>
      <c r="B131" s="3748"/>
      <c r="C131" s="3118" t="s">
        <v>2782</v>
      </c>
      <c r="D131" s="3092" t="s">
        <v>2783</v>
      </c>
      <c r="E131" s="3118">
        <v>0.1</v>
      </c>
      <c r="F131" s="3118">
        <v>15</v>
      </c>
    </row>
    <row r="132" spans="1:6" ht="13.5">
      <c r="A132" s="3118">
        <v>60</v>
      </c>
      <c r="B132" s="3749" t="s">
        <v>2784</v>
      </c>
      <c r="C132" s="3118" t="s">
        <v>2785</v>
      </c>
      <c r="D132" s="3092" t="s">
        <v>2786</v>
      </c>
      <c r="E132" s="3118">
        <v>0.1</v>
      </c>
      <c r="F132" s="3118">
        <v>15</v>
      </c>
    </row>
    <row r="133" spans="1:6" ht="13.5">
      <c r="A133" s="3118">
        <v>61</v>
      </c>
      <c r="B133" s="375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48" t="s">
        <v>2792</v>
      </c>
      <c r="C135" s="3118" t="s">
        <v>2793</v>
      </c>
      <c r="D135" s="3092" t="s">
        <v>2794</v>
      </c>
      <c r="E135" s="3118">
        <v>0.1</v>
      </c>
      <c r="F135" s="3118">
        <v>15</v>
      </c>
    </row>
    <row r="136" spans="1:6" ht="13.5">
      <c r="A136" s="3118">
        <v>64</v>
      </c>
      <c r="B136" s="374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29647</v>
      </c>
      <c r="C2" s="2" t="s">
        <v>106</v>
      </c>
      <c r="D2" s="199"/>
      <c r="E2" s="199"/>
      <c r="F2" s="199"/>
      <c r="G2" s="199"/>
    </row>
    <row r="3" spans="1:7" s="200" customFormat="1" ht="18" customHeight="1" thickBot="1">
      <c r="A3" s="203" t="s">
        <v>58</v>
      </c>
      <c r="B3" s="204">
        <f ca="1">ROUND(B2*10000/'数据-汇总表'!E3,0)</f>
        <v>2227088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77</v>
      </c>
      <c r="D51" s="232"/>
      <c r="E51" s="232"/>
      <c r="F51" s="264"/>
      <c r="G51" s="234" t="s">
        <v>37</v>
      </c>
    </row>
    <row r="52" spans="1:7" s="208" customFormat="1" ht="16.5" thickBot="1">
      <c r="A52" s="265" t="s">
        <v>38</v>
      </c>
      <c r="B52" s="266"/>
      <c r="C52" s="267">
        <f ca="1">C31+C51</f>
        <v>29647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topLeftCell="A3" zoomScale="90" zoomScaleNormal="70" zoomScaleSheetLayoutView="90" workbookViewId="0">
      <selection activeCell="I47" sqref="I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3407</v>
      </c>
      <c r="E1" s="3433" t="s">
        <v>3446</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750.90329999999994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56408</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66" t="s">
        <v>1775</v>
      </c>
      <c r="Q4" s="3767"/>
      <c r="R4" s="3770" t="s">
        <v>1771</v>
      </c>
      <c r="S4" s="3771"/>
      <c r="T4" s="3770" t="s">
        <v>1772</v>
      </c>
      <c r="U4" s="3771"/>
      <c r="V4" s="3772" t="s">
        <v>1773</v>
      </c>
      <c r="W4" s="3772"/>
      <c r="X4" s="1958"/>
      <c r="Y4" s="3770" t="s">
        <v>1775</v>
      </c>
      <c r="Z4" s="3771"/>
      <c r="AA4" s="3774" t="s">
        <v>1771</v>
      </c>
      <c r="AB4" s="3774" t="s">
        <v>1772</v>
      </c>
      <c r="AC4" s="3763" t="s">
        <v>1773</v>
      </c>
    </row>
    <row r="5" spans="1:29" ht="15">
      <c r="A5" s="358"/>
      <c r="B5" s="359"/>
      <c r="C5" s="3705" t="s">
        <v>1673</v>
      </c>
      <c r="D5" s="3706"/>
      <c r="E5" s="3775" t="s">
        <v>3429</v>
      </c>
      <c r="F5" s="3713"/>
      <c r="G5" s="3705" t="s">
        <v>1675</v>
      </c>
      <c r="H5" s="3706"/>
      <c r="I5" s="3705" t="s">
        <v>1676</v>
      </c>
      <c r="J5" s="3706"/>
      <c r="K5" s="559"/>
      <c r="L5" s="2715"/>
      <c r="M5" s="2716"/>
      <c r="N5" s="2716"/>
      <c r="O5" s="2716"/>
      <c r="P5" s="3768"/>
      <c r="Q5" s="3693"/>
      <c r="R5" s="3698"/>
      <c r="S5" s="3699"/>
      <c r="T5" s="3698"/>
      <c r="U5" s="3699"/>
      <c r="V5" s="3702"/>
      <c r="W5" s="3702"/>
      <c r="X5" s="1355"/>
      <c r="Y5" s="3698"/>
      <c r="Z5" s="3699"/>
      <c r="AA5" s="3684"/>
      <c r="AB5" s="3684"/>
      <c r="AC5" s="376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769"/>
      <c r="Q6" s="3695"/>
      <c r="R6" s="3698"/>
      <c r="S6" s="3699"/>
      <c r="T6" s="3700"/>
      <c r="U6" s="3701"/>
      <c r="V6" s="3702"/>
      <c r="W6" s="3702"/>
      <c r="X6" s="1355"/>
      <c r="Y6" s="3700"/>
      <c r="Z6" s="3701"/>
      <c r="AA6" s="3685"/>
      <c r="AB6" s="3685"/>
      <c r="AC6" s="3765"/>
    </row>
    <row r="7" spans="1:29" s="108" customFormat="1" ht="15.75" thickBot="1">
      <c r="A7" s="362" t="s">
        <v>1679</v>
      </c>
      <c r="B7" s="363"/>
      <c r="C7" s="364">
        <f>'数据-取费表'!B2</f>
        <v>45124</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3" t="s">
        <v>1680</v>
      </c>
      <c r="Q7" s="3709"/>
      <c r="R7" s="701" t="s">
        <v>14</v>
      </c>
      <c r="S7" s="702">
        <f t="shared" ref="S7:S15" si="0">F7</f>
        <v>100</v>
      </c>
      <c r="T7" s="701" t="s">
        <v>14</v>
      </c>
      <c r="U7" s="702">
        <f t="shared" ref="U7:U15" si="1">H7</f>
        <v>99</v>
      </c>
      <c r="V7" s="701" t="s">
        <v>14</v>
      </c>
      <c r="W7" s="702">
        <f t="shared" ref="W7:W15" si="2">J7</f>
        <v>100</v>
      </c>
      <c r="X7" s="703"/>
      <c r="Y7" s="3707" t="s">
        <v>1680</v>
      </c>
      <c r="Z7" s="3708"/>
      <c r="AA7" s="704">
        <f>D7/F7</f>
        <v>1</v>
      </c>
      <c r="AB7" s="704">
        <f>D7/H7</f>
        <v>1.0101010101010102</v>
      </c>
      <c r="AC7" s="1959">
        <f>D7/J7</f>
        <v>1</v>
      </c>
    </row>
    <row r="8" spans="1:29" s="108" customFormat="1" ht="15.75" thickBot="1">
      <c r="A8" s="362" t="s">
        <v>1681</v>
      </c>
      <c r="B8" s="363"/>
      <c r="C8" s="368" t="s">
        <v>3430</v>
      </c>
      <c r="D8" s="365">
        <v>100</v>
      </c>
      <c r="E8" s="368" t="s">
        <v>3430</v>
      </c>
      <c r="F8" s="367">
        <f>SUMIF(62:62,E8,63:63)-SUMIF(62:62,C8,63:63)+100</f>
        <v>100</v>
      </c>
      <c r="G8" s="368" t="s">
        <v>3430</v>
      </c>
      <c r="H8" s="365">
        <f>SUMIF(62:62,G8,63:63)-SUMIF(62:62,C8,63:63)+100</f>
        <v>100</v>
      </c>
      <c r="I8" s="368" t="s">
        <v>3430</v>
      </c>
      <c r="J8" s="365">
        <f>SUMIF(62:62,I8,63:63)-SUMIF(62:62,C8,63:63)+100</f>
        <v>100</v>
      </c>
      <c r="K8" s="560"/>
      <c r="L8" s="2717"/>
      <c r="M8" s="2718"/>
      <c r="N8" s="2718"/>
      <c r="O8" s="2718"/>
      <c r="P8" s="3773"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c r="A9" s="369" t="s">
        <v>1684</v>
      </c>
      <c r="B9" s="63" t="s">
        <v>1685</v>
      </c>
      <c r="C9" s="3452"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7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1"/>
      <c r="Q22" s="1352"/>
      <c r="R22" s="705"/>
      <c r="S22" s="706"/>
      <c r="T22" s="705"/>
      <c r="U22" s="706"/>
      <c r="V22" s="705"/>
      <c r="W22" s="706"/>
      <c r="X22" s="1355"/>
      <c r="Y22" s="367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74"/>
      <c r="Z26" s="1356"/>
      <c r="AA26" s="1353">
        <v>1</v>
      </c>
      <c r="AB26" s="1353">
        <v>1</v>
      </c>
      <c r="AC26" s="1962">
        <v>1</v>
      </c>
    </row>
    <row r="27" spans="1:29" ht="15">
      <c r="A27" s="379"/>
      <c r="B27" s="580" t="s">
        <v>1783</v>
      </c>
      <c r="C27" s="582" t="s">
        <v>3436</v>
      </c>
      <c r="D27" s="386">
        <v>100</v>
      </c>
      <c r="E27" s="565" t="s">
        <v>3436</v>
      </c>
      <c r="F27" s="386">
        <f>SUMIF(89:89,E27,90:90)-SUMIF(89:89,C27,90:90)+100</f>
        <v>100</v>
      </c>
      <c r="G27" s="582" t="s">
        <v>3434</v>
      </c>
      <c r="H27" s="386">
        <f>SUMIF(89:89,G27,90:90)-SUMIF(89:89,C27,90:90)+100</f>
        <v>101</v>
      </c>
      <c r="I27" s="565" t="s">
        <v>3432</v>
      </c>
      <c r="J27" s="386">
        <f>SUMIF(89:89,I27,90:90)-SUMIF(89:89,C27,90:90)+100</f>
        <v>102</v>
      </c>
      <c r="K27" s="561">
        <v>1</v>
      </c>
      <c r="L27" s="2722"/>
      <c r="M27" s="2716"/>
      <c r="N27" s="2716"/>
      <c r="O27" s="2716"/>
      <c r="P27" s="3681"/>
      <c r="Q27" s="1352" t="str">
        <f t="shared" ref="Q27:Q47" si="11">B27</f>
        <v>楼层</v>
      </c>
      <c r="R27" s="705" t="s">
        <v>14</v>
      </c>
      <c r="S27" s="706">
        <f>F27</f>
        <v>100</v>
      </c>
      <c r="T27" s="705" t="s">
        <v>14</v>
      </c>
      <c r="U27" s="706">
        <f>H27</f>
        <v>101</v>
      </c>
      <c r="V27" s="705" t="s">
        <v>14</v>
      </c>
      <c r="W27" s="706">
        <f>J27</f>
        <v>102</v>
      </c>
      <c r="X27" s="1355"/>
      <c r="Y27" s="3674"/>
      <c r="Z27" s="1356" t="str">
        <f>Q27</f>
        <v>楼层</v>
      </c>
      <c r="AA27" s="1353">
        <f t="shared" si="3"/>
        <v>1</v>
      </c>
      <c r="AB27" s="1353">
        <f t="shared" si="4"/>
        <v>0.99009900990099009</v>
      </c>
      <c r="AC27" s="1962">
        <f t="shared" si="5"/>
        <v>0.98039215686274506</v>
      </c>
    </row>
    <row r="28" spans="1:29" s="108" customFormat="1" ht="15">
      <c r="A28" s="382"/>
      <c r="B28" s="579" t="s">
        <v>1816</v>
      </c>
      <c r="C28" s="1965" t="s">
        <v>3427</v>
      </c>
      <c r="D28" s="413">
        <v>100</v>
      </c>
      <c r="E28" s="1956" t="s">
        <v>3419</v>
      </c>
      <c r="F28" s="413">
        <f>SUMIF(91:91,E28,92:92)-SUMIF(91:91,C28,92:92)+100</f>
        <v>98</v>
      </c>
      <c r="G28" s="1956" t="s">
        <v>3419</v>
      </c>
      <c r="H28" s="413">
        <f>SUMIF(91:91,G28,92:92)-SUMIF(91:91,C28,92:92)+100</f>
        <v>98</v>
      </c>
      <c r="I28" s="1956" t="s">
        <v>3419</v>
      </c>
      <c r="J28" s="413">
        <f>SUMIF(91:91,I28,92:92)-SUMIF(91:91,C28,92:92)+100</f>
        <v>98</v>
      </c>
      <c r="K28" s="561">
        <v>2</v>
      </c>
      <c r="L28" s="2717"/>
      <c r="M28" s="2718"/>
      <c r="N28" s="2718"/>
      <c r="O28" s="2718"/>
      <c r="P28" s="3681"/>
      <c r="Q28" s="1343" t="str">
        <f t="shared" si="11"/>
        <v>朝向</v>
      </c>
      <c r="R28" s="701" t="s">
        <v>14</v>
      </c>
      <c r="S28" s="702">
        <f>F28</f>
        <v>98</v>
      </c>
      <c r="T28" s="701" t="s">
        <v>14</v>
      </c>
      <c r="U28" s="702">
        <f>H28</f>
        <v>98</v>
      </c>
      <c r="V28" s="701" t="s">
        <v>14</v>
      </c>
      <c r="W28" s="702">
        <f>J28</f>
        <v>98</v>
      </c>
      <c r="X28" s="703"/>
      <c r="Y28" s="3674"/>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1694</v>
      </c>
      <c r="B33" s="63" t="s">
        <v>1817</v>
      </c>
      <c r="C33" s="1967" t="s">
        <v>3444</v>
      </c>
      <c r="D33" s="418">
        <v>100</v>
      </c>
      <c r="E33" s="1967" t="s">
        <v>3444</v>
      </c>
      <c r="F33" s="412">
        <f>SUMIF(101:101,E33,102:102)-SUMIF(101:101,C33,102:102)+100</f>
        <v>100</v>
      </c>
      <c r="G33" s="1967" t="s">
        <v>3444</v>
      </c>
      <c r="H33" s="386">
        <f>SUMIF(101:101,G33,102:102)-SUMIF(101:101,C33,102:102)+100</f>
        <v>100</v>
      </c>
      <c r="I33" s="1967" t="s">
        <v>3444</v>
      </c>
      <c r="J33" s="418">
        <f>SUMIF(101:101,I33,102:102)-SUMIF(101:101,C33,102:102)+100</f>
        <v>100</v>
      </c>
      <c r="K33" s="561"/>
      <c r="L33" s="2722"/>
      <c r="M33" s="2716"/>
      <c r="N33" s="2716"/>
      <c r="O33" s="2716"/>
      <c r="P33" s="3675" t="s">
        <v>1696</v>
      </c>
      <c r="Q33" s="1352" t="str">
        <f t="shared" si="11"/>
        <v>建筑类型</v>
      </c>
      <c r="R33" s="705" t="s">
        <v>14</v>
      </c>
      <c r="S33" s="706">
        <f t="shared" si="12"/>
        <v>100</v>
      </c>
      <c r="T33" s="705" t="s">
        <v>14</v>
      </c>
      <c r="U33" s="706">
        <f t="shared" si="13"/>
        <v>100</v>
      </c>
      <c r="V33" s="705" t="s">
        <v>14</v>
      </c>
      <c r="W33" s="706">
        <f t="shared" si="14"/>
        <v>100</v>
      </c>
      <c r="X33" s="1355"/>
      <c r="Y33" s="3678"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676"/>
      <c r="Q34" s="707" t="str">
        <f t="shared" si="11"/>
        <v>项目建筑规模</v>
      </c>
      <c r="R34" s="708" t="s">
        <v>14</v>
      </c>
      <c r="S34" s="709">
        <f t="shared" si="12"/>
        <v>100</v>
      </c>
      <c r="T34" s="708" t="s">
        <v>14</v>
      </c>
      <c r="U34" s="709">
        <f t="shared" si="13"/>
        <v>100</v>
      </c>
      <c r="V34" s="708" t="s">
        <v>14</v>
      </c>
      <c r="W34" s="709">
        <f t="shared" si="14"/>
        <v>100</v>
      </c>
      <c r="X34" s="710"/>
      <c r="Y34" s="3678"/>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676"/>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2">
        <f t="shared" si="5"/>
        <v>1</v>
      </c>
    </row>
    <row r="36" spans="1:29" ht="15">
      <c r="A36" s="423"/>
      <c r="B36" s="375" t="s">
        <v>1785</v>
      </c>
      <c r="C36" s="411" t="s">
        <v>3439</v>
      </c>
      <c r="D36" s="386">
        <v>100</v>
      </c>
      <c r="E36" s="411" t="s">
        <v>3439</v>
      </c>
      <c r="F36" s="412">
        <f>SUMIF(108:108,E36,109:109)-SUMIF(108:108,C36,109:109)+100</f>
        <v>100</v>
      </c>
      <c r="G36" s="411" t="s">
        <v>3439</v>
      </c>
      <c r="H36" s="386">
        <f>SUMIF(108:108,G36,109:109)-SUMIF(108:108,C36,109:109)+100</f>
        <v>100</v>
      </c>
      <c r="I36" s="411" t="s">
        <v>3439</v>
      </c>
      <c r="J36" s="386">
        <f>SUMIF(108:108,I36,109:109)-SUMIF(108:108,C36,109:109)+100</f>
        <v>100</v>
      </c>
      <c r="K36" s="561"/>
      <c r="L36" s="2722"/>
      <c r="M36" s="2716"/>
      <c r="N36" s="2716"/>
      <c r="O36" s="2716"/>
      <c r="P36" s="3676"/>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676"/>
      <c r="Q37" s="1352" t="str">
        <f t="shared" si="11"/>
        <v>成新度</v>
      </c>
      <c r="R37" s="705" t="s">
        <v>14</v>
      </c>
      <c r="S37" s="706">
        <f t="shared" si="12"/>
        <v>100</v>
      </c>
      <c r="T37" s="705" t="s">
        <v>14</v>
      </c>
      <c r="U37" s="706">
        <f t="shared" si="13"/>
        <v>100</v>
      </c>
      <c r="V37" s="705" t="s">
        <v>14</v>
      </c>
      <c r="W37" s="706">
        <f t="shared" si="14"/>
        <v>100</v>
      </c>
      <c r="X37" s="1355"/>
      <c r="Y37" s="367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6"/>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6" t="s">
        <v>1696</v>
      </c>
      <c r="Q39" s="1352" t="str">
        <f t="shared" si="11"/>
        <v>物业管理</v>
      </c>
      <c r="R39" s="705" t="s">
        <v>14</v>
      </c>
      <c r="S39" s="706">
        <f t="shared" si="12"/>
        <v>100</v>
      </c>
      <c r="T39" s="705" t="s">
        <v>14</v>
      </c>
      <c r="U39" s="706">
        <f t="shared" si="13"/>
        <v>100</v>
      </c>
      <c r="V39" s="705" t="s">
        <v>14</v>
      </c>
      <c r="W39" s="706">
        <f t="shared" si="14"/>
        <v>100</v>
      </c>
      <c r="X39" s="1355"/>
      <c r="Y39" s="367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6"/>
      <c r="Q40" s="1352" t="str">
        <f t="shared" si="11"/>
        <v>市政基础设施</v>
      </c>
      <c r="R40" s="705" t="s">
        <v>14</v>
      </c>
      <c r="S40" s="706">
        <f t="shared" si="12"/>
        <v>100</v>
      </c>
      <c r="T40" s="705" t="s">
        <v>14</v>
      </c>
      <c r="U40" s="706">
        <f t="shared" si="13"/>
        <v>100</v>
      </c>
      <c r="V40" s="705" t="s">
        <v>14</v>
      </c>
      <c r="W40" s="706">
        <f t="shared" si="14"/>
        <v>100</v>
      </c>
      <c r="X40" s="1355"/>
      <c r="Y40" s="367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6"/>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2">
        <f t="shared" si="5"/>
        <v>1</v>
      </c>
    </row>
    <row r="43" spans="1:29" ht="15">
      <c r="A43" s="423"/>
      <c r="B43" s="375" t="s">
        <v>1792</v>
      </c>
      <c r="C43" s="411" t="s">
        <v>3447</v>
      </c>
      <c r="D43" s="386">
        <v>100</v>
      </c>
      <c r="E43" s="411" t="s">
        <v>3447</v>
      </c>
      <c r="F43" s="412">
        <f>SUMIF(123:123,E43,124:124)-SUMIF(123:123,C43,124:124)+100</f>
        <v>100</v>
      </c>
      <c r="G43" s="411" t="s">
        <v>3447</v>
      </c>
      <c r="H43" s="386">
        <f>SUMIF(123:123,G43,124:124)-SUMIF(123:123,C43,124:124)+100</f>
        <v>100</v>
      </c>
      <c r="I43" s="411" t="s">
        <v>3447</v>
      </c>
      <c r="J43" s="386">
        <f>SUMIF(123:123,I43,124:124)-SUMIF(123:123,C43,124:124)+100</f>
        <v>100</v>
      </c>
      <c r="K43" s="561"/>
      <c r="L43" s="2722"/>
      <c r="M43" s="2716"/>
      <c r="N43" s="2716"/>
      <c r="O43" s="2716"/>
      <c r="P43" s="3676"/>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676"/>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6"/>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7"/>
      <c r="Q47" s="1352">
        <f t="shared" si="11"/>
        <v>111</v>
      </c>
      <c r="R47" s="705" t="s">
        <v>14</v>
      </c>
      <c r="S47" s="706">
        <f t="shared" si="12"/>
        <v>100</v>
      </c>
      <c r="T47" s="705" t="s">
        <v>14</v>
      </c>
      <c r="U47" s="706">
        <f t="shared" si="13"/>
        <v>100</v>
      </c>
      <c r="V47" s="705" t="s">
        <v>14</v>
      </c>
      <c r="W47" s="706">
        <f t="shared" si="14"/>
        <v>100</v>
      </c>
      <c r="X47" s="1355"/>
      <c r="Y47" s="3679"/>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82" t="str">
        <f>A48</f>
        <v>成交单价（元/平方米）</v>
      </c>
      <c r="Q48" s="3671"/>
      <c r="R48" s="3672">
        <f>E48</f>
        <v>56905</v>
      </c>
      <c r="S48" s="3672"/>
      <c r="T48" s="3672">
        <f>G48</f>
        <v>50743</v>
      </c>
      <c r="U48" s="3672"/>
      <c r="V48" s="3672">
        <f>I48</f>
        <v>59351</v>
      </c>
      <c r="W48" s="3672"/>
      <c r="X48" s="397"/>
      <c r="Y48" s="712"/>
      <c r="Z48" s="397"/>
      <c r="AA48" s="397"/>
      <c r="AB48" s="397"/>
      <c r="AC48" s="578"/>
    </row>
    <row r="49" spans="1:29" ht="15.75" thickBot="1">
      <c r="A49" s="437" t="s">
        <v>1793</v>
      </c>
      <c r="B49" s="438"/>
      <c r="C49" s="1160">
        <f>R50</f>
        <v>56408</v>
      </c>
      <c r="D49" s="2317" t="s">
        <v>2138</v>
      </c>
      <c r="E49" s="1161">
        <f>R49</f>
        <v>58066</v>
      </c>
      <c r="F49" s="2318"/>
      <c r="G49" s="1160">
        <f>T49</f>
        <v>51784</v>
      </c>
      <c r="H49" s="2318"/>
      <c r="I49" s="1161">
        <f>V49</f>
        <v>59375</v>
      </c>
      <c r="J49" s="2318"/>
      <c r="K49" s="2320">
        <f>F49+H49+J49</f>
        <v>0</v>
      </c>
      <c r="L49" s="2724"/>
      <c r="M49" s="2716"/>
      <c r="N49" s="2716"/>
      <c r="O49" s="2716"/>
      <c r="P49" s="3682" t="str">
        <f>A49</f>
        <v>比较价值（元/平方米）</v>
      </c>
      <c r="Q49" s="3671"/>
      <c r="R49" s="3672">
        <f>IF(F1="售价",ROUND(PRODUCT(R48,AA7:AA47),0),ROUND(PRODUCT(R48,AA7:AA47),1))</f>
        <v>58066</v>
      </c>
      <c r="S49" s="3672"/>
      <c r="T49" s="3672">
        <f>IF(F1="售价",ROUND(PRODUCT(T48,AB7:AB47),0),ROUND(PRODUCT(T48,AB7:AB47),1))</f>
        <v>51784</v>
      </c>
      <c r="U49" s="3672"/>
      <c r="V49" s="3672">
        <f>IF(F1="售价",ROUND(PRODUCT(V48,AC7:AC47),0),ROUND(PRODUCT(V48,AC7:AC47),1))</f>
        <v>59375</v>
      </c>
      <c r="W49" s="3672"/>
      <c r="X49" s="397"/>
      <c r="Y49" s="397"/>
      <c r="Z49" s="397"/>
      <c r="AA49" s="397"/>
      <c r="AB49" s="397"/>
      <c r="AC49" s="578"/>
    </row>
    <row r="50" spans="1:29" ht="15.75" thickBot="1">
      <c r="A50" s="441" t="s">
        <v>1794</v>
      </c>
      <c r="B50" s="442"/>
      <c r="C50" s="1163">
        <f>R50</f>
        <v>56408</v>
      </c>
      <c r="D50" s="1163"/>
      <c r="E50" s="1163"/>
      <c r="F50" s="1163"/>
      <c r="G50" s="1163"/>
      <c r="H50" s="1163"/>
      <c r="I50" s="1163"/>
      <c r="J50" s="443"/>
      <c r="K50" s="715"/>
      <c r="L50" s="2724"/>
      <c r="M50" s="2716"/>
      <c r="N50" s="2716"/>
      <c r="O50" s="2716"/>
      <c r="P50" s="3760" t="str">
        <f>A50</f>
        <v>估价对象XX用房的比较价值（楼面单价，元/平方米）</v>
      </c>
      <c r="Q50" s="3761"/>
      <c r="R50" s="3762">
        <f>IF(F1="售价",ROUND(IF(D49="简单平均",AVERAGE(R49:V49),R49*F49+T49*H49+V49*J49),0),ROUND(IF(D49="简单平均",AVERAGE(R49:V49),R49*F49+T49*H49+V49*J49),1))</f>
        <v>56408</v>
      </c>
      <c r="S50" s="3762"/>
      <c r="T50" s="3762"/>
      <c r="U50" s="3762"/>
      <c r="V50" s="3762"/>
      <c r="W50" s="376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2.0402425094455667E-2</v>
      </c>
      <c r="F53" s="449" t="str">
        <f>IF(OR(E53&gt;=0.3,E53&lt;=-0.3),"超过30%","")</f>
        <v/>
      </c>
      <c r="G53" s="448">
        <f>IF(G48&lt;G49,G49/G48-1,G48/G49-1)</f>
        <v>2.0515144946100961E-2</v>
      </c>
      <c r="H53" s="449" t="str">
        <f>IF(OR(G53&gt;=0.3,G53&lt;=-0.3),"超过30%","")</f>
        <v/>
      </c>
      <c r="I53" s="448">
        <f>IF(I48&lt;I49,I49/I48-1,I48/I49-1)</f>
        <v>4.0437397853443358E-4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0.12131160203923996</v>
      </c>
      <c r="F54" s="449" t="str">
        <f>IF(OR(E54&gt;=0.2,E54&lt;=-0.2),"超过20%","")</f>
        <v/>
      </c>
      <c r="G54" s="448">
        <f>IF(G49&lt;I49,I49/G49-1,G49/I49-1)</f>
        <v>0.14658968021010343</v>
      </c>
      <c r="H54" s="449" t="str">
        <f>IF(OR(G54&gt;=0.2,G54&lt;=-0.2),"超过20%","")</f>
        <v/>
      </c>
      <c r="I54" s="448">
        <f>IF(I49&lt;E49,E49/I49-1,I49/E49-1)</f>
        <v>2.2543312782006719E-2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3455">
        <f t="shared" ref="P59" si="17">EDATE(O59,-1)</f>
        <v>44713</v>
      </c>
      <c r="Q59" s="3455">
        <f t="shared" ref="Q59" si="18">EDATE(P59,-1)</f>
        <v>44682</v>
      </c>
      <c r="R59" s="3455">
        <f t="shared" ref="R59" si="19">EDATE(Q59,-1)</f>
        <v>44652</v>
      </c>
      <c r="S59" s="3455">
        <f t="shared" ref="S59" si="20">EDATE(R59,-1)</f>
        <v>44621</v>
      </c>
      <c r="T59" s="3455">
        <f t="shared" ref="T59" si="21">EDATE(S59,-1)</f>
        <v>44593</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3433</v>
      </c>
      <c r="D89" s="3453" t="s">
        <v>3435</v>
      </c>
      <c r="E89" s="3453" t="s">
        <v>3437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5">D90-$K27</f>
        <v>98</v>
      </c>
      <c r="F90" s="493">
        <f t="shared" si="25"/>
        <v>97</v>
      </c>
      <c r="G90" s="493">
        <f t="shared" si="25"/>
        <v>96</v>
      </c>
      <c r="H90" s="493">
        <f t="shared" si="25"/>
        <v>95</v>
      </c>
      <c r="I90" s="493">
        <f t="shared" si="25"/>
        <v>94</v>
      </c>
      <c r="J90" s="493">
        <f t="shared" si="25"/>
        <v>93</v>
      </c>
      <c r="K90" s="493">
        <f t="shared" si="25"/>
        <v>92</v>
      </c>
      <c r="L90" s="493">
        <f t="shared" si="25"/>
        <v>91</v>
      </c>
      <c r="M90" s="493">
        <f t="shared" si="25"/>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3" t="s">
        <v>3441</v>
      </c>
      <c r="D91" s="3453" t="s">
        <v>3442</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3438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3440</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3448</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2844</v>
      </c>
      <c r="B1" s="3778"/>
      <c r="C1" s="3778"/>
      <c r="D1" s="3778"/>
      <c r="E1" s="3778"/>
      <c r="F1" s="3778"/>
      <c r="G1" s="377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3186</v>
      </c>
      <c r="B1" s="378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81" t="s">
        <v>3237</v>
      </c>
      <c r="B1" s="3781"/>
      <c r="C1" s="3781"/>
      <c r="D1" s="3781"/>
      <c r="E1" s="3781"/>
      <c r="F1" s="3782"/>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45124</v>
      </c>
      <c r="B1" s="3210" t="s">
        <v>2843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3" t="s">
        <v>2831</v>
      </c>
      <c r="S21" s="3784"/>
      <c r="T21" s="3784"/>
      <c r="U21" s="3784"/>
      <c r="V21" s="3784"/>
      <c r="W21" s="3784"/>
      <c r="X21" s="3165"/>
      <c r="Y21" s="3783" t="s">
        <v>2832</v>
      </c>
      <c r="Z21" s="3784"/>
      <c r="AA21" s="3784"/>
      <c r="AB21" s="3784"/>
      <c r="AC21" s="3784"/>
      <c r="AD21" s="378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G34:R59"/>
  <sheetViews>
    <sheetView topLeftCell="B37" workbookViewId="0">
      <selection activeCell="M58" sqref="M58"/>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796" t="s">
        <v>3422</v>
      </c>
      <c r="M53" s="3450" t="s">
        <v>3417</v>
      </c>
      <c r="N53">
        <v>110.36</v>
      </c>
      <c r="O53">
        <v>6280000</v>
      </c>
      <c r="P53">
        <f>ROUND(O53/N53,0)</f>
        <v>56905</v>
      </c>
      <c r="Q53" s="3450" t="s">
        <v>3420</v>
      </c>
      <c r="R53" s="3451">
        <v>44980</v>
      </c>
    </row>
    <row r="54" spans="12:18">
      <c r="L54" s="3797"/>
      <c r="M54" s="3450" t="s">
        <v>3418</v>
      </c>
      <c r="N54">
        <v>110.36</v>
      </c>
      <c r="O54">
        <v>5600000</v>
      </c>
      <c r="P54">
        <f>ROUND(O54/N54,0)</f>
        <v>50743</v>
      </c>
      <c r="Q54" s="3450" t="s">
        <v>3420</v>
      </c>
      <c r="R54" s="3451">
        <v>44623</v>
      </c>
    </row>
    <row r="55" spans="12:18">
      <c r="L55" s="3797"/>
      <c r="M55" s="3450" t="s">
        <v>3443</v>
      </c>
      <c r="N55">
        <v>110.36</v>
      </c>
      <c r="O55">
        <v>6550000</v>
      </c>
      <c r="P55">
        <f>ROUND(O55/N55,0)</f>
        <v>59351</v>
      </c>
      <c r="Q55" s="3450" t="s">
        <v>3420</v>
      </c>
      <c r="R55" s="3451">
        <v>45055</v>
      </c>
    </row>
    <row r="56" spans="12:18">
      <c r="L56" s="3450" t="s">
        <v>3423</v>
      </c>
    </row>
    <row r="57" spans="12:18">
      <c r="M57">
        <v>140.63</v>
      </c>
      <c r="N57">
        <v>11660</v>
      </c>
      <c r="O57" s="3450" t="s">
        <v>3420</v>
      </c>
      <c r="P57" s="3450" t="s">
        <v>3424</v>
      </c>
    </row>
    <row r="58" spans="12:18">
      <c r="M58">
        <v>141.26</v>
      </c>
      <c r="N58">
        <v>13000</v>
      </c>
      <c r="O58" s="3450" t="s">
        <v>3426</v>
      </c>
      <c r="P58" s="3450" t="s">
        <v>3425</v>
      </c>
    </row>
    <row r="59" spans="12:18">
      <c r="M59">
        <v>141</v>
      </c>
      <c r="N59">
        <v>15000</v>
      </c>
      <c r="O59" s="3450" t="s">
        <v>3428</v>
      </c>
      <c r="P59" s="3450" t="s">
        <v>3425</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估价结果一览表</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房地产市场价值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69" t="str">
        <f>结果表!A120</f>
        <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
      </c>
      <c r="B8" s="3469"/>
      <c r="C8" s="3469"/>
      <c r="D8" s="3469" t="e">
        <f ca="1">结果表!D122</f>
        <v>#REF!</v>
      </c>
      <c r="E8" s="3469"/>
      <c r="F8" s="3469"/>
      <c r="G8" s="3469"/>
      <c r="H8" s="3469"/>
      <c r="I8" s="3469"/>
    </row>
    <row r="9" spans="1:9" ht="15">
      <c r="A9" s="3470" t="s">
        <v>927</v>
      </c>
      <c r="B9" s="3470"/>
      <c r="C9" s="3470"/>
      <c r="D9" s="3470" t="e">
        <f ca="1">结果表!D123</f>
        <v>#REF!</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76" t="str">
        <f>IF(项目基本情况!B8="抵押","3.抵押双方在办理抵押登记手续时，应使用本公司出具的正式《房地产评估报告》，特提醒报告使用者注意。","——")</f>
        <v>——</v>
      </c>
      <c r="B13" s="3481"/>
      <c r="C13" s="3481"/>
      <c r="D13" s="3481"/>
    </row>
    <row r="14" spans="1:4" ht="15.75" customHeight="1">
      <c r="A14" s="3476" t="str">
        <f>IF(项目基本情况!B8="抵押","4.本次评估估价师所知悉的法定优先受偿款情况说明如下：","——")</f>
        <v>——</v>
      </c>
      <c r="B14" s="3481"/>
      <c r="C14" s="3481"/>
      <c r="D14" s="3481"/>
    </row>
    <row r="15" spans="1:4" ht="42" customHeight="1">
      <c r="A15" s="3476" t="str">
        <f>IF(项目基本情况!B8="抵押","（1）"&amp;CONCATENATE(项目基本情况!L20,项目基本情况!L21,项目基本情况!L22),"——")</f>
        <v>——</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2023-07-25T02:03:12Z</dcterms:modified>
</cp:coreProperties>
</file>